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victor/Downloads/"/>
    </mc:Choice>
  </mc:AlternateContent>
  <xr:revisionPtr revIDLastSave="0" documentId="13_ncr:1_{86130541-32DE-3F4C-9F24-434ED4AA746C}" xr6:coauthVersionLast="36" xr6:coauthVersionMax="36" xr10:uidLastSave="{00000000-0000-0000-0000-000000000000}"/>
  <bookViews>
    <workbookView xWindow="0" yWindow="500" windowWidth="33600" windowHeight="20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1" i="1" l="1"/>
  <c r="C115" i="1"/>
  <c r="C90" i="1"/>
  <c r="C91" i="1" s="1"/>
  <c r="C92" i="1" s="1"/>
  <c r="C93" i="1" s="1"/>
  <c r="C94" i="1" s="1"/>
  <c r="C89" i="1"/>
  <c r="C64" i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192" i="2" l="1" a="1"/>
  <c r="BC192" i="2" s="1"/>
  <c r="BC117" i="2" a="1"/>
  <c r="BC117" i="2" s="1"/>
  <c r="BC114" i="2" a="1"/>
  <c r="BC114" i="2" s="1"/>
  <c r="BC65" i="2" a="1"/>
  <c r="BC65" i="2" s="1"/>
  <c r="BC82" i="2" a="1"/>
  <c r="BC82" i="2" s="1"/>
  <c r="BC47" i="2" a="1"/>
  <c r="BC47" i="2" s="1"/>
  <c r="BC181" i="2" a="1"/>
  <c r="BC181" i="2" s="1"/>
  <c r="BC126" i="2" a="1"/>
  <c r="BC126" i="2" s="1"/>
  <c r="BC58" i="2" a="1"/>
  <c r="BC58" i="2" s="1"/>
  <c r="BC68" i="2" a="1"/>
  <c r="BC68" i="2" s="1"/>
  <c r="AH151" i="2" a="1"/>
  <c r="AH151" i="2" s="1"/>
  <c r="CS24" i="2" a="1"/>
  <c r="CS24" i="2" s="1"/>
  <c r="CS120" i="2" a="1"/>
  <c r="CS120" i="2" s="1"/>
  <c r="CS137" i="2" a="1"/>
  <c r="CS137" i="2" s="1"/>
  <c r="CS114" i="2" a="1"/>
  <c r="CS114" i="2" s="1"/>
  <c r="CS52" i="2" a="1"/>
  <c r="CS52" i="2" s="1"/>
  <c r="CS56" i="2" a="1"/>
  <c r="CS56" i="2" s="1"/>
  <c r="CS38" i="2" a="1"/>
  <c r="CS38" i="2" s="1"/>
  <c r="CS129" i="2" a="1"/>
  <c r="CS129" i="2" s="1"/>
  <c r="CS105" i="2" a="1"/>
  <c r="CS105" i="2" s="1"/>
  <c r="CS116" i="2" a="1"/>
  <c r="CS116" i="2" s="1"/>
  <c r="CS72" i="2" a="1"/>
  <c r="CS72" i="2" s="1"/>
  <c r="CS134" i="2" a="1"/>
  <c r="CS134" i="2" s="1"/>
  <c r="CS185" i="2" a="1"/>
  <c r="CS185" i="2" s="1"/>
  <c r="CS161" i="2" a="1"/>
  <c r="CS161" i="2" s="1"/>
  <c r="BX107" i="2" a="1"/>
  <c r="BX107" i="2" s="1"/>
  <c r="AH19" i="2" a="1"/>
  <c r="AH19" i="2" s="1"/>
  <c r="CS66" i="2" a="1"/>
  <c r="CS66" i="2" s="1"/>
  <c r="CS77" i="2" a="1"/>
  <c r="CS77" i="2" s="1"/>
  <c r="AH62" i="2" a="1"/>
  <c r="AH62" i="2" s="1"/>
  <c r="AH166" i="2" a="1"/>
  <c r="AH166" i="2" s="1"/>
  <c r="AH199" i="2" a="1"/>
  <c r="AH19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AN100" i="2" s="1"/>
  <c r="BF97" i="2"/>
  <c r="BG97" i="2" s="1"/>
  <c r="BH97" i="2" s="1"/>
  <c r="BS96" i="2"/>
  <c r="BE98" i="2"/>
  <c r="AN124" i="2" l="1"/>
  <c r="AN165" i="2"/>
  <c r="AN40" i="2"/>
  <c r="AN159" i="2"/>
  <c r="AN67" i="2"/>
  <c r="AN43" i="2"/>
  <c r="AN181" i="2"/>
  <c r="AN88" i="2"/>
  <c r="AN140" i="2"/>
  <c r="AN49" i="2"/>
  <c r="AN85" i="2"/>
  <c r="AN54" i="2"/>
  <c r="AN161" i="2"/>
  <c r="AN28" i="2"/>
  <c r="AN83" i="2"/>
  <c r="AN144" i="2"/>
  <c r="AN61" i="2"/>
  <c r="AN79" i="2"/>
  <c r="AN192" i="2"/>
  <c r="AN170" i="2"/>
  <c r="AN90" i="2"/>
  <c r="AN113" i="2"/>
  <c r="AN201" i="2"/>
  <c r="AN110" i="2"/>
  <c r="AN39" i="2"/>
  <c r="AN13" i="2"/>
  <c r="AN64" i="2"/>
  <c r="AN16" i="2"/>
  <c r="AN89" i="2"/>
  <c r="AN27" i="2"/>
  <c r="AN120" i="2"/>
  <c r="AN109" i="2"/>
  <c r="AN35" i="2"/>
  <c r="AN102" i="2"/>
  <c r="AN73" i="2"/>
  <c r="AN59" i="2"/>
  <c r="AN174" i="2"/>
  <c r="AN7" i="2"/>
  <c r="AN97" i="2"/>
  <c r="AN131" i="2"/>
  <c r="AN30" i="2"/>
  <c r="AN50" i="2"/>
  <c r="AN148" i="2"/>
  <c r="AN108" i="2"/>
  <c r="AN92" i="2"/>
  <c r="AN34" i="2"/>
  <c r="AN203" i="2"/>
  <c r="AN177" i="2"/>
  <c r="AN172" i="2"/>
  <c r="AN20" i="2"/>
  <c r="AN76" i="2"/>
  <c r="AN96" i="2"/>
  <c r="AN25" i="2"/>
  <c r="AN87" i="2"/>
  <c r="AN53" i="2"/>
  <c r="AN191" i="2"/>
  <c r="AN107" i="2"/>
  <c r="AN14" i="2"/>
  <c r="AN141" i="2"/>
  <c r="AN3" i="2"/>
  <c r="C7" i="4" s="1"/>
  <c r="E7" i="4" s="1"/>
  <c r="F7" i="4" s="1"/>
  <c r="G7" i="4" s="1"/>
  <c r="L7" i="4" s="1"/>
  <c r="AN45" i="2"/>
  <c r="AN72" i="2"/>
  <c r="AN197" i="2"/>
  <c r="AN169" i="2"/>
  <c r="AN115" i="2"/>
  <c r="AN80" i="2"/>
  <c r="AN104" i="2"/>
  <c r="AN152" i="2"/>
  <c r="AN186" i="2"/>
  <c r="AN36" i="2"/>
  <c r="AN189" i="2"/>
  <c r="AN26" i="2"/>
  <c r="AN95" i="2"/>
  <c r="AN48" i="2"/>
  <c r="AN142" i="2"/>
  <c r="AN46" i="2"/>
  <c r="AN74" i="2"/>
  <c r="AN150" i="2"/>
  <c r="AN157" i="2"/>
  <c r="AN158" i="2"/>
  <c r="AN121" i="2"/>
  <c r="AN44" i="2"/>
  <c r="AN9" i="2"/>
  <c r="AN164" i="2"/>
  <c r="AN75" i="2"/>
  <c r="AN4" i="2"/>
  <c r="AN12" i="2"/>
  <c r="AN51" i="2"/>
  <c r="AN37" i="2"/>
  <c r="AN118" i="2"/>
  <c r="AN155" i="2"/>
  <c r="AN91" i="2"/>
  <c r="AN65" i="2"/>
  <c r="AN103" i="2"/>
  <c r="AN93" i="2"/>
  <c r="AN11" i="2"/>
  <c r="AN128" i="2"/>
  <c r="AN21" i="2"/>
  <c r="AN114" i="2"/>
  <c r="AN63" i="2"/>
  <c r="AN133" i="2"/>
  <c r="AN193" i="2"/>
  <c r="AN98" i="2"/>
  <c r="AN184" i="2"/>
  <c r="AN41" i="2"/>
  <c r="AN106" i="2"/>
  <c r="AN81" i="2"/>
  <c r="AN156" i="2"/>
  <c r="AN99" i="2"/>
  <c r="AN176" i="2"/>
  <c r="AN22" i="2"/>
  <c r="AN62" i="2"/>
  <c r="AN123" i="2"/>
  <c r="AN24" i="2"/>
  <c r="AN127" i="2"/>
  <c r="AN145" i="2"/>
  <c r="AN86" i="2"/>
  <c r="AN78" i="2"/>
  <c r="AN17" i="2"/>
  <c r="AN173" i="2"/>
  <c r="AN146" i="2"/>
  <c r="AN188" i="2"/>
  <c r="AN132" i="2"/>
  <c r="AN166" i="2"/>
  <c r="AN199" i="2"/>
  <c r="AN69" i="2"/>
  <c r="AN60" i="2"/>
  <c r="AN194" i="2"/>
  <c r="AN195" i="2"/>
  <c r="AN84" i="2"/>
  <c r="AN149" i="2"/>
  <c r="AN147" i="2"/>
  <c r="AN138" i="2"/>
  <c r="AN119" i="2"/>
  <c r="AN190" i="2"/>
  <c r="AN136" i="2"/>
  <c r="AN180" i="2"/>
  <c r="AN134" i="2"/>
  <c r="AN29" i="2"/>
  <c r="AN126" i="2"/>
  <c r="AN55" i="2"/>
  <c r="AN196" i="2"/>
  <c r="AN38" i="2"/>
  <c r="AN6" i="2"/>
  <c r="AN179" i="2"/>
  <c r="AN163" i="2"/>
  <c r="AN42" i="2"/>
  <c r="AN94" i="2"/>
  <c r="AN129" i="2"/>
  <c r="AN82" i="2"/>
  <c r="AN56" i="2"/>
  <c r="AN151" i="2"/>
  <c r="AN77" i="2"/>
  <c r="AN154" i="2"/>
  <c r="AN23" i="2"/>
  <c r="AN32" i="2"/>
  <c r="AN202" i="2"/>
  <c r="AN143" i="2"/>
  <c r="AN168" i="2"/>
  <c r="AN68" i="2"/>
  <c r="AN122" i="2"/>
  <c r="AN15" i="2"/>
  <c r="AN187" i="2"/>
  <c r="AN105" i="2"/>
  <c r="AN19" i="2"/>
  <c r="AN112" i="2"/>
  <c r="AN183" i="2"/>
  <c r="AN58" i="2"/>
  <c r="AN71" i="2"/>
  <c r="AN18" i="2"/>
  <c r="AN130" i="2"/>
  <c r="AN139" i="2"/>
  <c r="AN171" i="2"/>
  <c r="AN116" i="2"/>
  <c r="AN47" i="2"/>
  <c r="AN70" i="2"/>
  <c r="AN31" i="2"/>
  <c r="AN160" i="2"/>
  <c r="AN57" i="2"/>
  <c r="AN175" i="2"/>
  <c r="AN33" i="2"/>
  <c r="AN137" i="2"/>
  <c r="AN182" i="2"/>
  <c r="AN167" i="2"/>
  <c r="AN153" i="2"/>
  <c r="AN198" i="2"/>
  <c r="AN185" i="2"/>
  <c r="AN101" i="2"/>
  <c r="AN10" i="2"/>
  <c r="AN178" i="2"/>
  <c r="AN135" i="2"/>
  <c r="AN8" i="2"/>
  <c r="AN125" i="2"/>
  <c r="AN117" i="2"/>
  <c r="AN162" i="2"/>
  <c r="AN200" i="2"/>
  <c r="AN111" i="2"/>
  <c r="AN52" i="2"/>
  <c r="AN5" i="2"/>
  <c r="AN66" i="2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<sst xmlns="http://schemas.openxmlformats.org/spreadsheetml/2006/main" count="1174" uniqueCount="324">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</sst>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1.4728508782729406</c:v>
                </c:pt>
                <c:pt idx="2">
                  <c:v>1.7704035628789072</c:v>
                </c:pt>
                <c:pt idx="3">
                  <c:v>2.1283008135719341</c:v>
                </c:pt>
                <c:pt idx="4">
                  <c:v>2.5588251737076502</c:v>
                </c:pt>
                <c:pt idx="5">
                  <c:v>3.0767676941081041</c:v>
                </c:pt>
                <c:pt idx="6">
                  <c:v>3.6999418789387284</c:v>
                </c:pt>
                <c:pt idx="7">
                  <c:v>4.4498032382160977</c:v>
                </c:pt>
                <c:pt idx="8">
                  <c:v>5.3521962057282009</c:v>
                </c:pt>
                <c:pt idx="9">
                  <c:v>6.4382546753009526</c:v>
                </c:pt>
                <c:pt idx="10">
                  <c:v>7.7454878328216212</c:v>
                </c:pt>
                <c:pt idx="11">
                  <c:v>9.319089509207938</c:v>
                </c:pt>
                <c:pt idx="12">
                  <c:v>11.213517183669381</c:v>
                </c:pt>
                <c:pt idx="13">
                  <c:v>13.494396308672835</c:v>
                </c:pt>
                <c:pt idx="14">
                  <c:v>16.240817148063527</c:v>
                </c:pt>
                <c:pt idx="15">
                  <c:v>19.548105228597759</c:v>
                </c:pt>
                <c:pt idx="16">
                  <c:v>23.531163298970075</c:v>
                </c:pt>
                <c:pt idx="17">
                  <c:v>28.328502968787358</c:v>
                </c:pt>
                <c:pt idx="18">
                  <c:v>34.107108687167404</c:v>
                </c:pt>
                <c:pt idx="19">
                  <c:v>41.068306291833686</c:v>
                </c:pt>
                <c:pt idx="20">
                  <c:v>49.454844072104059</c:v>
                </c:pt>
                <c:pt idx="21">
                  <c:v>59.559437420639647</c:v>
                </c:pt>
                <c:pt idx="22">
                  <c:v>71.735080243046241</c:v>
                </c:pt>
                <c:pt idx="23">
                  <c:v>86.407489216949159</c:v>
                </c:pt>
                <c:pt idx="24">
                  <c:v>104.09012299742415</c:v>
                </c:pt>
                <c:pt idx="25">
                  <c:v>125.40231027813816</c:v>
                </c:pt>
                <c:pt idx="26">
                  <c:v>129.75803624264793</c:v>
                </c:pt>
                <c:pt idx="27">
                  <c:v>146.29085951618592</c:v>
                </c:pt>
                <c:pt idx="28">
                  <c:v>162.77900566933033</c:v>
                </c:pt>
                <c:pt idx="29">
                  <c:v>179.22764072986936</c:v>
                </c:pt>
                <c:pt idx="30">
                  <c:v>195.23603522349757</c:v>
                </c:pt>
                <c:pt idx="31">
                  <c:v>211.21393324074447</c:v>
                </c:pt>
                <c:pt idx="32">
                  <c:v>227.1639671202694</c:v>
                </c:pt>
                <c:pt idx="33">
                  <c:v>243.08836905362054</c:v>
                </c:pt>
                <c:pt idx="34">
                  <c:v>258.98905470994293</c:v>
                </c:pt>
                <c:pt idx="35">
                  <c:v>275.36983006337516</c:v>
                </c:pt>
                <c:pt idx="36">
                  <c:v>291.72872402347485</c:v>
                </c:pt>
                <c:pt idx="37">
                  <c:v>308.06713623755621</c:v>
                </c:pt>
                <c:pt idx="38">
                  <c:v>295.61967617725571</c:v>
                </c:pt>
                <c:pt idx="39">
                  <c:v>313.25525898533971</c:v>
                </c:pt>
                <c:pt idx="40">
                  <c:v>330.86883016079906</c:v>
                </c:pt>
                <c:pt idx="41">
                  <c:v>348.46172607667501</c:v>
                </c:pt>
                <c:pt idx="42">
                  <c:v>366.03513716933247</c:v>
                </c:pt>
                <c:pt idx="43">
                  <c:v>383.59013026238807</c:v>
                </c:pt>
                <c:pt idx="44">
                  <c:v>401.12766658954007</c:v>
                </c:pt>
                <c:pt idx="45">
                  <c:v>418.64861650055155</c:v>
                </c:pt>
                <c:pt idx="46">
                  <c:v>436.15377157683207</c:v>
                </c:pt>
                <c:pt idx="47">
                  <c:v>453.64385470062672</c:v>
                </c:pt>
                <c:pt idx="48">
                  <c:v>471.11952849059395</c:v>
                </c:pt>
                <c:pt idx="49">
                  <c:v>488.5814024207736</c:v>
                </c:pt>
                <c:pt idx="50">
                  <c:v>455.51787231757334</c:v>
                </c:pt>
                <c:pt idx="51">
                  <c:v>470.22953444659919</c:v>
                </c:pt>
                <c:pt idx="52">
                  <c:v>484.93139596404654</c:v>
                </c:pt>
                <c:pt idx="53">
                  <c:v>499.62379576257518</c:v>
                </c:pt>
                <c:pt idx="54">
                  <c:v>514.3070511840574</c:v>
                </c:pt>
                <c:pt idx="55">
                  <c:v>528.981459978967</c:v>
                </c:pt>
                <c:pt idx="56">
                  <c:v>543.64730203709667</c:v>
                </c:pt>
                <c:pt idx="57">
                  <c:v>558.30484092186816</c:v>
                </c:pt>
                <c:pt idx="58">
                  <c:v>572.95432523519332</c:v>
                </c:pt>
                <c:pt idx="59">
                  <c:v>587.59598983554554</c:v>
                </c:pt>
                <c:pt idx="60">
                  <c:v>602.23005692836307</c:v>
                </c:pt>
                <c:pt idx="61">
                  <c:v>616.85673704500607</c:v>
                </c:pt>
                <c:pt idx="62">
                  <c:v>571.22448287306202</c:v>
                </c:pt>
                <c:pt idx="63">
                  <c:v>585.94939168882786</c:v>
                </c:pt>
                <c:pt idx="64">
                  <c:v>600.66659261404402</c:v>
                </c:pt>
                <c:pt idx="65">
                  <c:v>615.37630101025945</c:v>
                </c:pt>
                <c:pt idx="66">
                  <c:v>630.07872110930919</c:v>
                </c:pt>
                <c:pt idx="67">
                  <c:v>644.77404684014698</c:v>
                </c:pt>
                <c:pt idx="68">
                  <c:v>659.46246257642076</c:v>
                </c:pt>
                <c:pt idx="69">
                  <c:v>674.14414381402571</c:v>
                </c:pt>
                <c:pt idx="70">
                  <c:v>688.81925778659979</c:v>
                </c:pt>
                <c:pt idx="71">
                  <c:v>703.48796402588039</c:v>
                </c:pt>
                <c:pt idx="72">
                  <c:v>718.1504148729249</c:v>
                </c:pt>
                <c:pt idx="73">
                  <c:v>732.8067559454438</c:v>
                </c:pt>
                <c:pt idx="74">
                  <c:v>675.74985917003823</c:v>
                </c:pt>
                <c:pt idx="75">
                  <c:v>690.42426452464724</c:v>
                </c:pt>
                <c:pt idx="76">
                  <c:v>705.09227915297481</c:v>
                </c:pt>
                <c:pt idx="77">
                  <c:v>719.75405463855031</c:v>
                </c:pt>
                <c:pt idx="78">
                  <c:v>734.40973589021826</c:v>
                </c:pt>
                <c:pt idx="79">
                  <c:v>749.0594615661231</c:v>
                </c:pt>
                <c:pt idx="80">
                  <c:v>763.70336446282818</c:v>
                </c:pt>
                <c:pt idx="81">
                  <c:v>778.34157187306255</c:v>
                </c:pt>
                <c:pt idx="82">
                  <c:v>792.9742059151813</c:v>
                </c:pt>
                <c:pt idx="83">
                  <c:v>807.60138383706396</c:v>
                </c:pt>
                <c:pt idx="84">
                  <c:v>822.22321829687269</c:v>
                </c:pt>
                <c:pt idx="85">
                  <c:v>836.83981762282065</c:v>
                </c:pt>
                <c:pt idx="86">
                  <c:v>754.89805719297328</c:v>
                </c:pt>
                <c:pt idx="87">
                  <c:v>754.89805719297328</c:v>
                </c:pt>
                <c:pt idx="88">
                  <c:v>754.89805719297328</c:v>
                </c:pt>
                <c:pt idx="89">
                  <c:v>754.89805719297328</c:v>
                </c:pt>
                <c:pt idx="90">
                  <c:v>754.89805719297328</c:v>
                </c:pt>
                <c:pt idx="91">
                  <c:v>754.89805719297328</c:v>
                </c:pt>
                <c:pt idx="92">
                  <c:v>754.89805719297328</c:v>
                </c:pt>
                <c:pt idx="93">
                  <c:v>754.89805719297328</c:v>
                </c:pt>
                <c:pt idx="94">
                  <c:v>754.89805719297328</c:v>
                </c:pt>
                <c:pt idx="95">
                  <c:v>754.89805719297328</c:v>
                </c:pt>
                <c:pt idx="96">
                  <c:v>754.89805719297328</c:v>
                </c:pt>
                <c:pt idx="97">
                  <c:v>754.89805719297328</c:v>
                </c:pt>
                <c:pt idx="98">
                  <c:v>754.89805719297328</c:v>
                </c:pt>
                <c:pt idx="99">
                  <c:v>754.89805719297328</c:v>
                </c:pt>
                <c:pt idx="100">
                  <c:v>754.89805719297328</c:v>
                </c:pt>
                <c:pt idx="101">
                  <c:v>754.89805719297328</c:v>
                </c:pt>
                <c:pt idx="102">
                  <c:v>754.89805719297328</c:v>
                </c:pt>
                <c:pt idx="103">
                  <c:v>754.89805719297328</c:v>
                </c:pt>
                <c:pt idx="104">
                  <c:v>754.89805719297328</c:v>
                </c:pt>
                <c:pt idx="105">
                  <c:v>754.89805719297328</c:v>
                </c:pt>
                <c:pt idx="106">
                  <c:v>754.89805719297328</c:v>
                </c:pt>
                <c:pt idx="107">
                  <c:v>754.89805719297328</c:v>
                </c:pt>
                <c:pt idx="108">
                  <c:v>754.89805719297328</c:v>
                </c:pt>
                <c:pt idx="109">
                  <c:v>754.89805719297328</c:v>
                </c:pt>
                <c:pt idx="110">
                  <c:v>754.89805719297328</c:v>
                </c:pt>
                <c:pt idx="111">
                  <c:v>754.89805719297328</c:v>
                </c:pt>
                <c:pt idx="112">
                  <c:v>754.89805719297328</c:v>
                </c:pt>
                <c:pt idx="113">
                  <c:v>754.89805719297328</c:v>
                </c:pt>
                <c:pt idx="114">
                  <c:v>754.89805719297328</c:v>
                </c:pt>
                <c:pt idx="115">
                  <c:v>754.89805719297328</c:v>
                </c:pt>
                <c:pt idx="116">
                  <c:v>754.89805719297328</c:v>
                </c:pt>
                <c:pt idx="117">
                  <c:v>754.89805719297328</c:v>
                </c:pt>
                <c:pt idx="118">
                  <c:v>754.89805719297328</c:v>
                </c:pt>
                <c:pt idx="119">
                  <c:v>754.89805719297328</c:v>
                </c:pt>
                <c:pt idx="120">
                  <c:v>754.89805719297328</c:v>
                </c:pt>
                <c:pt idx="121">
                  <c:v>754.89805719297328</c:v>
                </c:pt>
                <c:pt idx="122">
                  <c:v>754.89805719297328</c:v>
                </c:pt>
                <c:pt idx="123">
                  <c:v>754.89805719297328</c:v>
                </c:pt>
                <c:pt idx="124">
                  <c:v>754.89805719297328</c:v>
                </c:pt>
                <c:pt idx="125">
                  <c:v>754.89805719297328</c:v>
                </c:pt>
                <c:pt idx="126">
                  <c:v>754.89805719297328</c:v>
                </c:pt>
                <c:pt idx="127">
                  <c:v>754.89805719297328</c:v>
                </c:pt>
                <c:pt idx="128">
                  <c:v>754.89805719297328</c:v>
                </c:pt>
                <c:pt idx="129">
                  <c:v>754.89805719297328</c:v>
                </c:pt>
                <c:pt idx="130">
                  <c:v>754.89805719297328</c:v>
                </c:pt>
                <c:pt idx="131">
                  <c:v>754.89805719297328</c:v>
                </c:pt>
                <c:pt idx="132">
                  <c:v>754.89805719297328</c:v>
                </c:pt>
                <c:pt idx="133">
                  <c:v>754.89805719297328</c:v>
                </c:pt>
                <c:pt idx="134">
                  <c:v>754.89805719297328</c:v>
                </c:pt>
                <c:pt idx="135">
                  <c:v>754.89805719297328</c:v>
                </c:pt>
                <c:pt idx="136">
                  <c:v>754.89805719297328</c:v>
                </c:pt>
                <c:pt idx="137">
                  <c:v>754.89805719297328</c:v>
                </c:pt>
                <c:pt idx="138">
                  <c:v>754.89805719297328</c:v>
                </c:pt>
                <c:pt idx="139">
                  <c:v>754.89805719297328</c:v>
                </c:pt>
                <c:pt idx="140">
                  <c:v>754.89805719297328</c:v>
                </c:pt>
                <c:pt idx="141">
                  <c:v>754.89805719297328</c:v>
                </c:pt>
                <c:pt idx="142">
                  <c:v>754.89805719297328</c:v>
                </c:pt>
                <c:pt idx="143">
                  <c:v>754.89805719297328</c:v>
                </c:pt>
                <c:pt idx="144">
                  <c:v>754.89805719297328</c:v>
                </c:pt>
                <c:pt idx="145">
                  <c:v>754.89805719297328</c:v>
                </c:pt>
                <c:pt idx="146">
                  <c:v>754.89805719297328</c:v>
                </c:pt>
                <c:pt idx="147">
                  <c:v>754.89805719297328</c:v>
                </c:pt>
                <c:pt idx="148">
                  <c:v>754.89805719297328</c:v>
                </c:pt>
                <c:pt idx="149">
                  <c:v>754.89805719297328</c:v>
                </c:pt>
                <c:pt idx="150">
                  <c:v>754.89805719297328</c:v>
                </c:pt>
                <c:pt idx="151">
                  <c:v>754.89805719297328</c:v>
                </c:pt>
                <c:pt idx="152">
                  <c:v>754.89805719297328</c:v>
                </c:pt>
                <c:pt idx="153">
                  <c:v>754.89805719297328</c:v>
                </c:pt>
                <c:pt idx="154">
                  <c:v>754.89805719297328</c:v>
                </c:pt>
                <c:pt idx="155">
                  <c:v>754.89805719297328</c:v>
                </c:pt>
                <c:pt idx="156">
                  <c:v>754.89805719297328</c:v>
                </c:pt>
                <c:pt idx="157">
                  <c:v>754.89805719297328</c:v>
                </c:pt>
                <c:pt idx="158">
                  <c:v>754.89805719297328</c:v>
                </c:pt>
                <c:pt idx="159">
                  <c:v>754.89805719297328</c:v>
                </c:pt>
                <c:pt idx="160">
                  <c:v>754.89805719297328</c:v>
                </c:pt>
                <c:pt idx="161">
                  <c:v>754.89805719297328</c:v>
                </c:pt>
                <c:pt idx="162">
                  <c:v>754.89805719297328</c:v>
                </c:pt>
                <c:pt idx="163">
                  <c:v>754.89805719297328</c:v>
                </c:pt>
                <c:pt idx="164">
                  <c:v>754.89805719297328</c:v>
                </c:pt>
                <c:pt idx="165">
                  <c:v>754.89805719297328</c:v>
                </c:pt>
                <c:pt idx="166">
                  <c:v>754.89805719297328</c:v>
                </c:pt>
                <c:pt idx="167">
                  <c:v>754.89805719297328</c:v>
                </c:pt>
                <c:pt idx="168">
                  <c:v>754.89805719297328</c:v>
                </c:pt>
                <c:pt idx="169">
                  <c:v>754.89805719297328</c:v>
                </c:pt>
                <c:pt idx="170">
                  <c:v>754.89805719297328</c:v>
                </c:pt>
                <c:pt idx="171">
                  <c:v>754.89805719297328</c:v>
                </c:pt>
                <c:pt idx="172">
                  <c:v>754.89805719297328</c:v>
                </c:pt>
                <c:pt idx="173">
                  <c:v>754.89805719297328</c:v>
                </c:pt>
                <c:pt idx="174">
                  <c:v>754.89805719297328</c:v>
                </c:pt>
                <c:pt idx="175">
                  <c:v>754.89805719297328</c:v>
                </c:pt>
                <c:pt idx="176">
                  <c:v>754.89805719297328</c:v>
                </c:pt>
                <c:pt idx="177">
                  <c:v>754.89805719297328</c:v>
                </c:pt>
                <c:pt idx="178">
                  <c:v>754.89805719297328</c:v>
                </c:pt>
                <c:pt idx="179">
                  <c:v>754.89805719297328</c:v>
                </c:pt>
                <c:pt idx="180">
                  <c:v>754.89805719297328</c:v>
                </c:pt>
                <c:pt idx="181">
                  <c:v>754.89805719297328</c:v>
                </c:pt>
                <c:pt idx="182">
                  <c:v>754.89805719297328</c:v>
                </c:pt>
                <c:pt idx="183">
                  <c:v>754.89805719297328</c:v>
                </c:pt>
                <c:pt idx="184">
                  <c:v>754.89805719297328</c:v>
                </c:pt>
                <c:pt idx="185">
                  <c:v>754.89805719297328</c:v>
                </c:pt>
                <c:pt idx="186">
                  <c:v>754.89805719297328</c:v>
                </c:pt>
                <c:pt idx="187">
                  <c:v>754.89805719297328</c:v>
                </c:pt>
                <c:pt idx="188">
                  <c:v>754.89805719297328</c:v>
                </c:pt>
                <c:pt idx="189">
                  <c:v>754.89805719297328</c:v>
                </c:pt>
                <c:pt idx="190">
                  <c:v>754.89805719297328</c:v>
                </c:pt>
                <c:pt idx="191">
                  <c:v>754.89805719297328</c:v>
                </c:pt>
                <c:pt idx="192">
                  <c:v>754.89805719297328</c:v>
                </c:pt>
                <c:pt idx="193">
                  <c:v>754.89805719297328</c:v>
                </c:pt>
                <c:pt idx="194">
                  <c:v>754.89805719297328</c:v>
                </c:pt>
                <c:pt idx="195">
                  <c:v>754.89805719297328</c:v>
                </c:pt>
                <c:pt idx="196">
                  <c:v>754.89805719297328</c:v>
                </c:pt>
                <c:pt idx="197">
                  <c:v>754.89805719297328</c:v>
                </c:pt>
                <c:pt idx="198">
                  <c:v>754.89805719297328</c:v>
                </c:pt>
                <c:pt idx="199">
                  <c:v>754.89805719297328</c:v>
                </c:pt>
                <c:pt idx="200">
                  <c:v>754.89805719297328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3.09212383418958</c:v>
                </c:pt>
                <c:pt idx="2">
                  <c:v>3.7082912927695841</c:v>
                </c:pt>
                <c:pt idx="3">
                  <c:v>4.4476967521323791</c:v>
                </c:pt>
                <c:pt idx="4">
                  <c:v>5.3350743985142683</c:v>
                </c:pt>
                <c:pt idx="5">
                  <c:v>6.4001387337229838</c:v>
                </c:pt>
                <c:pt idx="6">
                  <c:v>7.6785903940304507</c:v>
                </c:pt>
                <c:pt idx="7">
                  <c:v>9.2133256658108102</c:v>
                </c:pt>
                <c:pt idx="8">
                  <c:v>11.055891054956049</c:v>
                </c:pt>
                <c:pt idx="9">
                  <c:v>13.268232683349153</c:v>
                </c:pt>
                <c:pt idx="10">
                  <c:v>15.924800418244359</c:v>
                </c:pt>
                <c:pt idx="11">
                  <c:v>19.115078839968529</c:v>
                </c:pt>
                <c:pt idx="12">
                  <c:v>22.946631842360656</c:v>
                </c:pt>
                <c:pt idx="13">
                  <c:v>27.5487653477348</c:v>
                </c:pt>
                <c:pt idx="14">
                  <c:v>33.076933917023361</c:v>
                </c:pt>
                <c:pt idx="15">
                  <c:v>39.718042684859192</c:v>
                </c:pt>
                <c:pt idx="16">
                  <c:v>47.69682693875356</c:v>
                </c:pt>
                <c:pt idx="17">
                  <c:v>57.283528863690329</c:v>
                </c:pt>
                <c:pt idx="18">
                  <c:v>68.803135780672662</c:v>
                </c:pt>
                <c:pt idx="19">
                  <c:v>82.646498177265883</c:v>
                </c:pt>
                <c:pt idx="20">
                  <c:v>99.283710836548167</c:v>
                </c:pt>
                <c:pt idx="21">
                  <c:v>119.2802186795973</c:v>
                </c:pt>
                <c:pt idx="22">
                  <c:v>143.31620327114697</c:v>
                </c:pt>
                <c:pt idx="23">
                  <c:v>172.20991958306172</c:v>
                </c:pt>
                <c:pt idx="24">
                  <c:v>206.94578952469467</c:v>
                </c:pt>
                <c:pt idx="25">
                  <c:v>248.70822370462375</c:v>
                </c:pt>
                <c:pt idx="26">
                  <c:v>234.13409543495061</c:v>
                </c:pt>
                <c:pt idx="27">
                  <c:v>243.85239821164166</c:v>
                </c:pt>
                <c:pt idx="28">
                  <c:v>253.5618981196628</c:v>
                </c:pt>
                <c:pt idx="29">
                  <c:v>263.26298004396466</c:v>
                </c:pt>
                <c:pt idx="30">
                  <c:v>272.95599816313978</c:v>
                </c:pt>
                <c:pt idx="31">
                  <c:v>282.63693013740158</c:v>
                </c:pt>
                <c:pt idx="32">
                  <c:v>292.31043449931059</c:v>
                </c:pt>
                <c:pt idx="33">
                  <c:v>301.97679188462655</c:v>
                </c:pt>
                <c:pt idx="34">
                  <c:v>311.63626348298726</c:v>
                </c:pt>
                <c:pt idx="35">
                  <c:v>321.28909295947511</c:v>
                </c:pt>
                <c:pt idx="36">
                  <c:v>330.93550813304722</c:v>
                </c:pt>
                <c:pt idx="37">
                  <c:v>340.5757224489335</c:v>
                </c:pt>
                <c:pt idx="38">
                  <c:v>316.94974190835291</c:v>
                </c:pt>
                <c:pt idx="39">
                  <c:v>326.59720749476764</c:v>
                </c:pt>
                <c:pt idx="40">
                  <c:v>336.23838026300643</c:v>
                </c:pt>
                <c:pt idx="41">
                  <c:v>345.87346619864508</c:v>
                </c:pt>
                <c:pt idx="42">
                  <c:v>355.50265886756142</c:v>
                </c:pt>
                <c:pt idx="43">
                  <c:v>365.12614048817818</c:v>
                </c:pt>
                <c:pt idx="44">
                  <c:v>374.74408288471363</c:v>
                </c:pt>
                <c:pt idx="45">
                  <c:v>384.35664833742277</c:v>
                </c:pt>
                <c:pt idx="46">
                  <c:v>393.96399034331262</c:v>
                </c:pt>
                <c:pt idx="47">
                  <c:v>403.56625429875675</c:v>
                </c:pt>
                <c:pt idx="48">
                  <c:v>413.16357811373427</c:v>
                </c:pt>
                <c:pt idx="49">
                  <c:v>422.75609276600397</c:v>
                </c:pt>
                <c:pt idx="50">
                  <c:v>391.02421084842427</c:v>
                </c:pt>
                <c:pt idx="51">
                  <c:v>400.63161062246098</c:v>
                </c:pt>
                <c:pt idx="52">
                  <c:v>410.23402512717826</c:v>
                </c:pt>
                <c:pt idx="53">
                  <c:v>419.83158755217192</c:v>
                </c:pt>
                <c:pt idx="54">
                  <c:v>429.42442449838791</c:v>
                </c:pt>
                <c:pt idx="55">
                  <c:v>439.01265644712913</c:v>
                </c:pt>
                <c:pt idx="56">
                  <c:v>448.59639818594525</c:v>
                </c:pt>
                <c:pt idx="57">
                  <c:v>458.17575919622487</c:v>
                </c:pt>
                <c:pt idx="58">
                  <c:v>467.75084400667805</c:v>
                </c:pt>
                <c:pt idx="59">
                  <c:v>477.32175251636551</c:v>
                </c:pt>
                <c:pt idx="60">
                  <c:v>486.88858029046446</c:v>
                </c:pt>
                <c:pt idx="61">
                  <c:v>496.45141883157822</c:v>
                </c:pt>
                <c:pt idx="62">
                  <c:v>457.47104027238191</c:v>
                </c:pt>
                <c:pt idx="63">
                  <c:v>467.04285144332943</c:v>
                </c:pt>
                <c:pt idx="64">
                  <c:v>476.61048221007246</c:v>
                </c:pt>
                <c:pt idx="65">
                  <c:v>486.17402834182843</c:v>
                </c:pt>
                <c:pt idx="66">
                  <c:v>495.73358153197188</c:v>
                </c:pt>
                <c:pt idx="67">
                  <c:v>505.28922964844145</c:v>
                </c:pt>
                <c:pt idx="68">
                  <c:v>514.84105696421568</c:v>
                </c:pt>
                <c:pt idx="69">
                  <c:v>524.38914436979587</c:v>
                </c:pt>
                <c:pt idx="70">
                  <c:v>533.93356956940568</c:v>
                </c:pt>
                <c:pt idx="71">
                  <c:v>543.47440726243542</c:v>
                </c:pt>
                <c:pt idx="72">
                  <c:v>553.01172931147983</c:v>
                </c:pt>
                <c:pt idx="73">
                  <c:v>562.54560489818311</c:v>
                </c:pt>
                <c:pt idx="74">
                  <c:v>517.06432730711788</c:v>
                </c:pt>
                <c:pt idx="75">
                  <c:v>526.613343130918</c:v>
                </c:pt>
                <c:pt idx="76">
                  <c:v>536.15871305053679</c:v>
                </c:pt>
                <c:pt idx="77">
                  <c:v>545.70051113117518</c:v>
                </c:pt>
                <c:pt idx="78">
                  <c:v>555.23880863653005</c:v>
                </c:pt>
                <c:pt idx="79">
                  <c:v>564.77367418209769</c:v>
                </c:pt>
                <c:pt idx="80">
                  <c:v>574.30517387758675</c:v>
                </c:pt>
                <c:pt idx="81">
                  <c:v>583.83337145938651</c:v>
                </c:pt>
                <c:pt idx="82">
                  <c:v>593.35832841393892</c:v>
                </c:pt>
                <c:pt idx="83">
                  <c:v>602.88010409277751</c:v>
                </c:pt>
                <c:pt idx="84">
                  <c:v>612.39875581992362</c:v>
                </c:pt>
                <c:pt idx="85">
                  <c:v>621.91433899225763</c:v>
                </c:pt>
                <c:pt idx="86">
                  <c:v>570.57864702052768</c:v>
                </c:pt>
                <c:pt idx="87">
                  <c:v>580.10812832369368</c:v>
                </c:pt>
                <c:pt idx="88">
                  <c:v>589.63434521808017</c:v>
                </c:pt>
                <c:pt idx="89">
                  <c:v>599.15735787680012</c:v>
                </c:pt>
                <c:pt idx="90">
                  <c:v>608.67722440432965</c:v>
                </c:pt>
                <c:pt idx="91">
                  <c:v>618.19400093955699</c:v>
                </c:pt>
                <c:pt idx="92">
                  <c:v>627.70774175215638</c:v>
                </c:pt>
                <c:pt idx="93">
                  <c:v>637.2184993328176</c:v>
                </c:pt>
                <c:pt idx="94">
                  <c:v>646.72632447780836</c:v>
                </c:pt>
                <c:pt idx="95">
                  <c:v>656.23126636830955</c:v>
                </c:pt>
                <c:pt idx="96">
                  <c:v>665.7333726449142</c:v>
                </c:pt>
                <c:pt idx="97">
                  <c:v>675.23268947765348</c:v>
                </c:pt>
                <c:pt idx="98">
                  <c:v>618.66441407401521</c:v>
                </c:pt>
                <c:pt idx="99">
                  <c:v>628.17800618187289</c:v>
                </c:pt>
                <c:pt idx="100">
                  <c:v>637.68861760820948</c:v>
                </c:pt>
                <c:pt idx="101">
                  <c:v>647.19629906762373</c:v>
                </c:pt>
                <c:pt idx="102">
                  <c:v>656.70109966342</c:v>
                </c:pt>
                <c:pt idx="103">
                  <c:v>666.20306696187924</c:v>
                </c:pt>
                <c:pt idx="104">
                  <c:v>675.70224706207284</c:v>
                </c:pt>
                <c:pt idx="105">
                  <c:v>685.19868466154833</c:v>
                </c:pt>
                <c:pt idx="106">
                  <c:v>694.69242311818618</c:v>
                </c:pt>
                <c:pt idx="107">
                  <c:v>704.18350450849994</c:v>
                </c:pt>
                <c:pt idx="108">
                  <c:v>713.6719696826309</c:v>
                </c:pt>
                <c:pt idx="109">
                  <c:v>723.15785831626829</c:v>
                </c:pt>
                <c:pt idx="110">
                  <c:v>661.86881012095898</c:v>
                </c:pt>
                <c:pt idx="111">
                  <c:v>671.36925605744852</c:v>
                </c:pt>
                <c:pt idx="112">
                  <c:v>680.86693927291356</c:v>
                </c:pt>
                <c:pt idx="113">
                  <c:v>690.36190372892452</c:v>
                </c:pt>
                <c:pt idx="114">
                  <c:v>699.85419207951236</c:v>
                </c:pt>
                <c:pt idx="115">
                  <c:v>709.34384572764554</c:v>
                </c:pt>
                <c:pt idx="116">
                  <c:v>718.83090487852132</c:v>
                </c:pt>
                <c:pt idx="117">
                  <c:v>728.31540858990627</c:v>
                </c:pt>
                <c:pt idx="118">
                  <c:v>737.79739481971285</c:v>
                </c:pt>
                <c:pt idx="119">
                  <c:v>747.27690047101044</c:v>
                </c:pt>
                <c:pt idx="120">
                  <c:v>756.7539614346291</c:v>
                </c:pt>
                <c:pt idx="121">
                  <c:v>766.22861262952335</c:v>
                </c:pt>
                <c:pt idx="122">
                  <c:v>700.70730181849569</c:v>
                </c:pt>
                <c:pt idx="123">
                  <c:v>710.19672062624159</c:v>
                </c:pt>
                <c:pt idx="124">
                  <c:v>719.6835484937493</c:v>
                </c:pt>
                <c:pt idx="125">
                  <c:v>729.16782437801464</c:v>
                </c:pt>
                <c:pt idx="126">
                  <c:v>738.64958614032946</c:v>
                </c:pt>
                <c:pt idx="127">
                  <c:v>748.12887059106617</c:v>
                </c:pt>
                <c:pt idx="128">
                  <c:v>757.60571353207695</c:v>
                </c:pt>
                <c:pt idx="129">
                  <c:v>767.08014979686129</c:v>
                </c:pt>
                <c:pt idx="130">
                  <c:v>776.55221328864707</c:v>
                </c:pt>
                <c:pt idx="131">
                  <c:v>786.02193701651925</c:v>
                </c:pt>
                <c:pt idx="132">
                  <c:v>795.48935312971707</c:v>
                </c:pt>
                <c:pt idx="133">
                  <c:v>804.95449295021399</c:v>
                </c:pt>
                <c:pt idx="134">
                  <c:v>735.62421617571636</c:v>
                </c:pt>
                <c:pt idx="135">
                  <c:v>745.10428720257823</c:v>
                </c:pt>
                <c:pt idx="136">
                  <c:v>754.58190540237808</c:v>
                </c:pt>
                <c:pt idx="137">
                  <c:v>764.05710591338391</c:v>
                </c:pt>
                <c:pt idx="138">
                  <c:v>773.52992293165846</c:v>
                </c:pt>
                <c:pt idx="139">
                  <c:v>783.00038974779864</c:v>
                </c:pt>
                <c:pt idx="140">
                  <c:v>792.46853878180093</c:v>
                </c:pt>
                <c:pt idx="141">
                  <c:v>801.93440161618139</c:v>
                </c:pt>
                <c:pt idx="142">
                  <c:v>811.39800902744639</c:v>
                </c:pt>
                <c:pt idx="143">
                  <c:v>820.85939101602196</c:v>
                </c:pt>
                <c:pt idx="144">
                  <c:v>830.31857683473254</c:v>
                </c:pt>
                <c:pt idx="145">
                  <c:v>839.77559501591497</c:v>
                </c:pt>
                <c:pt idx="146">
                  <c:v>767.01628517460324</c:v>
                </c:pt>
                <c:pt idx="147">
                  <c:v>776.48836455110984</c:v>
                </c:pt>
                <c:pt idx="148">
                  <c:v>785.95810394408647</c:v>
                </c:pt>
                <c:pt idx="149">
                  <c:v>795.42553550845741</c:v>
                </c:pt>
                <c:pt idx="150">
                  <c:v>804.89069057166819</c:v>
                </c:pt>
                <c:pt idx="151">
                  <c:v>814.35359966466478</c:v>
                </c:pt>
                <c:pt idx="152">
                  <c:v>823.81429255136015</c:v>
                </c:pt>
                <c:pt idx="153">
                  <c:v>833.27279825667711</c:v>
                </c:pt>
                <c:pt idx="154">
                  <c:v>842.72914509325381</c:v>
                </c:pt>
                <c:pt idx="155">
                  <c:v>852.18336068688757</c:v>
                </c:pt>
                <c:pt idx="156">
                  <c:v>861.63547200079211</c:v>
                </c:pt>
                <c:pt idx="157">
                  <c:v>871.08550535873746</c:v>
                </c:pt>
                <c:pt idx="158">
                  <c:v>795.25358195841989</c:v>
                </c:pt>
                <c:pt idx="159">
                  <c:v>804.71700580179186</c:v>
                </c:pt>
                <c:pt idx="160">
                  <c:v>814.17818396298071</c:v>
                </c:pt>
                <c:pt idx="161">
                  <c:v>823.63714620306234</c:v>
                </c:pt>
                <c:pt idx="162">
                  <c:v>833.09392154416912</c:v>
                </c:pt>
                <c:pt idx="163">
                  <c:v>842.54853829619435</c:v>
                </c:pt>
                <c:pt idx="164">
                  <c:v>852.00102408223495</c:v>
                </c:pt>
                <c:pt idx="165">
                  <c:v>861.45140586284845</c:v>
                </c:pt>
                <c:pt idx="166">
                  <c:v>870.89970995919123</c:v>
                </c:pt>
                <c:pt idx="167">
                  <c:v>880.34596207510003</c:v>
                </c:pt>
                <c:pt idx="168">
                  <c:v>889.79018731817825</c:v>
                </c:pt>
                <c:pt idx="169">
                  <c:v>899.23241021994102</c:v>
                </c:pt>
                <c:pt idx="170">
                  <c:v>820.62554074953903</c:v>
                </c:pt>
                <c:pt idx="171">
                  <c:v>830.08478050875192</c:v>
                </c:pt>
                <c:pt idx="172">
                  <c:v>839.54185193361991</c:v>
                </c:pt>
                <c:pt idx="173">
                  <c:v>848.9967828786921</c:v>
                </c:pt>
                <c:pt idx="174">
                  <c:v>858.4496005278852</c:v>
                </c:pt>
                <c:pt idx="175">
                  <c:v>867.90033141799302</c:v>
                </c:pt>
                <c:pt idx="176">
                  <c:v>877.34900146111875</c:v>
                </c:pt>
                <c:pt idx="177">
                  <c:v>886.79563596608978</c:v>
                </c:pt>
                <c:pt idx="178">
                  <c:v>896.24025965891599</c:v>
                </c:pt>
                <c:pt idx="179">
                  <c:v>905.68289670233969</c:v>
                </c:pt>
                <c:pt idx="180">
                  <c:v>915.12357071452834</c:v>
                </c:pt>
                <c:pt idx="181">
                  <c:v>924.56230478695852</c:v>
                </c:pt>
                <c:pt idx="182">
                  <c:v>834.01663373076417</c:v>
                </c:pt>
                <c:pt idx="183">
                  <c:v>834.01663373076417</c:v>
                </c:pt>
                <c:pt idx="184">
                  <c:v>834.01663373076417</c:v>
                </c:pt>
                <c:pt idx="185">
                  <c:v>834.01663373076417</c:v>
                </c:pt>
                <c:pt idx="186">
                  <c:v>834.01663373076417</c:v>
                </c:pt>
                <c:pt idx="187">
                  <c:v>834.01663373076417</c:v>
                </c:pt>
                <c:pt idx="188">
                  <c:v>834.01663373076417</c:v>
                </c:pt>
                <c:pt idx="189">
                  <c:v>834.01663373076417</c:v>
                </c:pt>
                <c:pt idx="190">
                  <c:v>834.01663373076417</c:v>
                </c:pt>
                <c:pt idx="191">
                  <c:v>834.01663373076417</c:v>
                </c:pt>
                <c:pt idx="192">
                  <c:v>834.01663373076417</c:v>
                </c:pt>
                <c:pt idx="193">
                  <c:v>834.01663373076417</c:v>
                </c:pt>
                <c:pt idx="194">
                  <c:v>834.01663373076417</c:v>
                </c:pt>
                <c:pt idx="195">
                  <c:v>834.01663373076417</c:v>
                </c:pt>
                <c:pt idx="196">
                  <c:v>834.01663373076417</c:v>
                </c:pt>
                <c:pt idx="197">
                  <c:v>834.01663373076417</c:v>
                </c:pt>
                <c:pt idx="198">
                  <c:v>834.01663373076417</c:v>
                </c:pt>
                <c:pt idx="199">
                  <c:v>834.01663373076417</c:v>
                </c:pt>
                <c:pt idx="200">
                  <c:v>834.01663373076417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3.0527476046312341</c:v>
                </c:pt>
                <c:pt idx="2">
                  <c:v>3.782918819275833</c:v>
                </c:pt>
                <c:pt idx="3">
                  <c:v>4.6884023653577449</c:v>
                </c:pt>
                <c:pt idx="4">
                  <c:v>5.8114410342652905</c:v>
                </c:pt>
                <c:pt idx="5">
                  <c:v>7.2044902906655315</c:v>
                </c:pt>
                <c:pt idx="6">
                  <c:v>8.9326949274472316</c:v>
                </c:pt>
                <c:pt idx="7">
                  <c:v>11.076968035706335</c:v>
                </c:pt>
                <c:pt idx="8">
                  <c:v>13.737819151663105</c:v>
                </c:pt>
                <c:pt idx="9">
                  <c:v>17.04011433627586</c:v>
                </c:pt>
                <c:pt idx="10">
                  <c:v>21.138995628647756</c:v>
                </c:pt>
                <c:pt idx="11">
                  <c:v>26.22724294855341</c:v>
                </c:pt>
                <c:pt idx="12">
                  <c:v>32.544430794344017</c:v>
                </c:pt>
                <c:pt idx="13">
                  <c:v>40.388318338865858</c:v>
                </c:pt>
                <c:pt idx="14">
                  <c:v>50.129018940304853</c:v>
                </c:pt>
                <c:pt idx="15">
                  <c:v>62.226628856137545</c:v>
                </c:pt>
                <c:pt idx="16">
                  <c:v>77.253161555315828</c:v>
                </c:pt>
                <c:pt idx="17">
                  <c:v>95.919841540114319</c:v>
                </c:pt>
                <c:pt idx="18">
                  <c:v>119.11107007660418</c:v>
                </c:pt>
                <c:pt idx="19">
                  <c:v>147.92669723184596</c:v>
                </c:pt>
                <c:pt idx="20">
                  <c:v>183.73463575678056</c:v>
                </c:pt>
                <c:pt idx="21">
                  <c:v>228.23635211870632</c:v>
                </c:pt>
                <c:pt idx="22">
                  <c:v>283.54839266108587</c:v>
                </c:pt>
                <c:pt idx="23">
                  <c:v>352.30387872423768</c:v>
                </c:pt>
                <c:pt idx="24">
                  <c:v>437.77887133763556</c:v>
                </c:pt>
                <c:pt idx="25">
                  <c:v>544.04971084254669</c:v>
                </c:pt>
                <c:pt idx="26">
                  <c:v>512.12742653614896</c:v>
                </c:pt>
                <c:pt idx="27">
                  <c:v>533.41344770062403</c:v>
                </c:pt>
                <c:pt idx="28">
                  <c:v>554.68160990515742</c:v>
                </c:pt>
                <c:pt idx="29">
                  <c:v>575.9326936477363</c:v>
                </c:pt>
                <c:pt idx="30">
                  <c:v>597.16741718411015</c:v>
                </c:pt>
                <c:pt idx="31">
                  <c:v>618.38644357277724</c:v>
                </c:pt>
                <c:pt idx="32">
                  <c:v>639.59038670342341</c:v>
                </c:pt>
                <c:pt idx="33">
                  <c:v>660.77981648497871</c:v>
                </c:pt>
                <c:pt idx="34">
                  <c:v>681.9552633341616</c:v>
                </c:pt>
                <c:pt idx="35">
                  <c:v>703.11722207803848</c:v>
                </c:pt>
                <c:pt idx="36">
                  <c:v>724.26615536277325</c:v>
                </c:pt>
                <c:pt idx="37">
                  <c:v>745.40249664392525</c:v>
                </c:pt>
                <c:pt idx="38">
                  <c:v>693.5959795072207</c:v>
                </c:pt>
                <c:pt idx="39">
                  <c:v>714.75071892730386</c:v>
                </c:pt>
                <c:pt idx="40">
                  <c:v>735.89267472512904</c:v>
                </c:pt>
                <c:pt idx="41">
                  <c:v>757.02226544469158</c:v>
                </c:pt>
                <c:pt idx="42">
                  <c:v>778.13988438888998</c:v>
                </c:pt>
                <c:pt idx="43">
                  <c:v>799.24590179914821</c:v>
                </c:pt>
                <c:pt idx="44">
                  <c:v>820.34066679309944</c:v>
                </c:pt>
                <c:pt idx="45">
                  <c:v>841.42450909284526</c:v>
                </c:pt>
                <c:pt idx="46">
                  <c:v>862.4977405712001</c:v>
                </c:pt>
                <c:pt idx="47">
                  <c:v>883.56065663915786</c:v>
                </c:pt>
                <c:pt idx="48">
                  <c:v>904.61353749435432</c:v>
                </c:pt>
                <c:pt idx="49">
                  <c:v>925.65664924742578</c:v>
                </c:pt>
                <c:pt idx="50">
                  <c:v>856.07556373750447</c:v>
                </c:pt>
                <c:pt idx="51">
                  <c:v>877.14159365694559</c:v>
                </c:pt>
                <c:pt idx="52">
                  <c:v>898.19750449942967</c:v>
                </c:pt>
                <c:pt idx="53">
                  <c:v>919.24356655678309</c:v>
                </c:pt>
                <c:pt idx="54">
                  <c:v>940.28003675267803</c:v>
                </c:pt>
                <c:pt idx="55">
                  <c:v>961.30715959404461</c:v>
                </c:pt>
                <c:pt idx="56">
                  <c:v>982.32516803503347</c:v>
                </c:pt>
                <c:pt idx="57">
                  <c:v>1003.3342842633001</c:v>
                </c:pt>
                <c:pt idx="58">
                  <c:v>1024.3347204171134</c:v>
                </c:pt>
                <c:pt idx="59">
                  <c:v>1045.3266792406848</c:v>
                </c:pt>
                <c:pt idx="60">
                  <c:v>1066.310354684206</c:v>
                </c:pt>
                <c:pt idx="61">
                  <c:v>1087.2859324542746</c:v>
                </c:pt>
                <c:pt idx="62">
                  <c:v>1001.7774185809267</c:v>
                </c:pt>
                <c:pt idx="63">
                  <c:v>1022.7768085858385</c:v>
                </c:pt>
                <c:pt idx="64">
                  <c:v>1043.7677078872364</c:v>
                </c:pt>
                <c:pt idx="65">
                  <c:v>1064.7503110218936</c:v>
                </c:pt>
                <c:pt idx="66">
                  <c:v>1085.7248042463509</c:v>
                </c:pt>
                <c:pt idx="67">
                  <c:v>1106.6913660456842</c:v>
                </c:pt>
                <c:pt idx="68">
                  <c:v>1127.6501676017708</c:v>
                </c:pt>
                <c:pt idx="69">
                  <c:v>1148.6013732250005</c:v>
                </c:pt>
                <c:pt idx="70">
                  <c:v>1169.5451407528947</c:v>
                </c:pt>
                <c:pt idx="71">
                  <c:v>1190.4816219187444</c:v>
                </c:pt>
                <c:pt idx="72">
                  <c:v>1211.4109626930076</c:v>
                </c:pt>
                <c:pt idx="73">
                  <c:v>1232.3333035999376</c:v>
                </c:pt>
                <c:pt idx="74">
                  <c:v>1132.519698605581</c:v>
                </c:pt>
                <c:pt idx="75">
                  <c:v>1153.4725187956712</c:v>
                </c:pt>
                <c:pt idx="76">
                  <c:v>1174.4179343348151</c:v>
                </c:pt>
                <c:pt idx="77">
                  <c:v>1195.3560956584854</c:v>
                </c:pt>
                <c:pt idx="78">
                  <c:v>1216.2871475114866</c:v>
                </c:pt>
                <c:pt idx="79">
                  <c:v>1237.2112292593822</c:v>
                </c:pt>
                <c:pt idx="80">
                  <c:v>1258.1284751777996</c:v>
                </c:pt>
                <c:pt idx="81">
                  <c:v>1279.0390147215303</c:v>
                </c:pt>
                <c:pt idx="82">
                  <c:v>1299.9429727751497</c:v>
                </c:pt>
                <c:pt idx="83">
                  <c:v>1320.8404698867103</c:v>
                </c:pt>
                <c:pt idx="84">
                  <c:v>1341.7316224859023</c:v>
                </c:pt>
                <c:pt idx="85">
                  <c:v>1362.6165430879519</c:v>
                </c:pt>
                <c:pt idx="86">
                  <c:v>1229.0543232878317</c:v>
                </c:pt>
                <c:pt idx="87">
                  <c:v>1229.0543232878317</c:v>
                </c:pt>
                <c:pt idx="88">
                  <c:v>1229.0543232878317</c:v>
                </c:pt>
                <c:pt idx="89">
                  <c:v>1229.0543232878317</c:v>
                </c:pt>
                <c:pt idx="90">
                  <c:v>1229.0543232878317</c:v>
                </c:pt>
                <c:pt idx="91">
                  <c:v>1229.0543232878317</c:v>
                </c:pt>
                <c:pt idx="92">
                  <c:v>1229.0543232878317</c:v>
                </c:pt>
                <c:pt idx="93">
                  <c:v>1229.0543232878317</c:v>
                </c:pt>
                <c:pt idx="94">
                  <c:v>1229.0543232878317</c:v>
                </c:pt>
                <c:pt idx="95">
                  <c:v>1229.0543232878317</c:v>
                </c:pt>
                <c:pt idx="96">
                  <c:v>1229.0543232878317</c:v>
                </c:pt>
                <c:pt idx="97">
                  <c:v>1229.0543232878317</c:v>
                </c:pt>
                <c:pt idx="98">
                  <c:v>1229.0543232878317</c:v>
                </c:pt>
                <c:pt idx="99">
                  <c:v>1229.0543232878317</c:v>
                </c:pt>
                <c:pt idx="100">
                  <c:v>1229.0543232878317</c:v>
                </c:pt>
                <c:pt idx="101">
                  <c:v>1229.0543232878317</c:v>
                </c:pt>
                <c:pt idx="102">
                  <c:v>1229.0543232878317</c:v>
                </c:pt>
                <c:pt idx="103">
                  <c:v>1229.0543232878317</c:v>
                </c:pt>
                <c:pt idx="104">
                  <c:v>1229.0543232878317</c:v>
                </c:pt>
                <c:pt idx="105">
                  <c:v>1229.0543232878317</c:v>
                </c:pt>
                <c:pt idx="106">
                  <c:v>1229.0543232878317</c:v>
                </c:pt>
                <c:pt idx="107">
                  <c:v>1229.0543232878317</c:v>
                </c:pt>
                <c:pt idx="108">
                  <c:v>1229.0543232878317</c:v>
                </c:pt>
                <c:pt idx="109">
                  <c:v>1229.0543232878317</c:v>
                </c:pt>
                <c:pt idx="110">
                  <c:v>1229.0543232878317</c:v>
                </c:pt>
                <c:pt idx="111">
                  <c:v>1229.0543232878317</c:v>
                </c:pt>
                <c:pt idx="112">
                  <c:v>1229.0543232878317</c:v>
                </c:pt>
                <c:pt idx="113">
                  <c:v>1229.0543232878317</c:v>
                </c:pt>
                <c:pt idx="114">
                  <c:v>1229.0543232878317</c:v>
                </c:pt>
                <c:pt idx="115">
                  <c:v>1229.0543232878317</c:v>
                </c:pt>
                <c:pt idx="116">
                  <c:v>1229.0543232878317</c:v>
                </c:pt>
                <c:pt idx="117">
                  <c:v>1229.0543232878317</c:v>
                </c:pt>
                <c:pt idx="118">
                  <c:v>1229.0543232878317</c:v>
                </c:pt>
                <c:pt idx="119">
                  <c:v>1229.0543232878317</c:v>
                </c:pt>
                <c:pt idx="120">
                  <c:v>1229.0543232878317</c:v>
                </c:pt>
                <c:pt idx="121">
                  <c:v>1229.0543232878317</c:v>
                </c:pt>
                <c:pt idx="122">
                  <c:v>1229.0543232878317</c:v>
                </c:pt>
                <c:pt idx="123">
                  <c:v>1229.0543232878317</c:v>
                </c:pt>
                <c:pt idx="124">
                  <c:v>1229.0543232878317</c:v>
                </c:pt>
                <c:pt idx="125">
                  <c:v>1229.0543232878317</c:v>
                </c:pt>
                <c:pt idx="126">
                  <c:v>1229.0543232878317</c:v>
                </c:pt>
                <c:pt idx="127">
                  <c:v>1229.0543232878317</c:v>
                </c:pt>
                <c:pt idx="128">
                  <c:v>1229.0543232878317</c:v>
                </c:pt>
                <c:pt idx="129">
                  <c:v>1229.0543232878317</c:v>
                </c:pt>
                <c:pt idx="130">
                  <c:v>1229.0543232878317</c:v>
                </c:pt>
                <c:pt idx="131">
                  <c:v>1229.0543232878317</c:v>
                </c:pt>
                <c:pt idx="132">
                  <c:v>1229.0543232878317</c:v>
                </c:pt>
                <c:pt idx="133">
                  <c:v>1229.0543232878317</c:v>
                </c:pt>
                <c:pt idx="134">
                  <c:v>1229.0543232878317</c:v>
                </c:pt>
                <c:pt idx="135">
                  <c:v>1229.0543232878317</c:v>
                </c:pt>
                <c:pt idx="136">
                  <c:v>1229.0543232878317</c:v>
                </c:pt>
                <c:pt idx="137">
                  <c:v>1229.0543232878317</c:v>
                </c:pt>
                <c:pt idx="138">
                  <c:v>1229.0543232878317</c:v>
                </c:pt>
                <c:pt idx="139">
                  <c:v>1229.0543232878317</c:v>
                </c:pt>
                <c:pt idx="140">
                  <c:v>1229.0543232878317</c:v>
                </c:pt>
                <c:pt idx="141">
                  <c:v>1229.0543232878317</c:v>
                </c:pt>
                <c:pt idx="142">
                  <c:v>1229.0543232878317</c:v>
                </c:pt>
                <c:pt idx="143">
                  <c:v>1229.0543232878317</c:v>
                </c:pt>
                <c:pt idx="144">
                  <c:v>1229.0543232878317</c:v>
                </c:pt>
                <c:pt idx="145">
                  <c:v>1229.0543232878317</c:v>
                </c:pt>
                <c:pt idx="146">
                  <c:v>1229.0543232878317</c:v>
                </c:pt>
                <c:pt idx="147">
                  <c:v>1229.0543232878317</c:v>
                </c:pt>
                <c:pt idx="148">
                  <c:v>1229.0543232878317</c:v>
                </c:pt>
                <c:pt idx="149">
                  <c:v>1229.0543232878317</c:v>
                </c:pt>
                <c:pt idx="150">
                  <c:v>1229.0543232878317</c:v>
                </c:pt>
                <c:pt idx="151">
                  <c:v>1229.0543232878317</c:v>
                </c:pt>
                <c:pt idx="152">
                  <c:v>1229.0543232878317</c:v>
                </c:pt>
                <c:pt idx="153">
                  <c:v>1229.0543232878317</c:v>
                </c:pt>
                <c:pt idx="154">
                  <c:v>1229.0543232878317</c:v>
                </c:pt>
                <c:pt idx="155">
                  <c:v>1229.0543232878317</c:v>
                </c:pt>
                <c:pt idx="156">
                  <c:v>1229.0543232878317</c:v>
                </c:pt>
                <c:pt idx="157">
                  <c:v>1229.0543232878317</c:v>
                </c:pt>
                <c:pt idx="158">
                  <c:v>1229.0543232878317</c:v>
                </c:pt>
                <c:pt idx="159">
                  <c:v>1229.0543232878317</c:v>
                </c:pt>
                <c:pt idx="160">
                  <c:v>1229.0543232878317</c:v>
                </c:pt>
                <c:pt idx="161">
                  <c:v>1229.0543232878317</c:v>
                </c:pt>
                <c:pt idx="162">
                  <c:v>1229.0543232878317</c:v>
                </c:pt>
                <c:pt idx="163">
                  <c:v>1229.0543232878317</c:v>
                </c:pt>
                <c:pt idx="164">
                  <c:v>1229.0543232878317</c:v>
                </c:pt>
                <c:pt idx="165">
                  <c:v>1229.0543232878317</c:v>
                </c:pt>
                <c:pt idx="166">
                  <c:v>1229.0543232878317</c:v>
                </c:pt>
                <c:pt idx="167">
                  <c:v>1229.0543232878317</c:v>
                </c:pt>
                <c:pt idx="168">
                  <c:v>1229.0543232878317</c:v>
                </c:pt>
                <c:pt idx="169">
                  <c:v>1229.0543232878317</c:v>
                </c:pt>
                <c:pt idx="170">
                  <c:v>1229.0543232878317</c:v>
                </c:pt>
                <c:pt idx="171">
                  <c:v>1229.0543232878317</c:v>
                </c:pt>
                <c:pt idx="172">
                  <c:v>1229.0543232878317</c:v>
                </c:pt>
                <c:pt idx="173">
                  <c:v>1229.0543232878317</c:v>
                </c:pt>
                <c:pt idx="174">
                  <c:v>1229.0543232878317</c:v>
                </c:pt>
                <c:pt idx="175">
                  <c:v>1229.0543232878317</c:v>
                </c:pt>
                <c:pt idx="176">
                  <c:v>1229.0543232878317</c:v>
                </c:pt>
                <c:pt idx="177">
                  <c:v>1229.0543232878317</c:v>
                </c:pt>
                <c:pt idx="178">
                  <c:v>1229.0543232878317</c:v>
                </c:pt>
                <c:pt idx="179">
                  <c:v>1229.0543232878317</c:v>
                </c:pt>
                <c:pt idx="180">
                  <c:v>1229.0543232878317</c:v>
                </c:pt>
                <c:pt idx="181">
                  <c:v>1229.0543232878317</c:v>
                </c:pt>
                <c:pt idx="182">
                  <c:v>1229.0543232878317</c:v>
                </c:pt>
                <c:pt idx="183">
                  <c:v>1229.0543232878317</c:v>
                </c:pt>
                <c:pt idx="184">
                  <c:v>1229.0543232878317</c:v>
                </c:pt>
                <c:pt idx="185">
                  <c:v>1229.0543232878317</c:v>
                </c:pt>
                <c:pt idx="186">
                  <c:v>1229.0543232878317</c:v>
                </c:pt>
                <c:pt idx="187">
                  <c:v>1229.0543232878317</c:v>
                </c:pt>
                <c:pt idx="188">
                  <c:v>1229.0543232878317</c:v>
                </c:pt>
                <c:pt idx="189">
                  <c:v>1229.0543232878317</c:v>
                </c:pt>
                <c:pt idx="190">
                  <c:v>1229.0543232878317</c:v>
                </c:pt>
                <c:pt idx="191">
                  <c:v>1229.0543232878317</c:v>
                </c:pt>
                <c:pt idx="192">
                  <c:v>1229.0543232878317</c:v>
                </c:pt>
                <c:pt idx="193">
                  <c:v>1229.0543232878317</c:v>
                </c:pt>
                <c:pt idx="194">
                  <c:v>1229.0543232878317</c:v>
                </c:pt>
                <c:pt idx="195">
                  <c:v>1229.0543232878317</c:v>
                </c:pt>
                <c:pt idx="196">
                  <c:v>1229.0543232878317</c:v>
                </c:pt>
                <c:pt idx="197">
                  <c:v>1229.0543232878317</c:v>
                </c:pt>
                <c:pt idx="198">
                  <c:v>1229.0543232878317</c:v>
                </c:pt>
                <c:pt idx="199">
                  <c:v>1229.0543232878317</c:v>
                </c:pt>
                <c:pt idx="200">
                  <c:v>1229.0543232878317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2.1646319571870327</c:v>
                </c:pt>
                <c:pt idx="2">
                  <c:v>2.7052412594597457</c:v>
                </c:pt>
                <c:pt idx="3">
                  <c:v>3.381394451106726</c:v>
                </c:pt>
                <c:pt idx="4">
                  <c:v>4.2272007901471786</c:v>
                </c:pt>
                <c:pt idx="5">
                  <c:v>5.2853825348527117</c:v>
                </c:pt>
                <c:pt idx="6">
                  <c:v>6.609456759158622</c:v>
                </c:pt>
                <c:pt idx="7">
                  <c:v>8.2664714799557455</c:v>
                </c:pt>
                <c:pt idx="8">
                  <c:v>10.340437303185348</c:v>
                </c:pt>
                <c:pt idx="9">
                  <c:v>12.936631855157074</c:v>
                </c:pt>
                <c:pt idx="10">
                  <c:v>16.186999553823771</c:v>
                </c:pt>
                <c:pt idx="11">
                  <c:v>20.256926158566312</c:v>
                </c:pt>
                <c:pt idx="12">
                  <c:v>25.353738991073911</c:v>
                </c:pt>
                <c:pt idx="13">
                  <c:v>31.737373483335244</c:v>
                </c:pt>
                <c:pt idx="14">
                  <c:v>39.733759482015664</c:v>
                </c:pt>
                <c:pt idx="15">
                  <c:v>49.751622430762559</c:v>
                </c:pt>
                <c:pt idx="16">
                  <c:v>62.303572592478702</c:v>
                </c:pt>
                <c:pt idx="17">
                  <c:v>78.032579203191332</c:v>
                </c:pt>
                <c:pt idx="18">
                  <c:v>97.745207612911528</c:v>
                </c:pt>
                <c:pt idx="19">
                  <c:v>122.45335083584519</c:v>
                </c:pt>
                <c:pt idx="20">
                  <c:v>153.426631075046</c:v>
                </c:pt>
                <c:pt idx="21">
                  <c:v>192.25820506208774</c:v>
                </c:pt>
                <c:pt idx="22">
                  <c:v>240.9474088361018</c:v>
                </c:pt>
                <c:pt idx="23">
                  <c:v>302.00355982550064</c:v>
                </c:pt>
                <c:pt idx="24">
                  <c:v>378.57634326209455</c:v>
                </c:pt>
                <c:pt idx="25">
                  <c:v>474.61960450741572</c:v>
                </c:pt>
                <c:pt idx="26">
                  <c:v>446.77942551406665</c:v>
                </c:pt>
                <c:pt idx="27">
                  <c:v>465.34352070993168</c:v>
                </c:pt>
                <c:pt idx="28">
                  <c:v>483.89183106468118</c:v>
                </c:pt>
                <c:pt idx="29">
                  <c:v>502.42504643017469</c:v>
                </c:pt>
                <c:pt idx="30">
                  <c:v>520.94380164477423</c:v>
                </c:pt>
                <c:pt idx="31">
                  <c:v>539.44868276013608</c:v>
                </c:pt>
                <c:pt idx="32">
                  <c:v>557.94023236951227</c:v>
                </c:pt>
                <c:pt idx="33">
                  <c:v>576.41895419327227</c:v>
                </c:pt>
                <c:pt idx="34">
                  <c:v>594.88531704615491</c:v>
                </c:pt>
                <c:pt idx="35">
                  <c:v>613.3397582865864</c:v>
                </c:pt>
                <c:pt idx="36">
                  <c:v>631.78268682954376</c:v>
                </c:pt>
                <c:pt idx="37">
                  <c:v>650.21448578956199</c:v>
                </c:pt>
                <c:pt idx="38">
                  <c:v>605.03387791300463</c:v>
                </c:pt>
                <c:pt idx="39">
                  <c:v>623.48194003607034</c:v>
                </c:pt>
                <c:pt idx="40">
                  <c:v>641.91870315333426</c:v>
                </c:pt>
                <c:pt idx="41">
                  <c:v>660.34453720316071</c:v>
                </c:pt>
                <c:pt idx="42">
                  <c:v>678.75978981397577</c:v>
                </c:pt>
                <c:pt idx="43">
                  <c:v>697.16478823078467</c:v>
                </c:pt>
                <c:pt idx="44">
                  <c:v>715.55984102784726</c:v>
                </c:pt>
                <c:pt idx="45">
                  <c:v>733.94523963624431</c:v>
                </c:pt>
                <c:pt idx="46">
                  <c:v>752.32125971056701</c:v>
                </c:pt>
                <c:pt idx="47">
                  <c:v>770.68816235526401</c:v>
                </c:pt>
                <c:pt idx="48">
                  <c:v>789.04619522812766</c:v>
                </c:pt>
                <c:pt idx="49">
                  <c:v>807.39559353585207</c:v>
                </c:pt>
                <c:pt idx="50">
                  <c:v>728.33475209669507</c:v>
                </c:pt>
                <c:pt idx="51">
                  <c:v>728.33475209669507</c:v>
                </c:pt>
                <c:pt idx="52">
                  <c:v>728.33475209669507</c:v>
                </c:pt>
                <c:pt idx="53">
                  <c:v>728.33475209669507</c:v>
                </c:pt>
                <c:pt idx="54">
                  <c:v>728.33475209669507</c:v>
                </c:pt>
                <c:pt idx="55">
                  <c:v>728.33475209669507</c:v>
                </c:pt>
                <c:pt idx="56">
                  <c:v>728.33475209669507</c:v>
                </c:pt>
                <c:pt idx="57">
                  <c:v>728.33475209669507</c:v>
                </c:pt>
                <c:pt idx="58">
                  <c:v>728.33475209669507</c:v>
                </c:pt>
                <c:pt idx="59">
                  <c:v>728.33475209669507</c:v>
                </c:pt>
                <c:pt idx="60">
                  <c:v>728.33475209669507</c:v>
                </c:pt>
                <c:pt idx="61">
                  <c:v>728.33475209669507</c:v>
                </c:pt>
                <c:pt idx="62">
                  <c:v>728.33475209669507</c:v>
                </c:pt>
                <c:pt idx="63">
                  <c:v>728.33475209669507</c:v>
                </c:pt>
                <c:pt idx="64">
                  <c:v>728.33475209669507</c:v>
                </c:pt>
                <c:pt idx="65">
                  <c:v>728.33475209669507</c:v>
                </c:pt>
                <c:pt idx="66">
                  <c:v>728.33475209669507</c:v>
                </c:pt>
                <c:pt idx="67">
                  <c:v>728.33475209669507</c:v>
                </c:pt>
                <c:pt idx="68">
                  <c:v>728.33475209669507</c:v>
                </c:pt>
                <c:pt idx="69">
                  <c:v>728.33475209669507</c:v>
                </c:pt>
                <c:pt idx="70">
                  <c:v>728.33475209669507</c:v>
                </c:pt>
                <c:pt idx="71">
                  <c:v>728.33475209669507</c:v>
                </c:pt>
                <c:pt idx="72">
                  <c:v>728.33475209669507</c:v>
                </c:pt>
                <c:pt idx="73">
                  <c:v>728.33475209669507</c:v>
                </c:pt>
                <c:pt idx="74">
                  <c:v>728.33475209669507</c:v>
                </c:pt>
                <c:pt idx="75">
                  <c:v>728.33475209669507</c:v>
                </c:pt>
                <c:pt idx="76">
                  <c:v>728.33475209669507</c:v>
                </c:pt>
                <c:pt idx="77">
                  <c:v>728.33475209669507</c:v>
                </c:pt>
                <c:pt idx="78">
                  <c:v>728.33475209669507</c:v>
                </c:pt>
                <c:pt idx="79">
                  <c:v>728.33475209669507</c:v>
                </c:pt>
                <c:pt idx="80">
                  <c:v>728.33475209669507</c:v>
                </c:pt>
                <c:pt idx="81">
                  <c:v>728.33475209669507</c:v>
                </c:pt>
                <c:pt idx="82">
                  <c:v>728.33475209669507</c:v>
                </c:pt>
                <c:pt idx="83">
                  <c:v>728.33475209669507</c:v>
                </c:pt>
                <c:pt idx="84">
                  <c:v>728.33475209669507</c:v>
                </c:pt>
                <c:pt idx="85">
                  <c:v>728.33475209669507</c:v>
                </c:pt>
                <c:pt idx="86">
                  <c:v>728.33475209669507</c:v>
                </c:pt>
                <c:pt idx="87">
                  <c:v>728.33475209669507</c:v>
                </c:pt>
                <c:pt idx="88">
                  <c:v>728.33475209669507</c:v>
                </c:pt>
                <c:pt idx="89">
                  <c:v>728.33475209669507</c:v>
                </c:pt>
                <c:pt idx="90">
                  <c:v>728.33475209669507</c:v>
                </c:pt>
                <c:pt idx="91">
                  <c:v>728.33475209669507</c:v>
                </c:pt>
                <c:pt idx="92">
                  <c:v>728.33475209669507</c:v>
                </c:pt>
                <c:pt idx="93">
                  <c:v>728.33475209669507</c:v>
                </c:pt>
                <c:pt idx="94">
                  <c:v>728.33475209669507</c:v>
                </c:pt>
                <c:pt idx="95">
                  <c:v>728.33475209669507</c:v>
                </c:pt>
                <c:pt idx="96">
                  <c:v>728.33475209669507</c:v>
                </c:pt>
                <c:pt idx="97">
                  <c:v>728.33475209669507</c:v>
                </c:pt>
                <c:pt idx="98">
                  <c:v>728.33475209669507</c:v>
                </c:pt>
                <c:pt idx="99">
                  <c:v>728.33475209669507</c:v>
                </c:pt>
                <c:pt idx="100">
                  <c:v>728.33475209669507</c:v>
                </c:pt>
                <c:pt idx="101">
                  <c:v>728.33475209669507</c:v>
                </c:pt>
                <c:pt idx="102">
                  <c:v>728.33475209669507</c:v>
                </c:pt>
                <c:pt idx="103">
                  <c:v>728.33475209669507</c:v>
                </c:pt>
                <c:pt idx="104">
                  <c:v>728.33475209669507</c:v>
                </c:pt>
                <c:pt idx="105">
                  <c:v>728.33475209669507</c:v>
                </c:pt>
                <c:pt idx="106">
                  <c:v>728.33475209669507</c:v>
                </c:pt>
                <c:pt idx="107">
                  <c:v>728.33475209669507</c:v>
                </c:pt>
                <c:pt idx="108">
                  <c:v>728.33475209669507</c:v>
                </c:pt>
                <c:pt idx="109">
                  <c:v>728.33475209669507</c:v>
                </c:pt>
                <c:pt idx="110">
                  <c:v>728.33475209669507</c:v>
                </c:pt>
                <c:pt idx="111">
                  <c:v>728.33475209669507</c:v>
                </c:pt>
                <c:pt idx="112">
                  <c:v>728.33475209669507</c:v>
                </c:pt>
                <c:pt idx="113">
                  <c:v>728.33475209669507</c:v>
                </c:pt>
                <c:pt idx="114">
                  <c:v>728.33475209669507</c:v>
                </c:pt>
                <c:pt idx="115">
                  <c:v>728.33475209669507</c:v>
                </c:pt>
                <c:pt idx="116">
                  <c:v>728.33475209669507</c:v>
                </c:pt>
                <c:pt idx="117">
                  <c:v>728.33475209669507</c:v>
                </c:pt>
                <c:pt idx="118">
                  <c:v>728.33475209669507</c:v>
                </c:pt>
                <c:pt idx="119">
                  <c:v>728.33475209669507</c:v>
                </c:pt>
                <c:pt idx="120">
                  <c:v>728.33475209669507</c:v>
                </c:pt>
                <c:pt idx="121">
                  <c:v>728.33475209669507</c:v>
                </c:pt>
                <c:pt idx="122">
                  <c:v>728.33475209669507</c:v>
                </c:pt>
                <c:pt idx="123">
                  <c:v>728.33475209669507</c:v>
                </c:pt>
                <c:pt idx="124">
                  <c:v>728.33475209669507</c:v>
                </c:pt>
                <c:pt idx="125">
                  <c:v>728.33475209669507</c:v>
                </c:pt>
                <c:pt idx="126">
                  <c:v>728.33475209669507</c:v>
                </c:pt>
                <c:pt idx="127">
                  <c:v>728.33475209669507</c:v>
                </c:pt>
                <c:pt idx="128">
                  <c:v>728.33475209669507</c:v>
                </c:pt>
                <c:pt idx="129">
                  <c:v>728.33475209669507</c:v>
                </c:pt>
                <c:pt idx="130">
                  <c:v>728.33475209669507</c:v>
                </c:pt>
                <c:pt idx="131">
                  <c:v>728.33475209669507</c:v>
                </c:pt>
                <c:pt idx="132">
                  <c:v>728.33475209669507</c:v>
                </c:pt>
                <c:pt idx="133">
                  <c:v>728.33475209669507</c:v>
                </c:pt>
                <c:pt idx="134">
                  <c:v>728.33475209669507</c:v>
                </c:pt>
                <c:pt idx="135">
                  <c:v>728.33475209669507</c:v>
                </c:pt>
                <c:pt idx="136">
                  <c:v>728.33475209669507</c:v>
                </c:pt>
                <c:pt idx="137">
                  <c:v>728.33475209669507</c:v>
                </c:pt>
                <c:pt idx="138">
                  <c:v>728.33475209669507</c:v>
                </c:pt>
                <c:pt idx="139">
                  <c:v>728.33475209669507</c:v>
                </c:pt>
                <c:pt idx="140">
                  <c:v>728.33475209669507</c:v>
                </c:pt>
                <c:pt idx="141">
                  <c:v>728.33475209669507</c:v>
                </c:pt>
                <c:pt idx="142">
                  <c:v>728.33475209669507</c:v>
                </c:pt>
                <c:pt idx="143">
                  <c:v>728.33475209669507</c:v>
                </c:pt>
                <c:pt idx="144">
                  <c:v>728.33475209669507</c:v>
                </c:pt>
                <c:pt idx="145">
                  <c:v>728.33475209669507</c:v>
                </c:pt>
                <c:pt idx="146">
                  <c:v>728.33475209669507</c:v>
                </c:pt>
                <c:pt idx="147">
                  <c:v>728.33475209669507</c:v>
                </c:pt>
                <c:pt idx="148">
                  <c:v>728.33475209669507</c:v>
                </c:pt>
                <c:pt idx="149">
                  <c:v>728.33475209669507</c:v>
                </c:pt>
                <c:pt idx="150">
                  <c:v>728.33475209669507</c:v>
                </c:pt>
                <c:pt idx="151">
                  <c:v>728.33475209669507</c:v>
                </c:pt>
                <c:pt idx="152">
                  <c:v>728.33475209669507</c:v>
                </c:pt>
                <c:pt idx="153">
                  <c:v>728.33475209669507</c:v>
                </c:pt>
                <c:pt idx="154">
                  <c:v>728.33475209669507</c:v>
                </c:pt>
                <c:pt idx="155">
                  <c:v>728.33475209669507</c:v>
                </c:pt>
                <c:pt idx="156">
                  <c:v>728.33475209669507</c:v>
                </c:pt>
                <c:pt idx="157">
                  <c:v>728.33475209669507</c:v>
                </c:pt>
                <c:pt idx="158">
                  <c:v>728.33475209669507</c:v>
                </c:pt>
                <c:pt idx="159">
                  <c:v>728.33475209669507</c:v>
                </c:pt>
                <c:pt idx="160">
                  <c:v>728.33475209669507</c:v>
                </c:pt>
                <c:pt idx="161">
                  <c:v>728.33475209669507</c:v>
                </c:pt>
                <c:pt idx="162">
                  <c:v>728.33475209669507</c:v>
                </c:pt>
                <c:pt idx="163">
                  <c:v>728.33475209669507</c:v>
                </c:pt>
                <c:pt idx="164">
                  <c:v>728.33475209669507</c:v>
                </c:pt>
                <c:pt idx="165">
                  <c:v>728.33475209669507</c:v>
                </c:pt>
                <c:pt idx="166">
                  <c:v>728.33475209669507</c:v>
                </c:pt>
                <c:pt idx="167">
                  <c:v>728.33475209669507</c:v>
                </c:pt>
                <c:pt idx="168">
                  <c:v>728.33475209669507</c:v>
                </c:pt>
                <c:pt idx="169">
                  <c:v>728.33475209669507</c:v>
                </c:pt>
                <c:pt idx="170">
                  <c:v>728.33475209669507</c:v>
                </c:pt>
                <c:pt idx="171">
                  <c:v>728.33475209669507</c:v>
                </c:pt>
                <c:pt idx="172">
                  <c:v>728.33475209669507</c:v>
                </c:pt>
                <c:pt idx="173">
                  <c:v>728.33475209669507</c:v>
                </c:pt>
                <c:pt idx="174">
                  <c:v>728.33475209669507</c:v>
                </c:pt>
                <c:pt idx="175">
                  <c:v>728.33475209669507</c:v>
                </c:pt>
                <c:pt idx="176">
                  <c:v>728.33475209669507</c:v>
                </c:pt>
                <c:pt idx="177">
                  <c:v>728.33475209669507</c:v>
                </c:pt>
                <c:pt idx="178">
                  <c:v>728.33475209669507</c:v>
                </c:pt>
                <c:pt idx="179">
                  <c:v>728.33475209669507</c:v>
                </c:pt>
                <c:pt idx="180">
                  <c:v>728.33475209669507</c:v>
                </c:pt>
                <c:pt idx="181">
                  <c:v>728.33475209669507</c:v>
                </c:pt>
                <c:pt idx="182">
                  <c:v>728.33475209669507</c:v>
                </c:pt>
                <c:pt idx="183">
                  <c:v>728.33475209669507</c:v>
                </c:pt>
                <c:pt idx="184">
                  <c:v>728.33475209669507</c:v>
                </c:pt>
                <c:pt idx="185">
                  <c:v>728.33475209669507</c:v>
                </c:pt>
                <c:pt idx="186">
                  <c:v>728.33475209669507</c:v>
                </c:pt>
                <c:pt idx="187">
                  <c:v>728.33475209669507</c:v>
                </c:pt>
                <c:pt idx="188">
                  <c:v>728.33475209669507</c:v>
                </c:pt>
                <c:pt idx="189">
                  <c:v>728.33475209669507</c:v>
                </c:pt>
                <c:pt idx="190">
                  <c:v>728.33475209669507</c:v>
                </c:pt>
                <c:pt idx="191">
                  <c:v>728.33475209669507</c:v>
                </c:pt>
                <c:pt idx="192">
                  <c:v>728.33475209669507</c:v>
                </c:pt>
                <c:pt idx="193">
                  <c:v>728.33475209669507</c:v>
                </c:pt>
                <c:pt idx="194">
                  <c:v>728.33475209669507</c:v>
                </c:pt>
                <c:pt idx="195">
                  <c:v>728.33475209669507</c:v>
                </c:pt>
                <c:pt idx="196">
                  <c:v>728.33475209669507</c:v>
                </c:pt>
                <c:pt idx="197">
                  <c:v>728.33475209669507</c:v>
                </c:pt>
                <c:pt idx="198">
                  <c:v>728.33475209669507</c:v>
                </c:pt>
                <c:pt idx="199">
                  <c:v>728.33475209669507</c:v>
                </c:pt>
                <c:pt idx="200">
                  <c:v>728.33475209669507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3.3843493212222326</c:v>
                </c:pt>
                <c:pt idx="2">
                  <c:v>4.1941221257989456</c:v>
                </c:pt>
                <c:pt idx="3">
                  <c:v>5.1983844290529273</c:v>
                </c:pt>
                <c:pt idx="4">
                  <c:v>6.4440145520314145</c:v>
                </c:pt>
                <c:pt idx="5">
                  <c:v>7.9892274702735513</c:v>
                </c:pt>
                <c:pt idx="6">
                  <c:v>9.906324779281471</c:v>
                </c:pt>
                <c:pt idx="7">
                  <c:v>12.285113607547283</c:v>
                </c:pt>
                <c:pt idx="8">
                  <c:v>15.237157622496333</c:v>
                </c:pt>
                <c:pt idx="9">
                  <c:v>18.901063156460435</c:v>
                </c:pt>
                <c:pt idx="10">
                  <c:v>23.4490531315457</c:v>
                </c:pt>
                <c:pt idx="11">
                  <c:v>29.095143281983365</c:v>
                </c:pt>
                <c:pt idx="12">
                  <c:v>36.105312147801186</c:v>
                </c:pt>
                <c:pt idx="13">
                  <c:v>44.810152166735953</c:v>
                </c:pt>
                <c:pt idx="14">
                  <c:v>55.620608560266184</c:v>
                </c:pt>
                <c:pt idx="15">
                  <c:v>69.047561373866429</c:v>
                </c:pt>
                <c:pt idx="16">
                  <c:v>85.726191193077668</c:v>
                </c:pt>
                <c:pt idx="17">
                  <c:v>106.44629969105415</c:v>
                </c:pt>
                <c:pt idx="18">
                  <c:v>132.19004345571275</c:v>
                </c:pt>
                <c:pt idx="19">
                  <c:v>164.1788974369905</c:v>
                </c:pt>
                <c:pt idx="20">
                  <c:v>203.93211022398762</c:v>
                </c:pt>
                <c:pt idx="21">
                  <c:v>253.33946886804441</c:v>
                </c:pt>
                <c:pt idx="22">
                  <c:v>314.75188311134622</c:v>
                </c:pt>
                <c:pt idx="23">
                  <c:v>391.09416132015252</c:v>
                </c:pt>
                <c:pt idx="24">
                  <c:v>486.0054251182562</c:v>
                </c:pt>
                <c:pt idx="25">
                  <c:v>604.01394898353067</c:v>
                </c:pt>
                <c:pt idx="26">
                  <c:v>568.56525448854643</c:v>
                </c:pt>
                <c:pt idx="27">
                  <c:v>592.20266170253046</c:v>
                </c:pt>
                <c:pt idx="28">
                  <c:v>615.8204395663281</c:v>
                </c:pt>
                <c:pt idx="29">
                  <c:v>639.41944595007112</c:v>
                </c:pt>
                <c:pt idx="30">
                  <c:v>663.0004703114696</c:v>
                </c:pt>
                <c:pt idx="31">
                  <c:v>686.56424143918241</c:v>
                </c:pt>
                <c:pt idx="32">
                  <c:v>710.11143407886414</c:v>
                </c:pt>
                <c:pt idx="33">
                  <c:v>733.64267463552358</c:v>
                </c:pt>
                <c:pt idx="34">
                  <c:v>757.1585461070257</c:v>
                </c:pt>
                <c:pt idx="35">
                  <c:v>780.65959237351808</c:v>
                </c:pt>
                <c:pt idx="36">
                  <c:v>804.14632194409558</c:v>
                </c:pt>
                <c:pt idx="37">
                  <c:v>827.61921124353319</c:v>
                </c:pt>
                <c:pt idx="38">
                  <c:v>770.08592288099896</c:v>
                </c:pt>
                <c:pt idx="39">
                  <c:v>793.57903415937801</c:v>
                </c:pt>
                <c:pt idx="40">
                  <c:v>817.058094552444</c:v>
                </c:pt>
                <c:pt idx="41">
                  <c:v>840.52356409519768</c:v>
                </c:pt>
                <c:pt idx="42">
                  <c:v>863.97587507934907</c:v>
                </c:pt>
                <c:pt idx="43">
                  <c:v>887.41543444900799</c:v>
                </c:pt>
                <c:pt idx="44">
                  <c:v>910.84262593045594</c:v>
                </c:pt>
                <c:pt idx="45">
                  <c:v>934.25781193172804</c:v>
                </c:pt>
                <c:pt idx="46">
                  <c:v>957.66133524214217</c:v>
                </c:pt>
                <c:pt idx="47">
                  <c:v>981.05352055730589</c:v>
                </c:pt>
                <c:pt idx="48">
                  <c:v>1004.4346758513416</c:v>
                </c:pt>
                <c:pt idx="49">
                  <c:v>1027.805093614902</c:v>
                </c:pt>
                <c:pt idx="50">
                  <c:v>950.5289771945221</c:v>
                </c:pt>
                <c:pt idx="51">
                  <c:v>973.92458504276692</c:v>
                </c:pt>
                <c:pt idx="52">
                  <c:v>997.30907069208172</c:v>
                </c:pt>
                <c:pt idx="53">
                  <c:v>1020.6827312287993</c:v>
                </c:pt>
                <c:pt idx="54">
                  <c:v>1044.04584904589</c:v>
                </c:pt>
                <c:pt idx="55">
                  <c:v>1067.3986928886864</c:v>
                </c:pt>
                <c:pt idx="56">
                  <c:v>1090.7415188044963</c:v>
                </c:pt>
                <c:pt idx="57">
                  <c:v>1114.0745710068302</c:v>
                </c:pt>
                <c:pt idx="58">
                  <c:v>1137.3980826635977</c:v>
                </c:pt>
                <c:pt idx="59">
                  <c:v>1160.7122766174025</c:v>
                </c:pt>
                <c:pt idx="60">
                  <c:v>1184.0173660450616</c:v>
                </c:pt>
                <c:pt idx="61">
                  <c:v>1207.3135550625952</c:v>
                </c:pt>
                <c:pt idx="62">
                  <c:v>1112.3454882450235</c:v>
                </c:pt>
                <c:pt idx="63">
                  <c:v>1135.6678307141558</c:v>
                </c:pt>
                <c:pt idx="64">
                  <c:v>1158.9808407813373</c:v>
                </c:pt>
                <c:pt idx="65">
                  <c:v>1182.284732268115</c:v>
                </c:pt>
                <c:pt idx="66">
                  <c:v>1205.5797098949702</c:v>
                </c:pt>
                <c:pt idx="67">
                  <c:v>1228.8659698405179</c:v>
                </c:pt>
                <c:pt idx="68">
                  <c:v>1252.1437002561995</c:v>
                </c:pt>
                <c:pt idx="69">
                  <c:v>1275.4130817407827</c:v>
                </c:pt>
                <c:pt idx="70">
                  <c:v>1298.6742877785011</c:v>
                </c:pt>
                <c:pt idx="71">
                  <c:v>1321.9274851442349</c:v>
                </c:pt>
                <c:pt idx="72">
                  <c:v>1345.1728342787519</c:v>
                </c:pt>
                <c:pt idx="73">
                  <c:v>1368.4104896367232</c:v>
                </c:pt>
                <c:pt idx="74">
                  <c:v>1257.5520196909818</c:v>
                </c:pt>
                <c:pt idx="75">
                  <c:v>1280.8232144615802</c:v>
                </c:pt>
                <c:pt idx="76">
                  <c:v>1304.0862705451048</c:v>
                </c:pt>
                <c:pt idx="77">
                  <c:v>1327.3413532899631</c:v>
                </c:pt>
                <c:pt idx="78">
                  <c:v>1350.5886217897662</c:v>
                </c:pt>
                <c:pt idx="79">
                  <c:v>1373.8282292256333</c:v>
                </c:pt>
                <c:pt idx="80">
                  <c:v>1397.0603231841712</c:v>
                </c:pt>
                <c:pt idx="81">
                  <c:v>1420.2850459532538</c:v>
                </c:pt>
                <c:pt idx="82">
                  <c:v>1443.5025347974852</c:v>
                </c:pt>
                <c:pt idx="83">
                  <c:v>1466.7129222150586</c:v>
                </c:pt>
                <c:pt idx="84">
                  <c:v>1489.9163361775456</c:v>
                </c:pt>
                <c:pt idx="85">
                  <c:v>1513.1129003540061</c:v>
                </c:pt>
                <c:pt idx="86">
                  <c:v>1364.7686445383138</c:v>
                </c:pt>
                <c:pt idx="87">
                  <c:v>1364.7686445383138</c:v>
                </c:pt>
                <c:pt idx="88">
                  <c:v>1364.7686445383138</c:v>
                </c:pt>
                <c:pt idx="89">
                  <c:v>1364.7686445383138</c:v>
                </c:pt>
                <c:pt idx="90">
                  <c:v>1364.7686445383138</c:v>
                </c:pt>
                <c:pt idx="91">
                  <c:v>1364.7686445383138</c:v>
                </c:pt>
                <c:pt idx="92">
                  <c:v>1364.7686445383138</c:v>
                </c:pt>
                <c:pt idx="93">
                  <c:v>1364.7686445383138</c:v>
                </c:pt>
                <c:pt idx="94">
                  <c:v>1364.7686445383138</c:v>
                </c:pt>
                <c:pt idx="95">
                  <c:v>1364.7686445383138</c:v>
                </c:pt>
                <c:pt idx="96">
                  <c:v>1364.7686445383138</c:v>
                </c:pt>
                <c:pt idx="97">
                  <c:v>1364.7686445383138</c:v>
                </c:pt>
                <c:pt idx="98">
                  <c:v>1364.7686445383138</c:v>
                </c:pt>
                <c:pt idx="99">
                  <c:v>1364.7686445383138</c:v>
                </c:pt>
                <c:pt idx="100">
                  <c:v>1364.7686445383138</c:v>
                </c:pt>
                <c:pt idx="101">
                  <c:v>1364.7686445383138</c:v>
                </c:pt>
                <c:pt idx="102">
                  <c:v>1364.7686445383138</c:v>
                </c:pt>
                <c:pt idx="103">
                  <c:v>1364.7686445383138</c:v>
                </c:pt>
                <c:pt idx="104">
                  <c:v>1364.7686445383138</c:v>
                </c:pt>
                <c:pt idx="105">
                  <c:v>1364.7686445383138</c:v>
                </c:pt>
                <c:pt idx="106">
                  <c:v>1364.7686445383138</c:v>
                </c:pt>
                <c:pt idx="107">
                  <c:v>1364.7686445383138</c:v>
                </c:pt>
                <c:pt idx="108">
                  <c:v>1364.7686445383138</c:v>
                </c:pt>
                <c:pt idx="109">
                  <c:v>1364.7686445383138</c:v>
                </c:pt>
                <c:pt idx="110">
                  <c:v>1364.7686445383138</c:v>
                </c:pt>
                <c:pt idx="111">
                  <c:v>1364.7686445383138</c:v>
                </c:pt>
                <c:pt idx="112">
                  <c:v>1364.7686445383138</c:v>
                </c:pt>
                <c:pt idx="113">
                  <c:v>1364.7686445383138</c:v>
                </c:pt>
                <c:pt idx="114">
                  <c:v>1364.7686445383138</c:v>
                </c:pt>
                <c:pt idx="115">
                  <c:v>1364.7686445383138</c:v>
                </c:pt>
                <c:pt idx="116">
                  <c:v>1364.7686445383138</c:v>
                </c:pt>
                <c:pt idx="117">
                  <c:v>1364.7686445383138</c:v>
                </c:pt>
                <c:pt idx="118">
                  <c:v>1364.7686445383138</c:v>
                </c:pt>
                <c:pt idx="119">
                  <c:v>1364.7686445383138</c:v>
                </c:pt>
                <c:pt idx="120">
                  <c:v>1364.7686445383138</c:v>
                </c:pt>
                <c:pt idx="121">
                  <c:v>1364.7686445383138</c:v>
                </c:pt>
                <c:pt idx="122">
                  <c:v>1364.7686445383138</c:v>
                </c:pt>
                <c:pt idx="123">
                  <c:v>1364.7686445383138</c:v>
                </c:pt>
                <c:pt idx="124">
                  <c:v>1364.7686445383138</c:v>
                </c:pt>
                <c:pt idx="125">
                  <c:v>1364.7686445383138</c:v>
                </c:pt>
                <c:pt idx="126">
                  <c:v>1364.7686445383138</c:v>
                </c:pt>
                <c:pt idx="127">
                  <c:v>1364.7686445383138</c:v>
                </c:pt>
                <c:pt idx="128">
                  <c:v>1364.7686445383138</c:v>
                </c:pt>
                <c:pt idx="129">
                  <c:v>1364.7686445383138</c:v>
                </c:pt>
                <c:pt idx="130">
                  <c:v>1364.7686445383138</c:v>
                </c:pt>
                <c:pt idx="131">
                  <c:v>1364.7686445383138</c:v>
                </c:pt>
                <c:pt idx="132">
                  <c:v>1364.7686445383138</c:v>
                </c:pt>
                <c:pt idx="133">
                  <c:v>1364.7686445383138</c:v>
                </c:pt>
                <c:pt idx="134">
                  <c:v>1364.7686445383138</c:v>
                </c:pt>
                <c:pt idx="135">
                  <c:v>1364.7686445383138</c:v>
                </c:pt>
                <c:pt idx="136">
                  <c:v>1364.7686445383138</c:v>
                </c:pt>
                <c:pt idx="137">
                  <c:v>1364.7686445383138</c:v>
                </c:pt>
                <c:pt idx="138">
                  <c:v>1364.7686445383138</c:v>
                </c:pt>
                <c:pt idx="139">
                  <c:v>1364.7686445383138</c:v>
                </c:pt>
                <c:pt idx="140">
                  <c:v>1364.7686445383138</c:v>
                </c:pt>
                <c:pt idx="141">
                  <c:v>1364.7686445383138</c:v>
                </c:pt>
                <c:pt idx="142">
                  <c:v>1364.7686445383138</c:v>
                </c:pt>
                <c:pt idx="143">
                  <c:v>1364.7686445383138</c:v>
                </c:pt>
                <c:pt idx="144">
                  <c:v>1364.7686445383138</c:v>
                </c:pt>
                <c:pt idx="145">
                  <c:v>1364.7686445383138</c:v>
                </c:pt>
                <c:pt idx="146">
                  <c:v>1364.7686445383138</c:v>
                </c:pt>
                <c:pt idx="147">
                  <c:v>1364.7686445383138</c:v>
                </c:pt>
                <c:pt idx="148">
                  <c:v>1364.7686445383138</c:v>
                </c:pt>
                <c:pt idx="149">
                  <c:v>1364.7686445383138</c:v>
                </c:pt>
                <c:pt idx="150">
                  <c:v>1364.7686445383138</c:v>
                </c:pt>
                <c:pt idx="151">
                  <c:v>1364.7686445383138</c:v>
                </c:pt>
                <c:pt idx="152">
                  <c:v>1364.7686445383138</c:v>
                </c:pt>
                <c:pt idx="153">
                  <c:v>1364.7686445383138</c:v>
                </c:pt>
                <c:pt idx="154">
                  <c:v>1364.7686445383138</c:v>
                </c:pt>
                <c:pt idx="155">
                  <c:v>1364.7686445383138</c:v>
                </c:pt>
                <c:pt idx="156">
                  <c:v>1364.7686445383138</c:v>
                </c:pt>
                <c:pt idx="157">
                  <c:v>1364.7686445383138</c:v>
                </c:pt>
                <c:pt idx="158">
                  <c:v>1364.7686445383138</c:v>
                </c:pt>
                <c:pt idx="159">
                  <c:v>1364.7686445383138</c:v>
                </c:pt>
                <c:pt idx="160">
                  <c:v>1364.7686445383138</c:v>
                </c:pt>
                <c:pt idx="161">
                  <c:v>1364.7686445383138</c:v>
                </c:pt>
                <c:pt idx="162">
                  <c:v>1364.7686445383138</c:v>
                </c:pt>
                <c:pt idx="163">
                  <c:v>1364.7686445383138</c:v>
                </c:pt>
                <c:pt idx="164">
                  <c:v>1364.7686445383138</c:v>
                </c:pt>
                <c:pt idx="165">
                  <c:v>1364.7686445383138</c:v>
                </c:pt>
                <c:pt idx="166">
                  <c:v>1364.7686445383138</c:v>
                </c:pt>
                <c:pt idx="167">
                  <c:v>1364.7686445383138</c:v>
                </c:pt>
                <c:pt idx="168">
                  <c:v>1364.7686445383138</c:v>
                </c:pt>
                <c:pt idx="169">
                  <c:v>1364.7686445383138</c:v>
                </c:pt>
                <c:pt idx="170">
                  <c:v>1364.7686445383138</c:v>
                </c:pt>
                <c:pt idx="171">
                  <c:v>1364.7686445383138</c:v>
                </c:pt>
                <c:pt idx="172">
                  <c:v>1364.7686445383138</c:v>
                </c:pt>
                <c:pt idx="173">
                  <c:v>1364.7686445383138</c:v>
                </c:pt>
                <c:pt idx="174">
                  <c:v>1364.7686445383138</c:v>
                </c:pt>
                <c:pt idx="175">
                  <c:v>1364.7686445383138</c:v>
                </c:pt>
                <c:pt idx="176">
                  <c:v>1364.7686445383138</c:v>
                </c:pt>
                <c:pt idx="177">
                  <c:v>1364.7686445383138</c:v>
                </c:pt>
                <c:pt idx="178">
                  <c:v>1364.7686445383138</c:v>
                </c:pt>
                <c:pt idx="179">
                  <c:v>1364.7686445383138</c:v>
                </c:pt>
                <c:pt idx="180">
                  <c:v>1364.7686445383138</c:v>
                </c:pt>
                <c:pt idx="181">
                  <c:v>1364.7686445383138</c:v>
                </c:pt>
                <c:pt idx="182">
                  <c:v>1364.7686445383138</c:v>
                </c:pt>
                <c:pt idx="183">
                  <c:v>1364.7686445383138</c:v>
                </c:pt>
                <c:pt idx="184">
                  <c:v>1364.7686445383138</c:v>
                </c:pt>
                <c:pt idx="185">
                  <c:v>1364.7686445383138</c:v>
                </c:pt>
                <c:pt idx="186">
                  <c:v>1364.7686445383138</c:v>
                </c:pt>
                <c:pt idx="187">
                  <c:v>1364.7686445383138</c:v>
                </c:pt>
                <c:pt idx="188">
                  <c:v>1364.7686445383138</c:v>
                </c:pt>
                <c:pt idx="189">
                  <c:v>1364.7686445383138</c:v>
                </c:pt>
                <c:pt idx="190">
                  <c:v>1364.7686445383138</c:v>
                </c:pt>
                <c:pt idx="191">
                  <c:v>1364.7686445383138</c:v>
                </c:pt>
                <c:pt idx="192">
                  <c:v>1364.7686445383138</c:v>
                </c:pt>
                <c:pt idx="193">
                  <c:v>1364.7686445383138</c:v>
                </c:pt>
                <c:pt idx="194">
                  <c:v>1364.7686445383138</c:v>
                </c:pt>
                <c:pt idx="195">
                  <c:v>1364.7686445383138</c:v>
                </c:pt>
                <c:pt idx="196">
                  <c:v>1364.7686445383138</c:v>
                </c:pt>
                <c:pt idx="197">
                  <c:v>1364.7686445383138</c:v>
                </c:pt>
                <c:pt idx="198">
                  <c:v>1364.7686445383138</c:v>
                </c:pt>
                <c:pt idx="199">
                  <c:v>1364.7686445383138</c:v>
                </c:pt>
                <c:pt idx="200">
                  <c:v>1364.7686445383138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7" zoomScale="140" zoomScaleNormal="80" workbookViewId="0">
      <selection activeCell="B43" sqref="B43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4" t="s">
        <v>231</v>
      </c>
      <c r="B5" s="304"/>
      <c r="C5" s="26">
        <v>8.6999999999999993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164</v>
      </c>
      <c r="C9" s="35">
        <v>0.3</v>
      </c>
      <c r="D9" s="36">
        <f t="shared" ref="D9:D18" si="0">C9*$C$5</f>
        <v>2.61</v>
      </c>
      <c r="E9" s="37">
        <v>85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12</v>
      </c>
      <c r="C10" s="35">
        <v>0.28999999999999998</v>
      </c>
      <c r="D10" s="36">
        <f t="shared" si="0"/>
        <v>2.5229999999999997</v>
      </c>
      <c r="E10" s="37">
        <v>181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</v>
      </c>
      <c r="C11" s="35">
        <v>0.11</v>
      </c>
      <c r="D11" s="36">
        <f t="shared" si="0"/>
        <v>0.95699999999999996</v>
      </c>
      <c r="E11" s="37">
        <v>85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50</v>
      </c>
      <c r="C12" s="35">
        <v>0.1</v>
      </c>
      <c r="D12" s="36">
        <f t="shared" si="0"/>
        <v>0.87</v>
      </c>
      <c r="E12" s="37">
        <v>49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52</v>
      </c>
      <c r="C13" s="35">
        <v>0.2</v>
      </c>
      <c r="D13" s="36">
        <f t="shared" si="0"/>
        <v>1.74</v>
      </c>
      <c r="E13" s="37">
        <v>85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8.6999999999999993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25</v>
      </c>
      <c r="B36" s="63">
        <v>119.4</v>
      </c>
      <c r="C36" s="63">
        <v>1</v>
      </c>
      <c r="D36" s="63">
        <v>11.94</v>
      </c>
      <c r="E36" s="54">
        <v>0</v>
      </c>
      <c r="F36" s="54">
        <v>0.25</v>
      </c>
      <c r="G36" s="54">
        <v>0</v>
      </c>
      <c r="H36" s="54">
        <v>0.75</v>
      </c>
      <c r="I36" s="52">
        <f>IFERROR(B36/A36,"")</f>
        <v>4.7759999999999998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29</v>
      </c>
      <c r="B37" s="63">
        <v>172.26</v>
      </c>
      <c r="C37" s="63">
        <v>2</v>
      </c>
      <c r="D37" s="63">
        <v>0</v>
      </c>
      <c r="E37" s="54">
        <v>0</v>
      </c>
      <c r="F37" s="54">
        <v>0.38</v>
      </c>
      <c r="G37" s="54">
        <v>0</v>
      </c>
      <c r="H37" s="54">
        <v>0.62</v>
      </c>
      <c r="I37" s="56">
        <f t="shared" ref="I37:I55" si="1">IF(A37&lt;&gt;0,(B37-(B36-D36))/(A37-A36),"")</f>
        <v>16.199999999999996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30</v>
      </c>
      <c r="B38" s="63">
        <v>188.06</v>
      </c>
      <c r="C38" s="63">
        <v>3</v>
      </c>
      <c r="D38" s="63">
        <v>0</v>
      </c>
      <c r="E38" s="54">
        <v>0</v>
      </c>
      <c r="F38" s="54">
        <v>0.4</v>
      </c>
      <c r="G38" s="54">
        <v>0</v>
      </c>
      <c r="H38" s="54">
        <v>0.6</v>
      </c>
      <c r="I38" s="56">
        <f t="shared" si="1"/>
        <v>15.800000000000011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283">
        <v>34</v>
      </c>
      <c r="B39" s="53">
        <v>251.26</v>
      </c>
      <c r="C39" s="63">
        <v>4</v>
      </c>
      <c r="D39" s="53">
        <v>0</v>
      </c>
      <c r="E39" s="54">
        <v>0</v>
      </c>
      <c r="F39" s="54">
        <v>0.45</v>
      </c>
      <c r="G39" s="54">
        <v>0</v>
      </c>
      <c r="H39" s="54">
        <v>0.55000000000000004</v>
      </c>
      <c r="I39" s="52">
        <f t="shared" si="1"/>
        <v>15.799999999999997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37</v>
      </c>
      <c r="B40" s="63">
        <v>300.16000000000003</v>
      </c>
      <c r="C40" s="63">
        <v>5</v>
      </c>
      <c r="D40" s="63">
        <v>30.02</v>
      </c>
      <c r="E40" s="54">
        <v>0</v>
      </c>
      <c r="F40" s="54">
        <v>0.47</v>
      </c>
      <c r="G40" s="54">
        <v>0</v>
      </c>
      <c r="H40" s="54">
        <v>0.53</v>
      </c>
      <c r="I40" s="52">
        <f t="shared" si="1"/>
        <v>16.300000000000011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49</v>
      </c>
      <c r="B41" s="63">
        <v>481.34</v>
      </c>
      <c r="C41" s="63">
        <v>7</v>
      </c>
      <c r="D41" s="63">
        <v>48.13</v>
      </c>
      <c r="E41" s="54">
        <v>7.0000000000000007E-2</v>
      </c>
      <c r="F41" s="54">
        <v>0.51</v>
      </c>
      <c r="G41" s="54">
        <v>0</v>
      </c>
      <c r="H41" s="54">
        <v>0.42</v>
      </c>
      <c r="I41" s="56">
        <f t="shared" si="1"/>
        <v>17.599999999999994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61</v>
      </c>
      <c r="B42" s="63">
        <v>611.01</v>
      </c>
      <c r="C42" s="63">
        <v>8</v>
      </c>
      <c r="D42" s="63">
        <v>61.1</v>
      </c>
      <c r="E42" s="54">
        <v>0.09</v>
      </c>
      <c r="F42" s="54">
        <v>0.54</v>
      </c>
      <c r="G42" s="54">
        <v>0</v>
      </c>
      <c r="H42" s="54">
        <v>0.37</v>
      </c>
      <c r="I42" s="56">
        <f t="shared" si="1"/>
        <v>14.816666666666668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53">
        <v>73</v>
      </c>
      <c r="B43" s="63">
        <v>728.71</v>
      </c>
      <c r="C43" s="63">
        <v>9</v>
      </c>
      <c r="D43" s="63">
        <v>72.87</v>
      </c>
      <c r="E43" s="54">
        <v>0.11</v>
      </c>
      <c r="F43" s="54">
        <v>0.55000000000000004</v>
      </c>
      <c r="G43" s="54">
        <v>0</v>
      </c>
      <c r="H43" s="54">
        <v>0.34</v>
      </c>
      <c r="I43" s="52">
        <f t="shared" si="1"/>
        <v>14.900000000000006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53">
        <v>85</v>
      </c>
      <c r="B44" s="63">
        <v>834.64</v>
      </c>
      <c r="C44" s="63">
        <v>10</v>
      </c>
      <c r="D44" s="63">
        <v>83.46</v>
      </c>
      <c r="E44" s="54">
        <v>0.12</v>
      </c>
      <c r="F44" s="54">
        <v>0.56000000000000005</v>
      </c>
      <c r="G44" s="54">
        <v>0</v>
      </c>
      <c r="H44" s="54">
        <v>0.32</v>
      </c>
      <c r="I44" s="52">
        <f t="shared" si="1"/>
        <v>14.899999999999997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/>
      <c r="B49" s="53"/>
      <c r="C49" s="63"/>
      <c r="D49" s="5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53"/>
      <c r="B50" s="63"/>
      <c r="C50" s="63"/>
      <c r="D50" s="6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53"/>
      <c r="B51" s="63"/>
      <c r="C51" s="63"/>
      <c r="D51" s="6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53"/>
      <c r="B52" s="63"/>
      <c r="C52" s="63"/>
      <c r="D52" s="6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53"/>
      <c r="B53" s="63"/>
      <c r="C53" s="63"/>
      <c r="D53" s="6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53"/>
      <c r="B54" s="63"/>
      <c r="C54" s="63"/>
      <c r="D54" s="6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53"/>
      <c r="B55" s="63"/>
      <c r="C55" s="63"/>
      <c r="D55" s="6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25</v>
      </c>
      <c r="B62" s="63">
        <v>111.25</v>
      </c>
      <c r="C62" s="63">
        <v>1</v>
      </c>
      <c r="D62" s="63">
        <v>11.13</v>
      </c>
      <c r="E62" s="54">
        <v>0</v>
      </c>
      <c r="F62" s="54">
        <v>0</v>
      </c>
      <c r="G62" s="54">
        <v>0</v>
      </c>
      <c r="H62" s="54">
        <v>1</v>
      </c>
      <c r="I62" s="56">
        <f>IFERROR(B62/A62,"")</f>
        <v>4.45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30</v>
      </c>
      <c r="B63" s="63">
        <v>122.38</v>
      </c>
      <c r="C63" s="63">
        <f>+C62+1</f>
        <v>2</v>
      </c>
      <c r="D63" s="63">
        <v>0</v>
      </c>
      <c r="E63" s="54">
        <v>0</v>
      </c>
      <c r="F63" s="54">
        <v>0</v>
      </c>
      <c r="G63" s="54">
        <v>0</v>
      </c>
      <c r="H63" s="54">
        <v>1</v>
      </c>
      <c r="I63" s="52">
        <f>IF(A63&lt;&gt;0,(B63-(B62-D62))/(A63-A62),"")</f>
        <v>4.4519999999999982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37</v>
      </c>
      <c r="B64" s="63">
        <v>153.53</v>
      </c>
      <c r="C64" s="63">
        <f t="shared" ref="C64:C76" si="2">+C63+1</f>
        <v>3</v>
      </c>
      <c r="D64" s="63">
        <v>15.35</v>
      </c>
      <c r="E64" s="54">
        <v>0</v>
      </c>
      <c r="F64" s="54">
        <v>0</v>
      </c>
      <c r="G64" s="54">
        <v>0</v>
      </c>
      <c r="H64" s="54">
        <v>1</v>
      </c>
      <c r="I64" s="52">
        <f>IF(A64&lt;&gt;0,(B64-(B63-D63))/(A64-A63),"")</f>
        <v>4.4500000000000011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49</v>
      </c>
      <c r="B65" s="63">
        <v>191.57</v>
      </c>
      <c r="C65" s="63">
        <f t="shared" si="2"/>
        <v>4</v>
      </c>
      <c r="D65" s="63">
        <v>19.16</v>
      </c>
      <c r="E65" s="54">
        <v>0.12</v>
      </c>
      <c r="F65" s="54">
        <v>0.06</v>
      </c>
      <c r="G65" s="54">
        <v>0</v>
      </c>
      <c r="H65" s="54">
        <v>0.82</v>
      </c>
      <c r="I65" s="52">
        <f>IF(A65&lt;&gt;0,(B65-(B64-D64))/(A65-A64),"")</f>
        <v>4.4491666666666658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61</v>
      </c>
      <c r="B66" s="63">
        <v>225.82</v>
      </c>
      <c r="C66" s="63">
        <f t="shared" si="2"/>
        <v>5</v>
      </c>
      <c r="D66" s="63">
        <v>22.58</v>
      </c>
      <c r="E66" s="54">
        <v>0.14000000000000001</v>
      </c>
      <c r="F66" s="54">
        <v>0.08</v>
      </c>
      <c r="G66" s="54">
        <v>0</v>
      </c>
      <c r="H66" s="54">
        <v>0.78</v>
      </c>
      <c r="I66" s="52">
        <f t="shared" ref="I66:I81" si="3">IF(A66&lt;&gt;0,(B66-(B65-D65))/(A66-A65),"")</f>
        <v>4.4508333333333328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73</v>
      </c>
      <c r="B67" s="63">
        <v>256.63</v>
      </c>
      <c r="C67" s="63">
        <f t="shared" si="2"/>
        <v>6</v>
      </c>
      <c r="D67" s="63">
        <v>25.66</v>
      </c>
      <c r="E67" s="54">
        <v>0.15</v>
      </c>
      <c r="F67" s="54">
        <v>0.09</v>
      </c>
      <c r="G67" s="54">
        <v>0</v>
      </c>
      <c r="H67" s="54">
        <v>0.75</v>
      </c>
      <c r="I67" s="52">
        <f t="shared" si="3"/>
        <v>4.4491666666666658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85</v>
      </c>
      <c r="B68" s="63">
        <v>284.37</v>
      </c>
      <c r="C68" s="63">
        <f t="shared" si="2"/>
        <v>7</v>
      </c>
      <c r="D68" s="63">
        <v>28.44</v>
      </c>
      <c r="E68" s="54">
        <v>0.16</v>
      </c>
      <c r="F68" s="54">
        <v>0.1</v>
      </c>
      <c r="G68" s="54">
        <v>0</v>
      </c>
      <c r="H68" s="54">
        <v>0.73</v>
      </c>
      <c r="I68" s="52">
        <f t="shared" si="3"/>
        <v>4.45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97</v>
      </c>
      <c r="B69" s="63">
        <v>309.33</v>
      </c>
      <c r="C69" s="63">
        <f t="shared" si="2"/>
        <v>8</v>
      </c>
      <c r="D69" s="63">
        <v>30.93</v>
      </c>
      <c r="E69" s="54">
        <v>0.17</v>
      </c>
      <c r="F69" s="54">
        <v>0.11</v>
      </c>
      <c r="G69" s="54">
        <v>0</v>
      </c>
      <c r="H69" s="54">
        <v>0.72</v>
      </c>
      <c r="I69" s="52">
        <f t="shared" si="3"/>
        <v>4.4499999999999984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109</v>
      </c>
      <c r="B70" s="53">
        <v>331.8</v>
      </c>
      <c r="C70" s="63">
        <f t="shared" si="2"/>
        <v>9</v>
      </c>
      <c r="D70" s="53">
        <v>33.18</v>
      </c>
      <c r="E70" s="54">
        <v>0.17</v>
      </c>
      <c r="F70" s="54">
        <v>0.12</v>
      </c>
      <c r="G70" s="54">
        <v>0</v>
      </c>
      <c r="H70" s="54">
        <v>0.71</v>
      </c>
      <c r="I70" s="52">
        <f t="shared" si="3"/>
        <v>4.4500000000000028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121</v>
      </c>
      <c r="B71" s="53">
        <v>352.02</v>
      </c>
      <c r="C71" s="63">
        <f t="shared" si="2"/>
        <v>10</v>
      </c>
      <c r="D71" s="53">
        <v>35.200000000000003</v>
      </c>
      <c r="E71" s="54">
        <v>0.18</v>
      </c>
      <c r="F71" s="54">
        <v>0.12</v>
      </c>
      <c r="G71" s="54">
        <v>0</v>
      </c>
      <c r="H71" s="54">
        <v>0.7</v>
      </c>
      <c r="I71" s="52">
        <f t="shared" si="3"/>
        <v>4.4499999999999984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133</v>
      </c>
      <c r="B72" s="53">
        <v>370.22</v>
      </c>
      <c r="C72" s="63">
        <f t="shared" si="2"/>
        <v>11</v>
      </c>
      <c r="D72" s="53">
        <v>37.020000000000003</v>
      </c>
      <c r="E72" s="54">
        <v>0.18</v>
      </c>
      <c r="F72" s="54">
        <v>0.13</v>
      </c>
      <c r="G72" s="54">
        <v>0</v>
      </c>
      <c r="H72" s="54">
        <v>0.69</v>
      </c>
      <c r="I72" s="52">
        <f t="shared" si="3"/>
        <v>4.4500000000000028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145</v>
      </c>
      <c r="B73" s="53">
        <v>386.6</v>
      </c>
      <c r="C73" s="63">
        <f t="shared" si="2"/>
        <v>12</v>
      </c>
      <c r="D73" s="53">
        <v>38.659999999999997</v>
      </c>
      <c r="E73" s="54">
        <v>0.18</v>
      </c>
      <c r="F73" s="54">
        <v>0.13</v>
      </c>
      <c r="G73" s="54">
        <v>0</v>
      </c>
      <c r="H73" s="54">
        <v>0.69</v>
      </c>
      <c r="I73" s="52">
        <f t="shared" si="3"/>
        <v>4.4499999999999984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157</v>
      </c>
      <c r="B74" s="53">
        <v>401.34</v>
      </c>
      <c r="C74" s="63">
        <f t="shared" si="2"/>
        <v>13</v>
      </c>
      <c r="D74" s="53">
        <v>40.130000000000003</v>
      </c>
      <c r="E74" s="54">
        <v>0.19</v>
      </c>
      <c r="F74" s="54">
        <v>0.13</v>
      </c>
      <c r="G74" s="54">
        <v>0</v>
      </c>
      <c r="H74" s="54">
        <v>0.68</v>
      </c>
      <c r="I74" s="52">
        <f t="shared" si="3"/>
        <v>4.4499999999999931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169</v>
      </c>
      <c r="B75" s="53">
        <v>414.6</v>
      </c>
      <c r="C75" s="63">
        <f t="shared" si="2"/>
        <v>14</v>
      </c>
      <c r="D75" s="53">
        <v>41.46</v>
      </c>
      <c r="E75" s="54">
        <v>0.19</v>
      </c>
      <c r="F75" s="54">
        <v>0.14000000000000001</v>
      </c>
      <c r="G75" s="54">
        <v>0</v>
      </c>
      <c r="H75" s="54">
        <v>0.68</v>
      </c>
      <c r="I75" s="52">
        <f t="shared" si="3"/>
        <v>4.4491666666666703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181</v>
      </c>
      <c r="B76" s="53">
        <v>426.54</v>
      </c>
      <c r="C76" s="63">
        <f t="shared" si="2"/>
        <v>15</v>
      </c>
      <c r="D76" s="53">
        <v>42.65</v>
      </c>
      <c r="E76" s="54">
        <v>0.19</v>
      </c>
      <c r="F76" s="54">
        <v>0.14000000000000001</v>
      </c>
      <c r="G76" s="54">
        <v>0</v>
      </c>
      <c r="H76" s="54">
        <v>0.67</v>
      </c>
      <c r="I76" s="52">
        <f t="shared" si="3"/>
        <v>4.4499999999999984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Alisier torminal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25</v>
      </c>
      <c r="B88" s="63">
        <v>260</v>
      </c>
      <c r="C88" s="63">
        <v>1</v>
      </c>
      <c r="D88" s="63">
        <v>26</v>
      </c>
      <c r="E88" s="54">
        <v>0</v>
      </c>
      <c r="F88" s="54">
        <v>0</v>
      </c>
      <c r="G88" s="54">
        <v>0</v>
      </c>
      <c r="H88" s="93">
        <v>1</v>
      </c>
      <c r="I88" s="56">
        <f>IFERROR(B88/A88,"")</f>
        <v>10.4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30</v>
      </c>
      <c r="B89" s="63">
        <v>286</v>
      </c>
      <c r="C89" s="63">
        <f>+C88+1</f>
        <v>2</v>
      </c>
      <c r="D89" s="63">
        <v>0</v>
      </c>
      <c r="E89" s="54">
        <v>0</v>
      </c>
      <c r="F89" s="54">
        <v>0</v>
      </c>
      <c r="G89" s="54">
        <v>0</v>
      </c>
      <c r="H89" s="93">
        <v>1</v>
      </c>
      <c r="I89" s="56">
        <f t="shared" ref="I89:I107" si="4">IF(A89&lt;&gt;0,(B89-(B88-D88))/(A89-A88),"")</f>
        <v>10.4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37</v>
      </c>
      <c r="B90" s="63">
        <v>358.8</v>
      </c>
      <c r="C90" s="63">
        <f t="shared" ref="C90:C94" si="5">+C89+1</f>
        <v>3</v>
      </c>
      <c r="D90" s="63">
        <v>35.880000000000003</v>
      </c>
      <c r="E90" s="54">
        <v>0</v>
      </c>
      <c r="F90" s="54">
        <v>0</v>
      </c>
      <c r="G90" s="54">
        <v>0</v>
      </c>
      <c r="H90" s="93">
        <v>1</v>
      </c>
      <c r="I90" s="56">
        <f t="shared" si="4"/>
        <v>10.400000000000002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49</v>
      </c>
      <c r="B91" s="63">
        <v>447.72</v>
      </c>
      <c r="C91" s="63">
        <f t="shared" si="5"/>
        <v>4</v>
      </c>
      <c r="D91" s="63">
        <v>44.77</v>
      </c>
      <c r="E91" s="93">
        <v>0.04</v>
      </c>
      <c r="F91" s="93">
        <v>0.03</v>
      </c>
      <c r="G91" s="93">
        <v>0</v>
      </c>
      <c r="H91" s="93">
        <v>0.93</v>
      </c>
      <c r="I91" s="56">
        <f t="shared" si="4"/>
        <v>10.4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61</v>
      </c>
      <c r="B92" s="63">
        <v>527.75</v>
      </c>
      <c r="C92" s="63">
        <f t="shared" si="5"/>
        <v>5</v>
      </c>
      <c r="D92" s="63">
        <v>52.77</v>
      </c>
      <c r="E92" s="93">
        <v>0.08</v>
      </c>
      <c r="F92" s="93">
        <v>0.06</v>
      </c>
      <c r="G92" s="93">
        <v>0</v>
      </c>
      <c r="H92" s="93">
        <v>0.86</v>
      </c>
      <c r="I92" s="56">
        <f t="shared" si="4"/>
        <v>10.399999999999997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73</v>
      </c>
      <c r="B93" s="63">
        <v>599.77</v>
      </c>
      <c r="C93" s="63">
        <f t="shared" si="5"/>
        <v>6</v>
      </c>
      <c r="D93" s="63">
        <v>59.98</v>
      </c>
      <c r="E93" s="93">
        <v>0.1</v>
      </c>
      <c r="F93" s="93">
        <v>0.08</v>
      </c>
      <c r="G93" s="93">
        <v>0</v>
      </c>
      <c r="H93" s="93">
        <v>0.82</v>
      </c>
      <c r="I93" s="56">
        <f t="shared" si="4"/>
        <v>10.399166666666664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85</v>
      </c>
      <c r="B94" s="63">
        <v>664.6</v>
      </c>
      <c r="C94" s="63">
        <f t="shared" si="5"/>
        <v>7</v>
      </c>
      <c r="D94" s="63">
        <v>66.459999999999994</v>
      </c>
      <c r="E94" s="93">
        <v>0.12</v>
      </c>
      <c r="F94" s="93">
        <v>0.09</v>
      </c>
      <c r="G94" s="93">
        <v>0</v>
      </c>
      <c r="H94" s="93">
        <v>0.79</v>
      </c>
      <c r="I94" s="56">
        <f t="shared" si="4"/>
        <v>10.400833333333338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4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4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Tilleul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25</v>
      </c>
      <c r="B114" s="63">
        <v>326</v>
      </c>
      <c r="C114" s="53">
        <v>1</v>
      </c>
      <c r="D114" s="63">
        <v>32.6</v>
      </c>
      <c r="E114" s="54">
        <v>0</v>
      </c>
      <c r="F114" s="54">
        <v>0</v>
      </c>
      <c r="G114" s="54">
        <v>0</v>
      </c>
      <c r="H114" s="54">
        <v>1</v>
      </c>
      <c r="I114" s="56">
        <f>IFERROR(B114/A114,"")</f>
        <v>13.04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30</v>
      </c>
      <c r="B115" s="63">
        <v>358.6</v>
      </c>
      <c r="C115" s="53">
        <f>+C114+1</f>
        <v>2</v>
      </c>
      <c r="D115" s="63">
        <v>0</v>
      </c>
      <c r="E115" s="54">
        <v>0</v>
      </c>
      <c r="F115" s="54">
        <v>0</v>
      </c>
      <c r="G115" s="54">
        <v>0</v>
      </c>
      <c r="H115" s="54">
        <v>1</v>
      </c>
      <c r="I115" s="56">
        <f t="shared" ref="I115:I133" si="6">IF(A115&lt;&gt;0,(B115-(B114-D114))/(A115-A114),"")</f>
        <v>13.04000000000001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37</v>
      </c>
      <c r="B116" s="63">
        <v>449.88</v>
      </c>
      <c r="C116" s="53">
        <v>3</v>
      </c>
      <c r="D116" s="63">
        <v>44.99</v>
      </c>
      <c r="E116" s="54">
        <v>0</v>
      </c>
      <c r="F116" s="54">
        <v>0</v>
      </c>
      <c r="G116" s="54">
        <v>0</v>
      </c>
      <c r="H116" s="54">
        <v>1</v>
      </c>
      <c r="I116" s="56">
        <f t="shared" si="6"/>
        <v>13.039999999999996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49</v>
      </c>
      <c r="B117" s="63">
        <v>561.37</v>
      </c>
      <c r="C117" s="53">
        <v>4</v>
      </c>
      <c r="D117" s="63">
        <v>56.14</v>
      </c>
      <c r="E117" s="54">
        <v>0</v>
      </c>
      <c r="F117" s="54">
        <v>0</v>
      </c>
      <c r="G117" s="54">
        <v>0</v>
      </c>
      <c r="H117" s="54">
        <v>1</v>
      </c>
      <c r="I117" s="56">
        <f t="shared" si="6"/>
        <v>13.040000000000001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6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6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6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6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6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6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6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6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6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6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6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6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6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6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6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6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Cormier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25</v>
      </c>
      <c r="B140" s="63">
        <v>260</v>
      </c>
      <c r="C140" s="53">
        <v>1</v>
      </c>
      <c r="D140" s="63">
        <v>26</v>
      </c>
      <c r="E140" s="54">
        <v>0</v>
      </c>
      <c r="F140" s="54">
        <v>0</v>
      </c>
      <c r="G140" s="54">
        <v>0</v>
      </c>
      <c r="H140" s="54">
        <v>1</v>
      </c>
      <c r="I140" s="60">
        <f>IFERROR(B140/A140,"")</f>
        <v>10.4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30</v>
      </c>
      <c r="B141" s="63">
        <v>286</v>
      </c>
      <c r="C141" s="53">
        <f>C140+1</f>
        <v>2</v>
      </c>
      <c r="D141" s="63">
        <v>0</v>
      </c>
      <c r="E141" s="54">
        <v>0</v>
      </c>
      <c r="F141" s="54">
        <v>0</v>
      </c>
      <c r="G141" s="54">
        <v>0</v>
      </c>
      <c r="H141" s="54">
        <v>1</v>
      </c>
      <c r="I141" s="60">
        <f t="shared" ref="I141:I159" si="7">IF(A141&lt;&gt;0,(B141-(B140-D140))/(A141-A140),"")</f>
        <v>10.4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37</v>
      </c>
      <c r="B142" s="63">
        <v>358.8</v>
      </c>
      <c r="C142" s="53">
        <v>3</v>
      </c>
      <c r="D142" s="63">
        <v>35.880000000000003</v>
      </c>
      <c r="E142" s="54">
        <v>0</v>
      </c>
      <c r="F142" s="54">
        <v>0</v>
      </c>
      <c r="G142" s="54">
        <v>0</v>
      </c>
      <c r="H142" s="54">
        <v>1</v>
      </c>
      <c r="I142" s="60">
        <f t="shared" si="7"/>
        <v>10.400000000000002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49</v>
      </c>
      <c r="B143" s="63">
        <v>447.72</v>
      </c>
      <c r="C143" s="53">
        <v>4</v>
      </c>
      <c r="D143" s="63">
        <v>44.77</v>
      </c>
      <c r="E143" s="54">
        <v>0.04</v>
      </c>
      <c r="F143" s="54">
        <v>0.03</v>
      </c>
      <c r="G143" s="54">
        <v>0</v>
      </c>
      <c r="H143" s="54">
        <v>0.93</v>
      </c>
      <c r="I143" s="60">
        <f t="shared" si="7"/>
        <v>10.4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61</v>
      </c>
      <c r="B144" s="63">
        <v>527.75</v>
      </c>
      <c r="C144" s="53">
        <v>5</v>
      </c>
      <c r="D144" s="63">
        <v>52.77</v>
      </c>
      <c r="E144" s="54">
        <v>0.08</v>
      </c>
      <c r="F144" s="54">
        <v>0.06</v>
      </c>
      <c r="G144" s="54">
        <v>0</v>
      </c>
      <c r="H144" s="54">
        <v>0.86</v>
      </c>
      <c r="I144" s="60">
        <f t="shared" si="7"/>
        <v>10.399999999999997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73</v>
      </c>
      <c r="B145" s="63">
        <v>599.77</v>
      </c>
      <c r="C145" s="53">
        <v>6</v>
      </c>
      <c r="D145" s="63">
        <v>59.98</v>
      </c>
      <c r="E145" s="54">
        <v>0.1</v>
      </c>
      <c r="F145" s="54">
        <v>0.08</v>
      </c>
      <c r="G145" s="54">
        <v>0</v>
      </c>
      <c r="H145" s="54">
        <v>0.82</v>
      </c>
      <c r="I145" s="60">
        <f t="shared" si="7"/>
        <v>10.399166666666664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85</v>
      </c>
      <c r="B146" s="63">
        <v>664.6</v>
      </c>
      <c r="C146" s="53">
        <v>7</v>
      </c>
      <c r="D146" s="63">
        <v>66.459999999999994</v>
      </c>
      <c r="E146" s="54">
        <v>0.12</v>
      </c>
      <c r="F146" s="54">
        <v>0.09</v>
      </c>
      <c r="G146" s="54">
        <v>0</v>
      </c>
      <c r="H146" s="54">
        <v>0.79</v>
      </c>
      <c r="I146" s="60">
        <f t="shared" si="7"/>
        <v>10.400833333333338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7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7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7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7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7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7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7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7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7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7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7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7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8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8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8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8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8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8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8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8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8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8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8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8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8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8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8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8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8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8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8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9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9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9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9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9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9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9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9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9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9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9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9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9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9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9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9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9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9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9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0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0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10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10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10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10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10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10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10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10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0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0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10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0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0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0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0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0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0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1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1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1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1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1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1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1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1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1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1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1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1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1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1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1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1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1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2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2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2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2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2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2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2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2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2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2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2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2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2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2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2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2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2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2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9" sqref="C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Alisier torminal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Tilleul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Cormier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309.95417097673084</v>
      </c>
      <c r="T3" s="62">
        <f>IF('Données projet'!E9&gt;30,$R$33-$H$33,LOOKUP('Données projet'!$E$9,$A$3:$A$203,R3:R203)-LOOKUP('Données projet'!$E$9,$A$3:$A$203,$H$3:$H$203))</f>
        <v>170.83243426024433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408.65944152905672</v>
      </c>
      <c r="AO3" s="62">
        <f>IF('Données projet'!E10&gt;30,$AM$33-$H$33,LOOKUP('Données projet'!$E$10,$A$3:$A$203,AM3:AM203)-LOOKUP('Données projet'!$E$10,$A$3:$A$203,$H$3:$H$203))</f>
        <v>248.55239719988651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643.38601112255424</v>
      </c>
      <c r="BJ3" s="62">
        <f>IF('Données projet'!E11&gt;30,$BH$33-$H$33,LOOKUP('Données projet'!$E$11,$A$3:$A$203,BH3:BH203)-LOOKUP('Données projet'!$E$11,$A$3:$A$203,$H$3:$H$203))</f>
        <v>572.76381622085694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323.41415875740768</v>
      </c>
      <c r="CE3" s="62">
        <f>IF('Données projet'!E12&gt;30,$CC$33-$H$33,LOOKUP('Données projet'!$E$12,$A$3:$A$203,CC3:CC203)-LOOKUP('Données projet'!$E$12,$A$3:$A$203,$H$3:$H$203))</f>
        <v>496.54020068152101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720.47588458554264</v>
      </c>
      <c r="CZ3" s="62">
        <f>IF('Données projet'!E13&gt;30,$CX$33-$H$33,LOOKUP('Données projet'!$E$13,$A$3:$A$203,CX3:CX203)-LOOKUP('Données projet'!$E$13,$A$3:$A$203,$H$3:$H$203))</f>
        <v>638.59686934821627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4.7759999999999998</v>
      </c>
      <c r="N4" s="14">
        <f>IF('Données projet'!$A$36&gt;35,N3+M4-V3,IF(A4&lt;'Données projet'!$A$36,$K$205^A4,IF(A4='Données projet'!$A$36,'Données projet'!$B$36,N3+M4-V3)))</f>
        <v>1.2108216370354488</v>
      </c>
      <c r="O4" s="14">
        <f>N4*VLOOKUP('Données projet'!$B$9,Paramètres!$A$1:$I$89,3,0)*VLOOKUP('Données projet'!$B$9,Paramètres!$A$1:$I$89,5,0)</f>
        <v>0.56666452613259</v>
      </c>
      <c r="P4" s="14">
        <f>EXP(-1.0587+0.8836*LN(O4)+0.284)</f>
        <v>0.2789914805312993</v>
      </c>
      <c r="Q4" s="22">
        <f t="shared" ref="Q4:Q34" si="2">(O4+P4)*0.475*44/12</f>
        <v>1.4728508782729406</v>
      </c>
      <c r="R4" s="62">
        <f t="shared" si="0"/>
        <v>259.36173976716179</v>
      </c>
      <c r="S4" s="62">
        <f ca="1">AVERAGE(OFFSET($R$3,0,0,'Données projet'!$E$9+1,1))-AVERAGE(OFFSET($H$3,0,0,'Données projet'!$E$9+1,1))</f>
        <v>309.95417097673084</v>
      </c>
      <c r="T4" s="62">
        <f>$T$3</f>
        <v>170.83243426024433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4.45</v>
      </c>
      <c r="AI4" s="14">
        <f>IF('Données projet'!$A$62&gt;35,AI3+AH4-AQ3,IF(A4&lt;'Données projet'!$A$62,$AF$205^A4,IF(A4='Données projet'!$A$62,'Données projet'!$B$62,AI3+AH4-AQ3)))</f>
        <v>1.2074023054862157</v>
      </c>
      <c r="AJ4" s="14">
        <f>AI4*VLOOKUP('Données projet'!$B$10,Paramètres!$A$1:$I$89,3,0)*VLOOKUP('Données projet'!$B$10,Paramètres!$A$1:$I$89,5,0)</f>
        <v>1.2243059377630228</v>
      </c>
      <c r="AK4" s="14">
        <f>EXP(-1.0587+0.8836*LN(AJ4)+0.284)</f>
        <v>0.55107616799176018</v>
      </c>
      <c r="AL4" s="22">
        <f t="shared" ref="AL4:AL67" si="4">(AJ4+AK4)*0.475*44/12</f>
        <v>3.09212383418958</v>
      </c>
      <c r="AM4" s="62">
        <f t="shared" ref="AM4:AM67" si="5">AL4+(AD4+AE4)*44/12</f>
        <v>260.98101272307844</v>
      </c>
      <c r="AN4" s="62">
        <f ca="1">AVERAGE(OFFSET($AM$3,0,0,'Données projet'!$E$10+1,1))-AVERAGE(OFFSET($H$3,0,0,'Données projet'!$E$10+1,1))</f>
        <v>408.65944152905672</v>
      </c>
      <c r="AO4" s="62">
        <f>$AO$3</f>
        <v>248.55239719988651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10.4</v>
      </c>
      <c r="BD4" s="13">
        <f>IF('Données projet'!$A$88&gt;35,BD3+BC4-BL3,IF(A4&lt;'Données projet'!$A$88,$BA$205^A4,IF(A4='Données projet'!$A$88,'Données projet'!$B$88,BD3+BC4-BL3)))</f>
        <v>1.2491049629975519</v>
      </c>
      <c r="BE4" s="14">
        <f>BD4*VLOOKUP('Données projet'!$B$11,Paramètres!$A$1:$I$89,3,0)*VLOOKUP('Données projet'!$B$11,Paramètres!$A$1:$I$89,5,0)</f>
        <v>1.2081343202112322</v>
      </c>
      <c r="BF4" s="14">
        <f>EXP(-1.0587+0.8836*LN(BE4)+0.284)</f>
        <v>0.54463942407464372</v>
      </c>
      <c r="BG4" s="22">
        <f t="shared" ref="BG4:BG67" si="7">(BE4+BF4)*0.475*44/12</f>
        <v>3.0527476046312341</v>
      </c>
      <c r="BH4" s="62">
        <f t="shared" ref="BH4:BH67" si="8">BG4+(AY4+AZ4)*44/12</f>
        <v>260.94163649352009</v>
      </c>
      <c r="BI4" s="62">
        <f ca="1">AVERAGE(OFFSET($BH$3,0,0,'Données projet'!$E$11+1,1))-AVERAGE(OFFSET($H$3,0,0,'Données projet'!$E$11+1,1))</f>
        <v>643.38601112255424</v>
      </c>
      <c r="BJ4" s="62">
        <f>$BJ$3</f>
        <v>572.76381622085694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13.04</v>
      </c>
      <c r="BY4" s="13">
        <f>IF('Données projet'!$A$114&gt;35,BY3+BX4-CG3,IF(A4&lt;'Données projet'!$A$114,$BV$205^A4,IF(A4='Données projet'!$A$114,'Données projet'!$B$114,BY3+BX4-CG3)))</f>
        <v>1.2604589431695945</v>
      </c>
      <c r="BZ4" s="14">
        <f>BY4*VLOOKUP('Données projet'!$B$12,Paramètres!$A$1:$I$89,3,0)*VLOOKUP('Données projet'!$B$12,Paramètres!$A$1:$I$89,5,0)</f>
        <v>0.84551585907816407</v>
      </c>
      <c r="CA4" s="14">
        <f>EXP(-1.0587+0.8836*LN(BZ4)+0.284)</f>
        <v>0.39733502543113719</v>
      </c>
      <c r="CB4" s="22">
        <f t="shared" ref="CB4:CB67" si="10">(BZ4+CA4)*0.475*44/12</f>
        <v>2.1646319571870327</v>
      </c>
      <c r="CC4" s="62">
        <f t="shared" ref="CC4:CC67" si="11">CB4+(BT4+BU4)*44/12</f>
        <v>260.05352084607591</v>
      </c>
      <c r="CD4" s="62">
        <f ca="1">AVERAGE(OFFSET($CC$3,0,0,'Données projet'!$E$12+1,1))-AVERAGE(OFFSET($H$3,0,0,'Données projet'!$E$12+1,1))</f>
        <v>323.41415875740768</v>
      </c>
      <c r="CE4" s="62">
        <f>$CE$3</f>
        <v>496.54020068152101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10.4</v>
      </c>
      <c r="CT4" s="13">
        <f>IF('Données projet'!$A$140&gt;35,CT3+CS4-DB3,IF(A4&lt;'Données projet'!$A$140,$CQ$205^A4,IF(A4='Données projet'!$A$140,'Données projet'!$B$140,CT3+CS4-DB3)))</f>
        <v>1.2491049629975519</v>
      </c>
      <c r="CU4" s="18">
        <f>CT4*VLOOKUP('Données projet'!$B$13,Paramètres!$A$1:$I$89,3,0)*VLOOKUP('Données projet'!$B$13,Paramètres!$A$1:$I$89,5,0)</f>
        <v>1.3445365821705648</v>
      </c>
      <c r="CV4" s="14">
        <f>EXP(-1.0587+0.8836*LN(CU4)+0.284)</f>
        <v>0.59863049221540598</v>
      </c>
      <c r="CW4" s="22">
        <f t="shared" ref="CW4:CW67" si="13">(CU4+CV4)*0.475*44/12</f>
        <v>3.3843493212222326</v>
      </c>
      <c r="CX4" s="62">
        <f t="shared" ref="CX4:CX67" si="14">CW4+(CO4+CP4)*44/12</f>
        <v>261.27323821011112</v>
      </c>
      <c r="CY4" s="62">
        <f ca="1">AVERAGE(OFFSET($CX$3,0,0,'Données projet'!$E$13+1,1))-AVERAGE(OFFSET($H$3,0,0,'Données projet'!$E$13+1,1))</f>
        <v>720.47588458554264</v>
      </c>
      <c r="CZ4" s="62">
        <f>$CZ$3</f>
        <v>638.59686934821627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4.7759999999999998</v>
      </c>
      <c r="N5" s="14">
        <f>IF('Données projet'!$A$36&gt;35,N4+M5-V4,IF(A5&lt;'Données projet'!$A$36,$K$205^A5,IF(A5='Données projet'!$A$36,'Données projet'!$B$36,N4+M5-V4)))</f>
        <v>1.466089036713204</v>
      </c>
      <c r="O5" s="14">
        <f>N5*VLOOKUP('Données projet'!$B$9,Paramètres!$A$1:$I$89,3,0)*VLOOKUP('Données projet'!$B$9,Paramètres!$A$1:$I$89,5,0)</f>
        <v>0.68612966918177942</v>
      </c>
      <c r="P5" s="14">
        <f t="shared" ref="P5:P68" si="33">EXP(-1.0587+0.8836*LN(O5)+0.284)</f>
        <v>0.3303699841458228</v>
      </c>
      <c r="Q5" s="22">
        <f t="shared" si="2"/>
        <v>1.7704035628789072</v>
      </c>
      <c r="R5" s="62">
        <f t="shared" si="0"/>
        <v>260.88151467399007</v>
      </c>
      <c r="S5" s="62">
        <f ca="1">AVERAGE(OFFSET($R$3,0,0,'Données projet'!$E$9+1,1))-AVERAGE(OFFSET($H$3,0,0,'Données projet'!$E$9+1,1))</f>
        <v>309.95417097673084</v>
      </c>
      <c r="T5" s="62">
        <f t="shared" ref="T5:T68" si="34">$T$3</f>
        <v>170.83243426024433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4.45</v>
      </c>
      <c r="AI5" s="14">
        <f>IF('Données projet'!$A$62&gt;35,AI4+AH5-AQ4,IF(A5&lt;'Données projet'!$A$62,$AF$205^A5,IF(A5='Données projet'!$A$62,'Données projet'!$B$62,AI4+AH5-AQ4)))</f>
        <v>1.4578203272934291</v>
      </c>
      <c r="AJ5" s="14">
        <f>AI5*VLOOKUP('Données projet'!$B$10,Paramètres!$A$1:$I$89,3,0)*VLOOKUP('Données projet'!$B$10,Paramètres!$A$1:$I$89,5,0)</f>
        <v>1.4782298118755373</v>
      </c>
      <c r="AK5" s="14">
        <f t="shared" ref="AK5:AK68" si="35">EXP(-1.0587+0.8836*LN(AJ5)+0.284)</f>
        <v>0.65093265287254964</v>
      </c>
      <c r="AL5" s="22">
        <f t="shared" si="4"/>
        <v>3.7082912927695841</v>
      </c>
      <c r="AM5" s="62">
        <f t="shared" si="5"/>
        <v>262.8194024038807</v>
      </c>
      <c r="AN5" s="62">
        <f ca="1">AVERAGE(OFFSET($AM$3,0,0,'Données projet'!$E$10+1,1))-AVERAGE(OFFSET($H$3,0,0,'Données projet'!$E$10+1,1))</f>
        <v>408.65944152905672</v>
      </c>
      <c r="AO5" s="62">
        <f t="shared" ref="AO5:AO68" si="36">$AO$3</f>
        <v>248.55239719988651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10.4</v>
      </c>
      <c r="BD5" s="13">
        <f>IF('Données projet'!$A$88&gt;35,BD4+BC5-BL4,IF(A5&lt;'Données projet'!$A$88,$BA$205^A5,IF(A5='Données projet'!$A$88,'Données projet'!$B$88,BD4+BC5-BL4)))</f>
        <v>1.5602632085851156</v>
      </c>
      <c r="BE5" s="14">
        <f>BD5*VLOOKUP('Données projet'!$B$11,Paramètres!$A$1:$I$89,3,0)*VLOOKUP('Données projet'!$B$11,Paramètres!$A$1:$I$89,5,0)</f>
        <v>1.5090865753435239</v>
      </c>
      <c r="BF5" s="14">
        <f t="shared" ref="BF5:BF68" si="37">EXP(-1.0587+0.8836*LN(BE5)+0.284)</f>
        <v>0.66292422998231326</v>
      </c>
      <c r="BG5" s="22">
        <f t="shared" si="7"/>
        <v>3.782918819275833</v>
      </c>
      <c r="BH5" s="62">
        <f t="shared" si="8"/>
        <v>262.89402993038698</v>
      </c>
      <c r="BI5" s="62">
        <f ca="1">AVERAGE(OFFSET($BH$3,0,0,'Données projet'!$E$11+1,1))-AVERAGE(OFFSET($H$3,0,0,'Données projet'!$E$11+1,1))</f>
        <v>643.38601112255424</v>
      </c>
      <c r="BJ5" s="62">
        <f t="shared" ref="BJ5:BJ68" si="38">$BJ$3</f>
        <v>572.76381622085694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13.04</v>
      </c>
      <c r="BY5" s="13">
        <f>IF('Données projet'!$A$114&gt;35,BY4+BX5-CG4,IF(A5&lt;'Données projet'!$A$114,$BV$205^A5,IF(A5='Données projet'!$A$114,'Données projet'!$B$114,BY4+BX5-CG4)))</f>
        <v>1.588756747416211</v>
      </c>
      <c r="BZ5" s="14">
        <f>BY5*VLOOKUP('Données projet'!$B$12,Paramètres!$A$1:$I$89,3,0)*VLOOKUP('Données projet'!$B$12,Paramètres!$A$1:$I$89,5,0)</f>
        <v>1.0657380261667944</v>
      </c>
      <c r="CA5" s="14">
        <f t="shared" ref="CA5:CA68" si="39">EXP(-1.0587+0.8836*LN(BZ5)+0.284)</f>
        <v>0.48751054385794007</v>
      </c>
      <c r="CB5" s="22">
        <f t="shared" si="10"/>
        <v>2.7052412594597457</v>
      </c>
      <c r="CC5" s="62">
        <f t="shared" si="11"/>
        <v>261.81635237057088</v>
      </c>
      <c r="CD5" s="62">
        <f ca="1">AVERAGE(OFFSET($CC$3,0,0,'Données projet'!$E$12+1,1))-AVERAGE(OFFSET($H$3,0,0,'Données projet'!$E$12+1,1))</f>
        <v>323.41415875740768</v>
      </c>
      <c r="CE5" s="62">
        <f t="shared" ref="CE5:CE68" si="40">$CE$3</f>
        <v>496.54020068152101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10.4</v>
      </c>
      <c r="CT5" s="13">
        <f>IF('Données projet'!$A$140&gt;35,CT4+CS5-DB4,IF(A5&lt;'Données projet'!$A$140,$CQ$205^A5,IF(A5='Données projet'!$A$140,'Données projet'!$B$140,CT4+CS5-DB4)))</f>
        <v>1.5602632085851156</v>
      </c>
      <c r="CU5" s="18">
        <f>CT5*VLOOKUP('Données projet'!$B$13,Paramètres!$A$1:$I$89,3,0)*VLOOKUP('Données projet'!$B$13,Paramètres!$A$1:$I$89,5,0)</f>
        <v>1.6794673177210182</v>
      </c>
      <c r="CV5" s="14">
        <f t="shared" ref="CV5:CV68" si="41">EXP(-1.0587+0.8836*LN(CU5)+0.284)</f>
        <v>0.72864107986689308</v>
      </c>
      <c r="CW5" s="22">
        <f t="shared" si="13"/>
        <v>4.1941221257989456</v>
      </c>
      <c r="CX5" s="62">
        <f t="shared" si="14"/>
        <v>263.30523323691011</v>
      </c>
      <c r="CY5" s="62">
        <f ca="1">AVERAGE(OFFSET($CX$3,0,0,'Données projet'!$E$13+1,1))-AVERAGE(OFFSET($H$3,0,0,'Données projet'!$E$13+1,1))</f>
        <v>720.47588458554264</v>
      </c>
      <c r="CZ5" s="62">
        <f t="shared" ref="CZ5:CZ68" si="42">$CZ$3</f>
        <v>638.59686934821627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4.7759999999999998</v>
      </c>
      <c r="N6" s="14">
        <f>IF('Données projet'!$A$36&gt;35,N5+M6-V5,IF(A6&lt;'Données projet'!$A$36,$K$205^A6,IF(A6='Données projet'!$A$36,'Données projet'!$B$36,N5+M6-V5)))</f>
        <v>1.7751723274728057</v>
      </c>
      <c r="O6" s="14">
        <f>N6*VLOOKUP('Données projet'!$B$9,Paramètres!$A$1:$I$89,3,0)*VLOOKUP('Données projet'!$B$9,Paramètres!$A$1:$I$89,5,0)</f>
        <v>0.83078064925727302</v>
      </c>
      <c r="P6" s="14">
        <f t="shared" si="33"/>
        <v>0.39121024848737845</v>
      </c>
      <c r="Q6" s="22">
        <f t="shared" si="2"/>
        <v>2.1283008135719341</v>
      </c>
      <c r="R6" s="62">
        <f t="shared" si="0"/>
        <v>262.46163414690523</v>
      </c>
      <c r="S6" s="62">
        <f ca="1">AVERAGE(OFFSET($R$3,0,0,'Données projet'!$E$9+1,1))-AVERAGE(OFFSET($H$3,0,0,'Données projet'!$E$9+1,1))</f>
        <v>309.95417097673084</v>
      </c>
      <c r="T6" s="62">
        <f t="shared" si="34"/>
        <v>170.83243426024433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4.45</v>
      </c>
      <c r="AI6" s="14">
        <f>IF('Données projet'!$A$62&gt;35,AI5+AH6-AQ5,IF(A6&lt;'Données projet'!$A$62,$AF$205^A6,IF(A6='Données projet'!$A$62,'Données projet'!$B$62,AI5+AH6-AQ5)))</f>
        <v>1.7601756241587561</v>
      </c>
      <c r="AJ6" s="14">
        <f>AI6*VLOOKUP('Données projet'!$B$10,Paramètres!$A$1:$I$89,3,0)*VLOOKUP('Données projet'!$B$10,Paramètres!$A$1:$I$89,5,0)</f>
        <v>1.7848180828969789</v>
      </c>
      <c r="AK6" s="14">
        <f t="shared" si="35"/>
        <v>0.76888340158094215</v>
      </c>
      <c r="AL6" s="22">
        <f t="shared" si="4"/>
        <v>4.4476967521323791</v>
      </c>
      <c r="AM6" s="62">
        <f t="shared" si="5"/>
        <v>264.78103008546572</v>
      </c>
      <c r="AN6" s="62">
        <f ca="1">AVERAGE(OFFSET($AM$3,0,0,'Données projet'!$E$10+1,1))-AVERAGE(OFFSET($H$3,0,0,'Données projet'!$E$10+1,1))</f>
        <v>408.65944152905672</v>
      </c>
      <c r="AO6" s="62">
        <f t="shared" si="36"/>
        <v>248.55239719988651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10.4</v>
      </c>
      <c r="BD6" s="13">
        <f>IF('Données projet'!$A$88&gt;35,BD5+BC6-BL5,IF(A6&lt;'Données projet'!$A$88,$BA$205^A6,IF(A6='Données projet'!$A$88,'Données projet'!$B$88,BD5+BC6-BL5)))</f>
        <v>1.9489325174261525</v>
      </c>
      <c r="BE6" s="14">
        <f>BD6*VLOOKUP('Données projet'!$B$11,Paramètres!$A$1:$I$89,3,0)*VLOOKUP('Données projet'!$B$11,Paramètres!$A$1:$I$89,5,0)</f>
        <v>1.8850075308545746</v>
      </c>
      <c r="BF6" s="14">
        <f t="shared" si="37"/>
        <v>0.80689813346566153</v>
      </c>
      <c r="BG6" s="22">
        <f t="shared" si="7"/>
        <v>4.6884023653577449</v>
      </c>
      <c r="BH6" s="62">
        <f t="shared" si="8"/>
        <v>265.02173569869103</v>
      </c>
      <c r="BI6" s="62">
        <f ca="1">AVERAGE(OFFSET($BH$3,0,0,'Données projet'!$E$11+1,1))-AVERAGE(OFFSET($H$3,0,0,'Données projet'!$E$11+1,1))</f>
        <v>643.38601112255424</v>
      </c>
      <c r="BJ6" s="62">
        <f t="shared" si="38"/>
        <v>572.76381622085694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13.04</v>
      </c>
      <c r="BY6" s="13">
        <f>IF('Données projet'!$A$114&gt;35,BY5+BX6-CG5,IF(A6&lt;'Données projet'!$A$114,$BV$205^A6,IF(A6='Données projet'!$A$114,'Données projet'!$B$114,BY5+BX6-CG5)))</f>
        <v>2.0025626508017997</v>
      </c>
      <c r="BZ6" s="14">
        <f>BY6*VLOOKUP('Données projet'!$B$12,Paramètres!$A$1:$I$89,3,0)*VLOOKUP('Données projet'!$B$12,Paramètres!$A$1:$I$89,5,0)</f>
        <v>1.3433190261578474</v>
      </c>
      <c r="CA6" s="14">
        <f t="shared" si="39"/>
        <v>0.5981514720852491</v>
      </c>
      <c r="CB6" s="22">
        <f t="shared" si="10"/>
        <v>3.381394451106726</v>
      </c>
      <c r="CC6" s="62">
        <f t="shared" si="11"/>
        <v>263.71472778444002</v>
      </c>
      <c r="CD6" s="62">
        <f ca="1">AVERAGE(OFFSET($CC$3,0,0,'Données projet'!$E$12+1,1))-AVERAGE(OFFSET($H$3,0,0,'Données projet'!$E$12+1,1))</f>
        <v>323.41415875740768</v>
      </c>
      <c r="CE6" s="62">
        <f t="shared" si="40"/>
        <v>496.54020068152101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10.4</v>
      </c>
      <c r="CT6" s="13">
        <f>IF('Données projet'!$A$140&gt;35,CT5+CS6-DB5,IF(A6&lt;'Données projet'!$A$140,$CQ$205^A6,IF(A6='Données projet'!$A$140,'Données projet'!$B$140,CT5+CS6-DB5)))</f>
        <v>1.9489325174261525</v>
      </c>
      <c r="CU6" s="18">
        <f>CT6*VLOOKUP('Données projet'!$B$13,Paramètres!$A$1:$I$89,3,0)*VLOOKUP('Données projet'!$B$13,Paramètres!$A$1:$I$89,5,0)</f>
        <v>2.0978309617575106</v>
      </c>
      <c r="CV6" s="14">
        <f t="shared" si="41"/>
        <v>0.88688737071306978</v>
      </c>
      <c r="CW6" s="22">
        <f t="shared" si="13"/>
        <v>5.1983844290529273</v>
      </c>
      <c r="CX6" s="62">
        <f t="shared" si="14"/>
        <v>265.53171776238622</v>
      </c>
      <c r="CY6" s="62">
        <f ca="1">AVERAGE(OFFSET($CX$3,0,0,'Données projet'!$E$13+1,1))-AVERAGE(OFFSET($H$3,0,0,'Données projet'!$E$13+1,1))</f>
        <v>720.47588458554264</v>
      </c>
      <c r="CZ6" s="62">
        <f t="shared" si="42"/>
        <v>638.59686934821627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4.7759999999999998</v>
      </c>
      <c r="N7" s="14">
        <f>IF('Données projet'!$A$36&gt;35,N6+M7-V6,IF(A7&lt;'Données projet'!$A$36,$K$205^A7,IF(A7='Données projet'!$A$36,'Données projet'!$B$36,N6+M7-V6)))</f>
        <v>2.1494170635706507</v>
      </c>
      <c r="O7" s="14">
        <f>N7*VLOOKUP('Données projet'!$B$9,Paramètres!$A$1:$I$89,3,0)*VLOOKUP('Données projet'!$B$9,Paramètres!$A$1:$I$89,5,0)</f>
        <v>1.0059271857510645</v>
      </c>
      <c r="P7" s="14">
        <f t="shared" si="33"/>
        <v>0.46325473216720353</v>
      </c>
      <c r="Q7" s="22">
        <f t="shared" si="2"/>
        <v>2.5588251737076502</v>
      </c>
      <c r="R7" s="62">
        <f t="shared" si="0"/>
        <v>264.11438072926319</v>
      </c>
      <c r="S7" s="62">
        <f ca="1">AVERAGE(OFFSET($R$3,0,0,'Données projet'!$E$9+1,1))-AVERAGE(OFFSET($H$3,0,0,'Données projet'!$E$9+1,1))</f>
        <v>309.95417097673084</v>
      </c>
      <c r="T7" s="62">
        <f t="shared" si="34"/>
        <v>170.83243426024433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4.45</v>
      </c>
      <c r="AI7" s="14">
        <f>IF('Données projet'!$A$62&gt;35,AI6+AH7-AQ6,IF(A7&lt;'Données projet'!$A$62,$AF$205^A7,IF(A7='Données projet'!$A$62,'Données projet'!$B$62,AI6+AH7-AQ6)))</f>
        <v>2.1252401066699207</v>
      </c>
      <c r="AJ7" s="14">
        <f>AI7*VLOOKUP('Données projet'!$B$10,Paramètres!$A$1:$I$89,3,0)*VLOOKUP('Données projet'!$B$10,Paramètres!$A$1:$I$89,5,0)</f>
        <v>2.1549934681632994</v>
      </c>
      <c r="AK7" s="14">
        <f t="shared" si="35"/>
        <v>0.90820714342383968</v>
      </c>
      <c r="AL7" s="22">
        <f t="shared" si="4"/>
        <v>5.3350743985142683</v>
      </c>
      <c r="AM7" s="62">
        <f t="shared" si="5"/>
        <v>266.89062995406982</v>
      </c>
      <c r="AN7" s="62">
        <f ca="1">AVERAGE(OFFSET($AM$3,0,0,'Données projet'!$E$10+1,1))-AVERAGE(OFFSET($H$3,0,0,'Données projet'!$E$10+1,1))</f>
        <v>408.65944152905672</v>
      </c>
      <c r="AO7" s="62">
        <f t="shared" si="36"/>
        <v>248.55239719988651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10.4</v>
      </c>
      <c r="BD7" s="13">
        <f>IF('Données projet'!$A$88&gt;35,BD6+BC7-BL6,IF(A7&lt;'Données projet'!$A$88,$BA$205^A7,IF(A7='Données projet'!$A$88,'Données projet'!$B$88,BD6+BC7-BL6)))</f>
        <v>2.4344212800643197</v>
      </c>
      <c r="BE7" s="14">
        <f>BD7*VLOOKUP('Données projet'!$B$11,Paramètres!$A$1:$I$89,3,0)*VLOOKUP('Données projet'!$B$11,Paramètres!$A$1:$I$89,5,0)</f>
        <v>2.3545722620782099</v>
      </c>
      <c r="BF7" s="14">
        <f t="shared" si="37"/>
        <v>0.98214029348080911</v>
      </c>
      <c r="BG7" s="22">
        <f t="shared" si="7"/>
        <v>5.8114410342652905</v>
      </c>
      <c r="BH7" s="62">
        <f t="shared" si="8"/>
        <v>267.36699658982081</v>
      </c>
      <c r="BI7" s="62">
        <f ca="1">AVERAGE(OFFSET($BH$3,0,0,'Données projet'!$E$11+1,1))-AVERAGE(OFFSET($H$3,0,0,'Données projet'!$E$11+1,1))</f>
        <v>643.38601112255424</v>
      </c>
      <c r="BJ7" s="62">
        <f t="shared" si="38"/>
        <v>572.76381622085694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13.04</v>
      </c>
      <c r="BY7" s="13">
        <f>IF('Données projet'!$A$114&gt;35,BY6+BX7-CG6,IF(A7&lt;'Données projet'!$A$114,$BV$205^A7,IF(A7='Données projet'!$A$114,'Données projet'!$B$114,BY6+BX7-CG6)))</f>
        <v>2.5241480024605378</v>
      </c>
      <c r="BZ7" s="14">
        <f>BY7*VLOOKUP('Données projet'!$B$12,Paramètres!$A$1:$I$89,3,0)*VLOOKUP('Données projet'!$B$12,Paramètres!$A$1:$I$89,5,0)</f>
        <v>1.6931984800505289</v>
      </c>
      <c r="CA7" s="14">
        <f t="shared" si="39"/>
        <v>0.73390245209139204</v>
      </c>
      <c r="CB7" s="22">
        <f t="shared" si="10"/>
        <v>4.2272007901471786</v>
      </c>
      <c r="CC7" s="62">
        <f t="shared" si="11"/>
        <v>265.78275634570269</v>
      </c>
      <c r="CD7" s="62">
        <f ca="1">AVERAGE(OFFSET($CC$3,0,0,'Données projet'!$E$12+1,1))-AVERAGE(OFFSET($H$3,0,0,'Données projet'!$E$12+1,1))</f>
        <v>323.41415875740768</v>
      </c>
      <c r="CE7" s="62">
        <f t="shared" si="40"/>
        <v>496.54020068152101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10.4</v>
      </c>
      <c r="CT7" s="13">
        <f>IF('Données projet'!$A$140&gt;35,CT6+CS7-DB6,IF(A7&lt;'Données projet'!$A$140,$CQ$205^A7,IF(A7='Données projet'!$A$140,'Données projet'!$B$140,CT6+CS7-DB6)))</f>
        <v>2.4344212800643197</v>
      </c>
      <c r="CU7" s="18">
        <f>CT7*VLOOKUP('Données projet'!$B$13,Paramètres!$A$1:$I$89,3,0)*VLOOKUP('Données projet'!$B$13,Paramètres!$A$1:$I$89,5,0)</f>
        <v>2.6204110658612336</v>
      </c>
      <c r="CV7" s="14">
        <f t="shared" si="41"/>
        <v>1.0795015955922098</v>
      </c>
      <c r="CW7" s="22">
        <f t="shared" si="13"/>
        <v>6.4440145520314145</v>
      </c>
      <c r="CX7" s="62">
        <f t="shared" si="14"/>
        <v>267.99957010758698</v>
      </c>
      <c r="CY7" s="62">
        <f ca="1">AVERAGE(OFFSET($CX$3,0,0,'Données projet'!$E$13+1,1))-AVERAGE(OFFSET($H$3,0,0,'Données projet'!$E$13+1,1))</f>
        <v>720.47588458554264</v>
      </c>
      <c r="CZ7" s="62">
        <f t="shared" si="42"/>
        <v>638.59686934821627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4.7759999999999998</v>
      </c>
      <c r="N8" s="14">
        <f>IF('Données projet'!$A$36&gt;35,N7+M8-V7,IF(A8&lt;'Données projet'!$A$36,$K$205^A8,IF(A8='Données projet'!$A$36,'Données projet'!$B$36,N7+M8-V7)))</f>
        <v>2.6025606875845426</v>
      </c>
      <c r="O8" s="14">
        <f>N8*VLOOKUP('Données projet'!$B$9,Paramètres!$A$1:$I$89,3,0)*VLOOKUP('Données projet'!$B$9,Paramètres!$A$1:$I$89,5,0)</f>
        <v>1.217998401789566</v>
      </c>
      <c r="P8" s="14">
        <f t="shared" si="33"/>
        <v>0.54856678143039805</v>
      </c>
      <c r="Q8" s="22">
        <f t="shared" si="2"/>
        <v>3.0767676941081041</v>
      </c>
      <c r="R8" s="62">
        <f t="shared" si="0"/>
        <v>265.8545454718859</v>
      </c>
      <c r="S8" s="62">
        <f ca="1">AVERAGE(OFFSET($R$3,0,0,'Données projet'!$E$9+1,1))-AVERAGE(OFFSET($H$3,0,0,'Données projet'!$E$9+1,1))</f>
        <v>309.95417097673084</v>
      </c>
      <c r="T8" s="62">
        <f t="shared" si="34"/>
        <v>170.83243426024433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4.45</v>
      </c>
      <c r="AI8" s="14">
        <f>IF('Données projet'!$A$62&gt;35,AI7+AH8-AQ7,IF(A8&lt;'Données projet'!$A$62,$AF$205^A8,IF(A8='Données projet'!$A$62,'Données projet'!$B$62,AI7+AH8-AQ7)))</f>
        <v>2.5660198045050335</v>
      </c>
      <c r="AJ8" s="14">
        <f>AI8*VLOOKUP('Données projet'!$B$10,Paramètres!$A$1:$I$89,3,0)*VLOOKUP('Données projet'!$B$10,Paramètres!$A$1:$I$89,5,0)</f>
        <v>2.6019440817681043</v>
      </c>
      <c r="AK8" s="14">
        <f t="shared" si="35"/>
        <v>1.0727767222833702</v>
      </c>
      <c r="AL8" s="22">
        <f t="shared" si="4"/>
        <v>6.4001387337229838</v>
      </c>
      <c r="AM8" s="62">
        <f t="shared" si="5"/>
        <v>269.17791651150077</v>
      </c>
      <c r="AN8" s="62">
        <f ca="1">AVERAGE(OFFSET($AM$3,0,0,'Données projet'!$E$10+1,1))-AVERAGE(OFFSET($H$3,0,0,'Données projet'!$E$10+1,1))</f>
        <v>408.65944152905672</v>
      </c>
      <c r="AO8" s="62">
        <f t="shared" si="36"/>
        <v>248.55239719988651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10.4</v>
      </c>
      <c r="BD8" s="13">
        <f>IF('Données projet'!$A$88&gt;35,BD7+BC8-BL7,IF(A8&lt;'Données projet'!$A$88,$BA$205^A8,IF(A8='Données projet'!$A$88,'Données projet'!$B$88,BD7+BC8-BL7)))</f>
        <v>3.0408477029551948</v>
      </c>
      <c r="BE8" s="14">
        <f>BD8*VLOOKUP('Données projet'!$B$11,Paramètres!$A$1:$I$89,3,0)*VLOOKUP('Données projet'!$B$11,Paramètres!$A$1:$I$89,5,0)</f>
        <v>2.9411078982982644</v>
      </c>
      <c r="BF8" s="14">
        <f t="shared" si="37"/>
        <v>1.1954415508876866</v>
      </c>
      <c r="BG8" s="22">
        <f t="shared" si="7"/>
        <v>7.2044902906655315</v>
      </c>
      <c r="BH8" s="62">
        <f t="shared" si="8"/>
        <v>269.98226806844332</v>
      </c>
      <c r="BI8" s="62">
        <f ca="1">AVERAGE(OFFSET($BH$3,0,0,'Données projet'!$E$11+1,1))-AVERAGE(OFFSET($H$3,0,0,'Données projet'!$E$11+1,1))</f>
        <v>643.38601112255424</v>
      </c>
      <c r="BJ8" s="62">
        <f t="shared" si="38"/>
        <v>572.76381622085694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13.04</v>
      </c>
      <c r="BY8" s="13">
        <f>IF('Données projet'!$A$114&gt;35,BY7+BX8-CG7,IF(A8&lt;'Données projet'!$A$114,$BV$205^A8,IF(A8='Données projet'!$A$114,'Données projet'!$B$114,BY7+BX8-CG7)))</f>
        <v>3.1815849235850524</v>
      </c>
      <c r="BZ8" s="14">
        <f>BY8*VLOOKUP('Données projet'!$B$12,Paramètres!$A$1:$I$89,3,0)*VLOOKUP('Données projet'!$B$12,Paramètres!$A$1:$I$89,5,0)</f>
        <v>2.1342071667408531</v>
      </c>
      <c r="CA8" s="14">
        <f t="shared" si="39"/>
        <v>0.90046223126070413</v>
      </c>
      <c r="CB8" s="22">
        <f t="shared" si="10"/>
        <v>5.2853825348527117</v>
      </c>
      <c r="CC8" s="62">
        <f t="shared" si="11"/>
        <v>268.06316031263049</v>
      </c>
      <c r="CD8" s="62">
        <f ca="1">AVERAGE(OFFSET($CC$3,0,0,'Données projet'!$E$12+1,1))-AVERAGE(OFFSET($H$3,0,0,'Données projet'!$E$12+1,1))</f>
        <v>323.41415875740768</v>
      </c>
      <c r="CE8" s="62">
        <f t="shared" si="40"/>
        <v>496.54020068152101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10.4</v>
      </c>
      <c r="CT8" s="13">
        <f>IF('Données projet'!$A$140&gt;35,CT7+CS8-DB7,IF(A8&lt;'Données projet'!$A$140,$CQ$205^A8,IF(A8='Données projet'!$A$140,'Données projet'!$B$140,CT7+CS8-DB7)))</f>
        <v>3.0408477029551948</v>
      </c>
      <c r="CU8" s="18">
        <f>CT8*VLOOKUP('Données projet'!$B$13,Paramètres!$A$1:$I$89,3,0)*VLOOKUP('Données projet'!$B$13,Paramètres!$A$1:$I$89,5,0)</f>
        <v>3.2731684674609718</v>
      </c>
      <c r="CV8" s="14">
        <f t="shared" si="41"/>
        <v>1.3139477834137954</v>
      </c>
      <c r="CW8" s="22">
        <f t="shared" si="13"/>
        <v>7.9892274702735513</v>
      </c>
      <c r="CX8" s="62">
        <f t="shared" si="14"/>
        <v>270.7670052480513</v>
      </c>
      <c r="CY8" s="62">
        <f ca="1">AVERAGE(OFFSET($CX$3,0,0,'Données projet'!$E$13+1,1))-AVERAGE(OFFSET($H$3,0,0,'Données projet'!$E$13+1,1))</f>
        <v>720.47588458554264</v>
      </c>
      <c r="CZ8" s="62">
        <f t="shared" si="42"/>
        <v>638.59686934821627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4.7759999999999998</v>
      </c>
      <c r="N9" s="14">
        <f>IF('Données projet'!$A$36&gt;35,N8+M9-V8,IF(A9&lt;'Données projet'!$A$36,$K$205^A9,IF(A9='Données projet'!$A$36,'Données projet'!$B$36,N8+M9-V8)))</f>
        <v>3.1512367922252187</v>
      </c>
      <c r="O9" s="14">
        <f>N9*VLOOKUP('Données projet'!$B$9,Paramètres!$A$1:$I$89,3,0)*VLOOKUP('Données projet'!$B$9,Paramètres!$A$1:$I$89,5,0)</f>
        <v>1.4747788187614024</v>
      </c>
      <c r="P9" s="14">
        <f t="shared" si="33"/>
        <v>0.64958972416992466</v>
      </c>
      <c r="Q9" s="22">
        <f t="shared" si="2"/>
        <v>3.6999418789387284</v>
      </c>
      <c r="R9" s="62">
        <f t="shared" si="0"/>
        <v>267.69994187893872</v>
      </c>
      <c r="S9" s="62">
        <f ca="1">AVERAGE(OFFSET($R$3,0,0,'Données projet'!$E$9+1,1))-AVERAGE(OFFSET($H$3,0,0,'Données projet'!$E$9+1,1))</f>
        <v>309.95417097673084</v>
      </c>
      <c r="T9" s="62">
        <f t="shared" si="34"/>
        <v>170.83243426024433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4.45</v>
      </c>
      <c r="AI9" s="14">
        <f>IF('Données projet'!$A$62&gt;35,AI8+AH9-AQ8,IF(A9&lt;'Données projet'!$A$62,$AF$205^A9,IF(A9='Données projet'!$A$62,'Données projet'!$B$62,AI8+AH9-AQ8)))</f>
        <v>3.0982182278826662</v>
      </c>
      <c r="AJ9" s="14">
        <f>AI9*VLOOKUP('Données projet'!$B$10,Paramètres!$A$1:$I$89,3,0)*VLOOKUP('Données projet'!$B$10,Paramètres!$A$1:$I$89,5,0)</f>
        <v>3.141593283073024</v>
      </c>
      <c r="AK9" s="14">
        <f t="shared" si="35"/>
        <v>1.2671667517769956</v>
      </c>
      <c r="AL9" s="22">
        <f t="shared" si="4"/>
        <v>7.6785903940304507</v>
      </c>
      <c r="AM9" s="62">
        <f t="shared" si="5"/>
        <v>271.67859039403044</v>
      </c>
      <c r="AN9" s="62">
        <f ca="1">AVERAGE(OFFSET($AM$3,0,0,'Données projet'!$E$10+1,1))-AVERAGE(OFFSET($H$3,0,0,'Données projet'!$E$10+1,1))</f>
        <v>408.65944152905672</v>
      </c>
      <c r="AO9" s="62">
        <f t="shared" si="36"/>
        <v>248.55239719988651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10.4</v>
      </c>
      <c r="BD9" s="13">
        <f>IF('Données projet'!$A$88&gt;35,BD8+BC9-BL8,IF(A9&lt;'Données projet'!$A$88,$BA$205^A9,IF(A9='Données projet'!$A$88,'Données projet'!$B$88,BD8+BC9-BL8)))</f>
        <v>3.7983379574810399</v>
      </c>
      <c r="BE9" s="14">
        <f>BD9*VLOOKUP('Données projet'!$B$11,Paramètres!$A$1:$I$89,3,0)*VLOOKUP('Données projet'!$B$11,Paramètres!$A$1:$I$89,5,0)</f>
        <v>3.6737524724756621</v>
      </c>
      <c r="BF9" s="14">
        <f t="shared" si="37"/>
        <v>1.4550675815610266</v>
      </c>
      <c r="BG9" s="22">
        <f t="shared" si="7"/>
        <v>8.9326949274472316</v>
      </c>
      <c r="BH9" s="62">
        <f t="shared" si="8"/>
        <v>272.93269492744724</v>
      </c>
      <c r="BI9" s="62">
        <f ca="1">AVERAGE(OFFSET($BH$3,0,0,'Données projet'!$E$11+1,1))-AVERAGE(OFFSET($H$3,0,0,'Données projet'!$E$11+1,1))</f>
        <v>643.38601112255424</v>
      </c>
      <c r="BJ9" s="62">
        <f t="shared" si="38"/>
        <v>572.76381622085694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13.04</v>
      </c>
      <c r="BY9" s="13">
        <f>IF('Données projet'!$A$114&gt;35,BY8+BX9-CG8,IF(A9&lt;'Données projet'!$A$114,$BV$205^A9,IF(A9='Données projet'!$A$114,'Données projet'!$B$114,BY8+BX9-CG8)))</f>
        <v>4.0102571703863301</v>
      </c>
      <c r="BZ9" s="14">
        <f>BY9*VLOOKUP('Données projet'!$B$12,Paramètres!$A$1:$I$89,3,0)*VLOOKUP('Données projet'!$B$12,Paramètres!$A$1:$I$89,5,0)</f>
        <v>2.6900805098951501</v>
      </c>
      <c r="CA9" s="14">
        <f t="shared" si="39"/>
        <v>1.1048228924925758</v>
      </c>
      <c r="CB9" s="22">
        <f t="shared" si="10"/>
        <v>6.609456759158622</v>
      </c>
      <c r="CC9" s="62">
        <f t="shared" si="11"/>
        <v>270.6094567591586</v>
      </c>
      <c r="CD9" s="62">
        <f ca="1">AVERAGE(OFFSET($CC$3,0,0,'Données projet'!$E$12+1,1))-AVERAGE(OFFSET($H$3,0,0,'Données projet'!$E$12+1,1))</f>
        <v>323.41415875740768</v>
      </c>
      <c r="CE9" s="62">
        <f t="shared" si="40"/>
        <v>496.54020068152101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10.4</v>
      </c>
      <c r="CT9" s="13">
        <f>IF('Données projet'!$A$140&gt;35,CT8+CS9-DB8,IF(A9&lt;'Données projet'!$A$140,$CQ$205^A9,IF(A9='Données projet'!$A$140,'Données projet'!$B$140,CT8+CS9-DB8)))</f>
        <v>3.7983379574810399</v>
      </c>
      <c r="CU9" s="18">
        <f>CT9*VLOOKUP('Données projet'!$B$13,Paramètres!$A$1:$I$89,3,0)*VLOOKUP('Données projet'!$B$13,Paramètres!$A$1:$I$89,5,0)</f>
        <v>4.0885309774325913</v>
      </c>
      <c r="CV9" s="14">
        <f t="shared" si="41"/>
        <v>1.5993110011022247</v>
      </c>
      <c r="CW9" s="22">
        <f t="shared" si="13"/>
        <v>9.906324779281471</v>
      </c>
      <c r="CX9" s="62">
        <f t="shared" si="14"/>
        <v>273.90632477928148</v>
      </c>
      <c r="CY9" s="62">
        <f ca="1">AVERAGE(OFFSET($CX$3,0,0,'Données projet'!$E$13+1,1))-AVERAGE(OFFSET($H$3,0,0,'Données projet'!$E$13+1,1))</f>
        <v>720.47588458554264</v>
      </c>
      <c r="CZ9" s="62">
        <f t="shared" si="42"/>
        <v>638.59686934821627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4.7759999999999998</v>
      </c>
      <c r="N10" s="14">
        <f>IF('Données projet'!$A$36&gt;35,N9+M10-V9,IF(A10&lt;'Données projet'!$A$36,$K$205^A10,IF(A10='Données projet'!$A$36,'Données projet'!$B$36,N9+M10-V9)))</f>
        <v>3.8155856914484754</v>
      </c>
      <c r="O10" s="14">
        <f>N10*VLOOKUP('Données projet'!$B$9,Paramètres!$A$1:$I$89,3,0)*VLOOKUP('Données projet'!$B$9,Paramètres!$A$1:$I$89,5,0)</f>
        <v>1.7856941035978866</v>
      </c>
      <c r="P10" s="14">
        <f t="shared" si="33"/>
        <v>0.76921684657403544</v>
      </c>
      <c r="Q10" s="22">
        <f t="shared" si="2"/>
        <v>4.4498032382160977</v>
      </c>
      <c r="R10" s="62">
        <f t="shared" si="0"/>
        <v>269.67202546043831</v>
      </c>
      <c r="S10" s="62">
        <f ca="1">AVERAGE(OFFSET($R$3,0,0,'Données projet'!$E$9+1,1))-AVERAGE(OFFSET($H$3,0,0,'Données projet'!$E$9+1,1))</f>
        <v>309.95417097673084</v>
      </c>
      <c r="T10" s="62">
        <f t="shared" si="34"/>
        <v>170.83243426024433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4.45</v>
      </c>
      <c r="AI10" s="14">
        <f>IF('Données projet'!$A$62&gt;35,AI9+AH10-AQ9,IF(A10&lt;'Données projet'!$A$62,$AF$205^A10,IF(A10='Données projet'!$A$62,'Données projet'!$B$62,AI9+AH10-AQ9)))</f>
        <v>3.7407958312449487</v>
      </c>
      <c r="AJ10" s="14">
        <f>AI10*VLOOKUP('Données projet'!$B$10,Paramètres!$A$1:$I$89,3,0)*VLOOKUP('Données projet'!$B$10,Paramètres!$A$1:$I$89,5,0)</f>
        <v>3.793166972882378</v>
      </c>
      <c r="AK10" s="14">
        <f t="shared" si="35"/>
        <v>1.496780777822394</v>
      </c>
      <c r="AL10" s="22">
        <f t="shared" si="4"/>
        <v>9.2133256658108102</v>
      </c>
      <c r="AM10" s="62">
        <f t="shared" si="5"/>
        <v>274.43554788803306</v>
      </c>
      <c r="AN10" s="62">
        <f ca="1">AVERAGE(OFFSET($AM$3,0,0,'Données projet'!$E$10+1,1))-AVERAGE(OFFSET($H$3,0,0,'Données projet'!$E$10+1,1))</f>
        <v>408.65944152905672</v>
      </c>
      <c r="AO10" s="62">
        <f t="shared" si="36"/>
        <v>248.55239719988651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10.4</v>
      </c>
      <c r="BD10" s="13">
        <f>IF('Données projet'!$A$88&gt;35,BD9+BC10-BL9,IF(A10&lt;'Données projet'!$A$88,$BA$205^A10,IF(A10='Données projet'!$A$88,'Données projet'!$B$88,BD9+BC10-BL9)))</f>
        <v>4.7445227938315515</v>
      </c>
      <c r="BE10" s="14">
        <f>BD10*VLOOKUP('Données projet'!$B$11,Paramètres!$A$1:$I$89,3,0)*VLOOKUP('Données projet'!$B$11,Paramètres!$A$1:$I$89,5,0)</f>
        <v>4.5889024461938765</v>
      </c>
      <c r="BF10" s="14">
        <f t="shared" si="37"/>
        <v>1.7710792011016272</v>
      </c>
      <c r="BG10" s="22">
        <f t="shared" si="7"/>
        <v>11.076968035706335</v>
      </c>
      <c r="BH10" s="62">
        <f t="shared" si="8"/>
        <v>276.29919025792856</v>
      </c>
      <c r="BI10" s="62">
        <f ca="1">AVERAGE(OFFSET($BH$3,0,0,'Données projet'!$E$11+1,1))-AVERAGE(OFFSET($H$3,0,0,'Données projet'!$E$11+1,1))</f>
        <v>643.38601112255424</v>
      </c>
      <c r="BJ10" s="62">
        <f t="shared" si="38"/>
        <v>572.76381622085694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13.04</v>
      </c>
      <c r="BY10" s="13">
        <f>IF('Données projet'!$A$114&gt;35,BY9+BX10-CG9,IF(A10&lt;'Données projet'!$A$114,$BV$205^A10,IF(A10='Données projet'!$A$114,'Données projet'!$B$114,BY9+BX10-CG9)))</f>
        <v>5.0547645148234421</v>
      </c>
      <c r="BZ10" s="14">
        <f>BY10*VLOOKUP('Données projet'!$B$12,Paramètres!$A$1:$I$89,3,0)*VLOOKUP('Données projet'!$B$12,Paramètres!$A$1:$I$89,5,0)</f>
        <v>3.390736036543565</v>
      </c>
      <c r="CA10" s="14">
        <f t="shared" si="39"/>
        <v>1.3555633777850931</v>
      </c>
      <c r="CB10" s="22">
        <f t="shared" si="10"/>
        <v>8.2664714799557455</v>
      </c>
      <c r="CC10" s="62">
        <f t="shared" si="11"/>
        <v>273.48869370217795</v>
      </c>
      <c r="CD10" s="62">
        <f ca="1">AVERAGE(OFFSET($CC$3,0,0,'Données projet'!$E$12+1,1))-AVERAGE(OFFSET($H$3,0,0,'Données projet'!$E$12+1,1))</f>
        <v>323.41415875740768</v>
      </c>
      <c r="CE10" s="62">
        <f t="shared" si="40"/>
        <v>496.54020068152101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10.4</v>
      </c>
      <c r="CT10" s="13">
        <f>IF('Données projet'!$A$140&gt;35,CT9+CS10-DB9,IF(A10&lt;'Données projet'!$A$140,$CQ$205^A10,IF(A10='Données projet'!$A$140,'Données projet'!$B$140,CT9+CS10-DB9)))</f>
        <v>4.7445227938315515</v>
      </c>
      <c r="CU10" s="18">
        <f>CT10*VLOOKUP('Données projet'!$B$13,Paramètres!$A$1:$I$89,3,0)*VLOOKUP('Données projet'!$B$13,Paramètres!$A$1:$I$89,5,0)</f>
        <v>5.1070043352802816</v>
      </c>
      <c r="CV10" s="14">
        <f t="shared" si="41"/>
        <v>1.9466494106798811</v>
      </c>
      <c r="CW10" s="22">
        <f t="shared" si="13"/>
        <v>12.285113607547283</v>
      </c>
      <c r="CX10" s="62">
        <f t="shared" si="14"/>
        <v>277.50733582976949</v>
      </c>
      <c r="CY10" s="62">
        <f ca="1">AVERAGE(OFFSET($CX$3,0,0,'Données projet'!$E$13+1,1))-AVERAGE(OFFSET($H$3,0,0,'Données projet'!$E$13+1,1))</f>
        <v>720.47588458554264</v>
      </c>
      <c r="CZ10" s="62">
        <f t="shared" si="42"/>
        <v>638.59686934821627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4.7759999999999998</v>
      </c>
      <c r="N11" s="14">
        <f>IF('Données projet'!$A$36&gt;35,N10+M11-V10,IF(A11&lt;'Données projet'!$A$36,$K$205^A11,IF(A11='Données projet'!$A$36,'Données projet'!$B$36,N10+M11-V10)))</f>
        <v>4.6199937131686788</v>
      </c>
      <c r="O11" s="14">
        <f>N11*VLOOKUP('Données projet'!$B$9,Paramètres!$A$1:$I$89,3,0)*VLOOKUP('Données projet'!$B$9,Paramètres!$A$1:$I$89,5,0)</f>
        <v>2.1621570577629416</v>
      </c>
      <c r="P11" s="14">
        <f t="shared" si="33"/>
        <v>0.91087425653076226</v>
      </c>
      <c r="Q11" s="22">
        <f t="shared" si="2"/>
        <v>5.3521962057282009</v>
      </c>
      <c r="R11" s="62">
        <f t="shared" si="0"/>
        <v>271.79664065017266</v>
      </c>
      <c r="S11" s="62">
        <f ca="1">AVERAGE(OFFSET($R$3,0,0,'Données projet'!$E$9+1,1))-AVERAGE(OFFSET($H$3,0,0,'Données projet'!$E$9+1,1))</f>
        <v>309.95417097673084</v>
      </c>
      <c r="T11" s="62">
        <f t="shared" si="34"/>
        <v>170.83243426024433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4.45</v>
      </c>
      <c r="AI11" s="14">
        <f>IF('Données projet'!$A$62&gt;35,AI10+AH11-AQ10,IF(A11&lt;'Données projet'!$A$62,$AF$205^A11,IF(A11='Données projet'!$A$62,'Données projet'!$B$62,AI10+AH11-AQ10)))</f>
        <v>4.5166455109983756</v>
      </c>
      <c r="AJ11" s="14">
        <f>AI11*VLOOKUP('Données projet'!$B$10,Paramètres!$A$1:$I$89,3,0)*VLOOKUP('Données projet'!$B$10,Paramètres!$A$1:$I$89,5,0)</f>
        <v>4.5798785481523527</v>
      </c>
      <c r="AK11" s="14">
        <f t="shared" si="35"/>
        <v>1.7680014834013602</v>
      </c>
      <c r="AL11" s="22">
        <f t="shared" si="4"/>
        <v>11.055891054956049</v>
      </c>
      <c r="AM11" s="62">
        <f t="shared" si="5"/>
        <v>277.50033549940053</v>
      </c>
      <c r="AN11" s="62">
        <f ca="1">AVERAGE(OFFSET($AM$3,0,0,'Données projet'!$E$10+1,1))-AVERAGE(OFFSET($H$3,0,0,'Données projet'!$E$10+1,1))</f>
        <v>408.65944152905672</v>
      </c>
      <c r="AO11" s="62">
        <f t="shared" si="36"/>
        <v>248.55239719988651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10.4</v>
      </c>
      <c r="BD11" s="13">
        <f>IF('Données projet'!$A$88&gt;35,BD10+BC11-BL10,IF(A11&lt;'Données projet'!$A$88,$BA$205^A11,IF(A11='Données projet'!$A$88,'Données projet'!$B$88,BD10+BC11-BL10)))</f>
        <v>5.9264069688300012</v>
      </c>
      <c r="BE11" s="14">
        <f>BD11*VLOOKUP('Données projet'!$B$11,Paramètres!$A$1:$I$89,3,0)*VLOOKUP('Données projet'!$B$11,Paramètres!$A$1:$I$89,5,0)</f>
        <v>5.7320208202523775</v>
      </c>
      <c r="BF11" s="14">
        <f t="shared" si="37"/>
        <v>2.1557222333340955</v>
      </c>
      <c r="BG11" s="22">
        <f t="shared" si="7"/>
        <v>13.737819151663105</v>
      </c>
      <c r="BH11" s="62">
        <f t="shared" si="8"/>
        <v>280.18226359610759</v>
      </c>
      <c r="BI11" s="62">
        <f ca="1">AVERAGE(OFFSET($BH$3,0,0,'Données projet'!$E$11+1,1))-AVERAGE(OFFSET($H$3,0,0,'Données projet'!$E$11+1,1))</f>
        <v>643.38601112255424</v>
      </c>
      <c r="BJ11" s="62">
        <f t="shared" si="38"/>
        <v>572.76381622085694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13.04</v>
      </c>
      <c r="BY11" s="13">
        <f>IF('Données projet'!$A$114&gt;35,BY10+BX11-CG10,IF(A11&lt;'Données projet'!$A$114,$BV$205^A11,IF(A11='Données projet'!$A$114,'Données projet'!$B$114,BY10+BX11-CG10)))</f>
        <v>6.3713231383255229</v>
      </c>
      <c r="BZ11" s="14">
        <f>BY11*VLOOKUP('Données projet'!$B$12,Paramètres!$A$1:$I$89,3,0)*VLOOKUP('Données projet'!$B$12,Paramètres!$A$1:$I$89,5,0)</f>
        <v>4.2738835611887609</v>
      </c>
      <c r="CA11" s="14">
        <f t="shared" si="39"/>
        <v>1.6632096272430188</v>
      </c>
      <c r="CB11" s="22">
        <f t="shared" si="10"/>
        <v>10.340437303185348</v>
      </c>
      <c r="CC11" s="62">
        <f t="shared" si="11"/>
        <v>276.78488174762981</v>
      </c>
      <c r="CD11" s="62">
        <f ca="1">AVERAGE(OFFSET($CC$3,0,0,'Données projet'!$E$12+1,1))-AVERAGE(OFFSET($H$3,0,0,'Données projet'!$E$12+1,1))</f>
        <v>323.41415875740768</v>
      </c>
      <c r="CE11" s="62">
        <f t="shared" si="40"/>
        <v>496.54020068152101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10.4</v>
      </c>
      <c r="CT11" s="13">
        <f>IF('Données projet'!$A$140&gt;35,CT10+CS11-DB10,IF(A11&lt;'Données projet'!$A$140,$CQ$205^A11,IF(A11='Données projet'!$A$140,'Données projet'!$B$140,CT10+CS11-DB10)))</f>
        <v>5.9264069688300012</v>
      </c>
      <c r="CU11" s="18">
        <f>CT11*VLOOKUP('Données projet'!$B$13,Paramètres!$A$1:$I$89,3,0)*VLOOKUP('Données projet'!$B$13,Paramètres!$A$1:$I$89,5,0)</f>
        <v>6.379184461248613</v>
      </c>
      <c r="CV11" s="14">
        <f t="shared" si="41"/>
        <v>2.3694227861177035</v>
      </c>
      <c r="CW11" s="22">
        <f t="shared" si="13"/>
        <v>15.237157622496333</v>
      </c>
      <c r="CX11" s="62">
        <f t="shared" si="14"/>
        <v>281.6816020669408</v>
      </c>
      <c r="CY11" s="62">
        <f ca="1">AVERAGE(OFFSET($CX$3,0,0,'Données projet'!$E$13+1,1))-AVERAGE(OFFSET($H$3,0,0,'Données projet'!$E$13+1,1))</f>
        <v>720.47588458554264</v>
      </c>
      <c r="CZ11" s="62">
        <f t="shared" si="42"/>
        <v>638.59686934821627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4.7759999999999998</v>
      </c>
      <c r="N12" s="14">
        <f>IF('Données projet'!$A$36&gt;35,N11+M12-V11,IF(A12&lt;'Données projet'!$A$36,$K$205^A12,IF(A12='Données projet'!$A$36,'Données projet'!$B$36,N11+M12-V11)))</f>
        <v>5.5939883508723813</v>
      </c>
      <c r="O12" s="14">
        <f>N12*VLOOKUP('Données projet'!$B$9,Paramètres!$A$1:$I$89,3,0)*VLOOKUP('Données projet'!$B$9,Paramètres!$A$1:$I$89,5,0)</f>
        <v>2.6179865482082745</v>
      </c>
      <c r="P12" s="14">
        <f t="shared" si="33"/>
        <v>1.0786190069884449</v>
      </c>
      <c r="Q12" s="22">
        <f t="shared" si="2"/>
        <v>6.4382546753009526</v>
      </c>
      <c r="R12" s="62">
        <f t="shared" si="0"/>
        <v>274.10492134196761</v>
      </c>
      <c r="S12" s="62">
        <f ca="1">AVERAGE(OFFSET($R$3,0,0,'Données projet'!$E$9+1,1))-AVERAGE(OFFSET($H$3,0,0,'Données projet'!$E$9+1,1))</f>
        <v>309.95417097673084</v>
      </c>
      <c r="T12" s="62">
        <f t="shared" si="34"/>
        <v>170.83243426024433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4.45</v>
      </c>
      <c r="AI12" s="14">
        <f>IF('Données projet'!$A$62&gt;35,AI11+AH12-AQ11,IF(A12&lt;'Données projet'!$A$62,$AF$205^A12,IF(A12='Données projet'!$A$62,'Données projet'!$B$62,AI11+AH12-AQ11)))</f>
        <v>5.4534082030434057</v>
      </c>
      <c r="AJ12" s="14">
        <f>AI12*VLOOKUP('Données projet'!$B$10,Paramètres!$A$1:$I$89,3,0)*VLOOKUP('Données projet'!$B$10,Paramètres!$A$1:$I$89,5,0)</f>
        <v>5.5297559178860141</v>
      </c>
      <c r="AK12" s="14">
        <f t="shared" si="35"/>
        <v>2.0883681108312029</v>
      </c>
      <c r="AL12" s="22">
        <f t="shared" si="4"/>
        <v>13.268232683349153</v>
      </c>
      <c r="AM12" s="62">
        <f t="shared" si="5"/>
        <v>280.93489935001583</v>
      </c>
      <c r="AN12" s="62">
        <f ca="1">AVERAGE(OFFSET($AM$3,0,0,'Données projet'!$E$10+1,1))-AVERAGE(OFFSET($H$3,0,0,'Données projet'!$E$10+1,1))</f>
        <v>408.65944152905672</v>
      </c>
      <c r="AO12" s="62">
        <f t="shared" si="36"/>
        <v>248.55239719988651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10.4</v>
      </c>
      <c r="BD12" s="13">
        <f>IF('Données projet'!$A$88&gt;35,BD11+BC12-BL11,IF(A12&lt;'Données projet'!$A$88,$BA$205^A12,IF(A12='Données projet'!$A$88,'Données projet'!$B$88,BD11+BC12-BL11)))</f>
        <v>7.4027043575088323</v>
      </c>
      <c r="BE12" s="14">
        <f>BD12*VLOOKUP('Données projet'!$B$11,Paramètres!$A$1:$I$89,3,0)*VLOOKUP('Données projet'!$B$11,Paramètres!$A$1:$I$89,5,0)</f>
        <v>7.1598956545825425</v>
      </c>
      <c r="BF12" s="14">
        <f t="shared" si="37"/>
        <v>2.62390205045623</v>
      </c>
      <c r="BG12" s="22">
        <f t="shared" si="7"/>
        <v>17.04011433627586</v>
      </c>
      <c r="BH12" s="62">
        <f t="shared" si="8"/>
        <v>284.70678100294253</v>
      </c>
      <c r="BI12" s="62">
        <f ca="1">AVERAGE(OFFSET($BH$3,0,0,'Données projet'!$E$11+1,1))-AVERAGE(OFFSET($H$3,0,0,'Données projet'!$E$11+1,1))</f>
        <v>643.38601112255424</v>
      </c>
      <c r="BJ12" s="62">
        <f t="shared" si="38"/>
        <v>572.76381622085694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13.04</v>
      </c>
      <c r="BY12" s="13">
        <f>IF('Données projet'!$A$114&gt;35,BY11+BX12-CG11,IF(A12&lt;'Données projet'!$A$114,$BV$205^A12,IF(A12='Données projet'!$A$114,'Données projet'!$B$114,BY11+BX12-CG11)))</f>
        <v>8.0307912295257733</v>
      </c>
      <c r="BZ12" s="14">
        <f>BY12*VLOOKUP('Données projet'!$B$12,Paramètres!$A$1:$I$89,3,0)*VLOOKUP('Données projet'!$B$12,Paramètres!$A$1:$I$89,5,0)</f>
        <v>5.3870547567658891</v>
      </c>
      <c r="CA12" s="14">
        <f t="shared" si="39"/>
        <v>2.0406764519367369</v>
      </c>
      <c r="CB12" s="22">
        <f t="shared" si="10"/>
        <v>12.936631855157074</v>
      </c>
      <c r="CC12" s="62">
        <f t="shared" si="11"/>
        <v>280.60329852182377</v>
      </c>
      <c r="CD12" s="62">
        <f ca="1">AVERAGE(OFFSET($CC$3,0,0,'Données projet'!$E$12+1,1))-AVERAGE(OFFSET($H$3,0,0,'Données projet'!$E$12+1,1))</f>
        <v>323.41415875740768</v>
      </c>
      <c r="CE12" s="62">
        <f t="shared" si="40"/>
        <v>496.54020068152101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10.4</v>
      </c>
      <c r="CT12" s="13">
        <f>IF('Données projet'!$A$140&gt;35,CT11+CS12-DB11,IF(A12&lt;'Données projet'!$A$140,$CQ$205^A12,IF(A12='Données projet'!$A$140,'Données projet'!$B$140,CT11+CS12-DB11)))</f>
        <v>7.4027043575088323</v>
      </c>
      <c r="CU12" s="18">
        <f>CT12*VLOOKUP('Données projet'!$B$13,Paramètres!$A$1:$I$89,3,0)*VLOOKUP('Données projet'!$B$13,Paramètres!$A$1:$I$89,5,0)</f>
        <v>7.9682709704225063</v>
      </c>
      <c r="CV12" s="14">
        <f t="shared" si="41"/>
        <v>2.8840140954877924</v>
      </c>
      <c r="CW12" s="22">
        <f t="shared" si="13"/>
        <v>18.901063156460435</v>
      </c>
      <c r="CX12" s="62">
        <f t="shared" si="14"/>
        <v>286.56772982312714</v>
      </c>
      <c r="CY12" s="62">
        <f ca="1">AVERAGE(OFFSET($CX$3,0,0,'Données projet'!$E$13+1,1))-AVERAGE(OFFSET($H$3,0,0,'Données projet'!$E$13+1,1))</f>
        <v>720.47588458554264</v>
      </c>
      <c r="CZ12" s="62">
        <f t="shared" si="42"/>
        <v>638.59686934821627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4.7759999999999998</v>
      </c>
      <c r="N13" s="14">
        <f>IF('Données projet'!$A$36&gt;35,N12+M13-V12,IF(A13&lt;'Données projet'!$A$36,$K$205^A13,IF(A13='Données projet'!$A$36,'Données projet'!$B$36,N12+M13-V12)))</f>
        <v>6.7733221325605264</v>
      </c>
      <c r="O13" s="14">
        <f>N13*VLOOKUP('Données projet'!$B$9,Paramètres!$A$1:$I$89,3,0)*VLOOKUP('Données projet'!$B$9,Paramètres!$A$1:$I$89,5,0)</f>
        <v>3.1699147580383262</v>
      </c>
      <c r="P13" s="14">
        <f t="shared" si="33"/>
        <v>1.2772552895147578</v>
      </c>
      <c r="Q13" s="22">
        <f t="shared" si="2"/>
        <v>7.7454878328216212</v>
      </c>
      <c r="R13" s="62">
        <f t="shared" si="0"/>
        <v>276.63437672171045</v>
      </c>
      <c r="S13" s="62">
        <f ca="1">AVERAGE(OFFSET($R$3,0,0,'Données projet'!$E$9+1,1))-AVERAGE(OFFSET($H$3,0,0,'Données projet'!$E$9+1,1))</f>
        <v>309.95417097673084</v>
      </c>
      <c r="T13" s="62">
        <f t="shared" si="34"/>
        <v>170.83243426024433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4.45</v>
      </c>
      <c r="AI13" s="14">
        <f>IF('Données projet'!$A$62&gt;35,AI12+AH13-AQ12,IF(A13&lt;'Données projet'!$A$62,$AF$205^A13,IF(A13='Données projet'!$A$62,'Données projet'!$B$62,AI12+AH13-AQ12)))</f>
        <v>6.5844576371120498</v>
      </c>
      <c r="AJ13" s="14">
        <f>AI13*VLOOKUP('Données projet'!$B$10,Paramètres!$A$1:$I$89,3,0)*VLOOKUP('Données projet'!$B$10,Paramètres!$A$1:$I$89,5,0)</f>
        <v>6.6766400440316191</v>
      </c>
      <c r="AK13" s="14">
        <f t="shared" si="35"/>
        <v>2.466786033429258</v>
      </c>
      <c r="AL13" s="22">
        <f t="shared" si="4"/>
        <v>15.924800418244359</v>
      </c>
      <c r="AM13" s="62">
        <f t="shared" si="5"/>
        <v>284.81368930713325</v>
      </c>
      <c r="AN13" s="62">
        <f ca="1">AVERAGE(OFFSET($AM$3,0,0,'Données projet'!$E$10+1,1))-AVERAGE(OFFSET($H$3,0,0,'Données projet'!$E$10+1,1))</f>
        <v>408.65944152905672</v>
      </c>
      <c r="AO13" s="62">
        <f t="shared" si="36"/>
        <v>248.55239719988651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10.4</v>
      </c>
      <c r="BD13" s="13">
        <f>IF('Données projet'!$A$88&gt;35,BD12+BC13-BL12,IF(A13&lt;'Données projet'!$A$88,$BA$205^A13,IF(A13='Données projet'!$A$88,'Données projet'!$B$88,BD12+BC13-BL12)))</f>
        <v>9.2467547525678864</v>
      </c>
      <c r="BE13" s="14">
        <f>BD13*VLOOKUP('Données projet'!$B$11,Paramètres!$A$1:$I$89,3,0)*VLOOKUP('Données projet'!$B$11,Paramètres!$A$1:$I$89,5,0)</f>
        <v>8.9434611966836606</v>
      </c>
      <c r="BF13" s="14">
        <f t="shared" si="37"/>
        <v>3.1937611738317986</v>
      </c>
      <c r="BG13" s="22">
        <f t="shared" si="7"/>
        <v>21.138995628647756</v>
      </c>
      <c r="BH13" s="62">
        <f t="shared" si="8"/>
        <v>290.02788451753662</v>
      </c>
      <c r="BI13" s="62">
        <f ca="1">AVERAGE(OFFSET($BH$3,0,0,'Données projet'!$E$11+1,1))-AVERAGE(OFFSET($H$3,0,0,'Données projet'!$E$11+1,1))</f>
        <v>643.38601112255424</v>
      </c>
      <c r="BJ13" s="62">
        <f t="shared" si="38"/>
        <v>572.76381622085694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13.04</v>
      </c>
      <c r="BY13" s="13">
        <f>IF('Données projet'!$A$114&gt;35,BY12+BX13-CG12,IF(A13&lt;'Données projet'!$A$114,$BV$205^A13,IF(A13='Données projet'!$A$114,'Données projet'!$B$114,BY12+BX13-CG12)))</f>
        <v>10.122482625983704</v>
      </c>
      <c r="BZ13" s="14">
        <f>BY13*VLOOKUP('Données projet'!$B$12,Paramètres!$A$1:$I$89,3,0)*VLOOKUP('Données projet'!$B$12,Paramètres!$A$1:$I$89,5,0)</f>
        <v>6.7901613455098691</v>
      </c>
      <c r="CA13" s="14">
        <f t="shared" si="39"/>
        <v>2.5038096901784201</v>
      </c>
      <c r="CB13" s="22">
        <f t="shared" si="10"/>
        <v>16.186999553823771</v>
      </c>
      <c r="CC13" s="62">
        <f t="shared" si="11"/>
        <v>285.07588844271265</v>
      </c>
      <c r="CD13" s="62">
        <f ca="1">AVERAGE(OFFSET($CC$3,0,0,'Données projet'!$E$12+1,1))-AVERAGE(OFFSET($H$3,0,0,'Données projet'!$E$12+1,1))</f>
        <v>323.41415875740768</v>
      </c>
      <c r="CE13" s="62">
        <f t="shared" si="40"/>
        <v>496.54020068152101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10.4</v>
      </c>
      <c r="CT13" s="13">
        <f>IF('Données projet'!$A$140&gt;35,CT12+CS13-DB12,IF(A13&lt;'Données projet'!$A$140,$CQ$205^A13,IF(A13='Données projet'!$A$140,'Données projet'!$B$140,CT12+CS13-DB12)))</f>
        <v>9.2467547525678864</v>
      </c>
      <c r="CU13" s="18">
        <f>CT13*VLOOKUP('Données projet'!$B$13,Paramètres!$A$1:$I$89,3,0)*VLOOKUP('Données projet'!$B$13,Paramètres!$A$1:$I$89,5,0)</f>
        <v>9.9532068156640729</v>
      </c>
      <c r="CV13" s="14">
        <f t="shared" si="41"/>
        <v>3.5103643603430292</v>
      </c>
      <c r="CW13" s="22">
        <f t="shared" si="13"/>
        <v>23.4490531315457</v>
      </c>
      <c r="CX13" s="62">
        <f t="shared" si="14"/>
        <v>292.33794202043458</v>
      </c>
      <c r="CY13" s="62">
        <f ca="1">AVERAGE(OFFSET($CX$3,0,0,'Données projet'!$E$13+1,1))-AVERAGE(OFFSET($H$3,0,0,'Données projet'!$E$13+1,1))</f>
        <v>720.47588458554264</v>
      </c>
      <c r="CZ13" s="62">
        <f t="shared" si="42"/>
        <v>638.59686934821627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4.7759999999999998</v>
      </c>
      <c r="N14" s="14">
        <f>IF('Données projet'!$A$36&gt;35,N13+M14-V13,IF(A14&lt;'Données projet'!$A$36,$K$205^A14,IF(A14='Données projet'!$A$36,'Données projet'!$B$36,N13+M14-V13)))</f>
        <v>8.2012849927153741</v>
      </c>
      <c r="O14" s="14">
        <f>N14*VLOOKUP('Données projet'!$B$9,Paramètres!$A$1:$I$89,3,0)*VLOOKUP('Données projet'!$B$9,Paramètres!$A$1:$I$89,5,0)</f>
        <v>3.8382013765907952</v>
      </c>
      <c r="P14" s="14">
        <f t="shared" si="33"/>
        <v>1.512472025825246</v>
      </c>
      <c r="Q14" s="22">
        <f t="shared" si="2"/>
        <v>9.319089509207938</v>
      </c>
      <c r="R14" s="62">
        <f t="shared" si="0"/>
        <v>279.43020062031906</v>
      </c>
      <c r="S14" s="62">
        <f ca="1">AVERAGE(OFFSET($R$3,0,0,'Données projet'!$E$9+1,1))-AVERAGE(OFFSET($H$3,0,0,'Données projet'!$E$9+1,1))</f>
        <v>309.95417097673084</v>
      </c>
      <c r="T14" s="62">
        <f t="shared" si="34"/>
        <v>170.83243426024433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4.45</v>
      </c>
      <c r="AI14" s="14">
        <f>IF('Données projet'!$A$62&gt;35,AI13+AH14-AQ13,IF(A14&lt;'Données projet'!$A$62,$AF$205^A14,IF(A14='Données projet'!$A$62,'Données projet'!$B$62,AI13+AH14-AQ13)))</f>
        <v>7.95008933142541</v>
      </c>
      <c r="AJ14" s="14">
        <f>AI14*VLOOKUP('Données projet'!$B$10,Paramètres!$A$1:$I$89,3,0)*VLOOKUP('Données projet'!$B$10,Paramètres!$A$1:$I$89,5,0)</f>
        <v>8.061390582065366</v>
      </c>
      <c r="AK14" s="14">
        <f t="shared" si="35"/>
        <v>2.9137743021270888</v>
      </c>
      <c r="AL14" s="22">
        <f t="shared" si="4"/>
        <v>19.115078839968529</v>
      </c>
      <c r="AM14" s="62">
        <f t="shared" si="5"/>
        <v>289.22618995107968</v>
      </c>
      <c r="AN14" s="62">
        <f ca="1">AVERAGE(OFFSET($AM$3,0,0,'Données projet'!$E$10+1,1))-AVERAGE(OFFSET($H$3,0,0,'Données projet'!$E$10+1,1))</f>
        <v>408.65944152905672</v>
      </c>
      <c r="AO14" s="62">
        <f t="shared" si="36"/>
        <v>248.55239719988651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10.4</v>
      </c>
      <c r="BD14" s="13">
        <f>IF('Données projet'!$A$88&gt;35,BD13+BC14-BL13,IF(A14&lt;'Données projet'!$A$88,$BA$205^A14,IF(A14='Données projet'!$A$88,'Données projet'!$B$88,BD13+BC14-BL13)))</f>
        <v>11.550167253053747</v>
      </c>
      <c r="BE14" s="14">
        <f>BD14*VLOOKUP('Données projet'!$B$11,Paramètres!$A$1:$I$89,3,0)*VLOOKUP('Données projet'!$B$11,Paramètres!$A$1:$I$89,5,0)</f>
        <v>11.171321767153584</v>
      </c>
      <c r="BF14" s="14">
        <f t="shared" si="37"/>
        <v>3.8873823181402396</v>
      </c>
      <c r="BG14" s="22">
        <f t="shared" si="7"/>
        <v>26.22724294855341</v>
      </c>
      <c r="BH14" s="62">
        <f t="shared" si="8"/>
        <v>296.33835405966454</v>
      </c>
      <c r="BI14" s="62">
        <f ca="1">AVERAGE(OFFSET($BH$3,0,0,'Données projet'!$E$11+1,1))-AVERAGE(OFFSET($H$3,0,0,'Données projet'!$E$11+1,1))</f>
        <v>643.38601112255424</v>
      </c>
      <c r="BJ14" s="62">
        <f t="shared" si="38"/>
        <v>572.76381622085694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13.04</v>
      </c>
      <c r="BY14" s="13">
        <f>IF('Données projet'!$A$114&gt;35,BY13+BX14-CG13,IF(A14&lt;'Données projet'!$A$114,$BV$205^A14,IF(A14='Données projet'!$A$114,'Données projet'!$B$114,BY13+BX14-CG13)))</f>
        <v>12.758973753000001</v>
      </c>
      <c r="BZ14" s="14">
        <f>BY14*VLOOKUP('Données projet'!$B$12,Paramètres!$A$1:$I$89,3,0)*VLOOKUP('Données projet'!$B$12,Paramètres!$A$1:$I$89,5,0)</f>
        <v>8.5587195935124019</v>
      </c>
      <c r="CA14" s="14">
        <f t="shared" si="39"/>
        <v>3.0720514066213682</v>
      </c>
      <c r="CB14" s="22">
        <f t="shared" si="10"/>
        <v>20.256926158566312</v>
      </c>
      <c r="CC14" s="62">
        <f t="shared" si="11"/>
        <v>290.36803726967747</v>
      </c>
      <c r="CD14" s="62">
        <f ca="1">AVERAGE(OFFSET($CC$3,0,0,'Données projet'!$E$12+1,1))-AVERAGE(OFFSET($H$3,0,0,'Données projet'!$E$12+1,1))</f>
        <v>323.41415875740768</v>
      </c>
      <c r="CE14" s="62">
        <f t="shared" si="40"/>
        <v>496.54020068152101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10.4</v>
      </c>
      <c r="CT14" s="13">
        <f>IF('Données projet'!$A$140&gt;35,CT13+CS14-DB13,IF(A14&lt;'Données projet'!$A$140,$CQ$205^A14,IF(A14='Données projet'!$A$140,'Données projet'!$B$140,CT13+CS14-DB13)))</f>
        <v>11.550167253053747</v>
      </c>
      <c r="CU14" s="18">
        <f>CT14*VLOOKUP('Données projet'!$B$13,Paramètres!$A$1:$I$89,3,0)*VLOOKUP('Données projet'!$B$13,Paramètres!$A$1:$I$89,5,0)</f>
        <v>12.432600031187052</v>
      </c>
      <c r="CV14" s="14">
        <f t="shared" si="41"/>
        <v>4.2727453938751676</v>
      </c>
      <c r="CW14" s="22">
        <f t="shared" si="13"/>
        <v>29.095143281983365</v>
      </c>
      <c r="CX14" s="62">
        <f t="shared" si="14"/>
        <v>299.20625439309453</v>
      </c>
      <c r="CY14" s="62">
        <f ca="1">AVERAGE(OFFSET($CX$3,0,0,'Données projet'!$E$13+1,1))-AVERAGE(OFFSET($H$3,0,0,'Données projet'!$E$13+1,1))</f>
        <v>720.47588458554264</v>
      </c>
      <c r="CZ14" s="62">
        <f t="shared" si="42"/>
        <v>638.59686934821627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4.7759999999999998</v>
      </c>
      <c r="N15" s="14">
        <f>IF('Données projet'!$A$36&gt;35,N14+M15-V14,IF(A15&lt;'Données projet'!$A$36,$K$205^A15,IF(A15='Données projet'!$A$36,'Données projet'!$B$36,N14+M15-V14)))</f>
        <v>9.9302933206738881</v>
      </c>
      <c r="O15" s="14">
        <f>N15*VLOOKUP('Données projet'!$B$9,Paramètres!$A$1:$I$89,3,0)*VLOOKUP('Données projet'!$B$9,Paramètres!$A$1:$I$89,5,0)</f>
        <v>4.6473772740753798</v>
      </c>
      <c r="P15" s="14">
        <f t="shared" si="33"/>
        <v>1.7910057978879028</v>
      </c>
      <c r="Q15" s="22">
        <f t="shared" si="2"/>
        <v>11.213517183669381</v>
      </c>
      <c r="R15" s="62">
        <f t="shared" si="0"/>
        <v>282.54685051700267</v>
      </c>
      <c r="S15" s="62">
        <f ca="1">AVERAGE(OFFSET($R$3,0,0,'Données projet'!$E$9+1,1))-AVERAGE(OFFSET($H$3,0,0,'Données projet'!$E$9+1,1))</f>
        <v>309.95417097673084</v>
      </c>
      <c r="T15" s="62">
        <f t="shared" si="34"/>
        <v>170.83243426024433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4.45</v>
      </c>
      <c r="AI15" s="14">
        <f>IF('Données projet'!$A$62&gt;35,AI14+AH15-AQ14,IF(A15&lt;'Données projet'!$A$62,$AF$205^A15,IF(A15='Données projet'!$A$62,'Données projet'!$B$62,AI14+AH15-AQ14)))</f>
        <v>9.5989561875844061</v>
      </c>
      <c r="AJ15" s="14">
        <f>AI15*VLOOKUP('Données projet'!$B$10,Paramètres!$A$1:$I$89,3,0)*VLOOKUP('Données projet'!$B$10,Paramètres!$A$1:$I$89,5,0)</f>
        <v>9.7333415742105878</v>
      </c>
      <c r="AK15" s="14">
        <f t="shared" si="35"/>
        <v>3.4417580481974439</v>
      </c>
      <c r="AL15" s="22">
        <f t="shared" si="4"/>
        <v>22.946631842360656</v>
      </c>
      <c r="AM15" s="62">
        <f t="shared" si="5"/>
        <v>294.27996517569397</v>
      </c>
      <c r="AN15" s="62">
        <f ca="1">AVERAGE(OFFSET($AM$3,0,0,'Données projet'!$E$10+1,1))-AVERAGE(OFFSET($H$3,0,0,'Données projet'!$E$10+1,1))</f>
        <v>408.65944152905672</v>
      </c>
      <c r="AO15" s="62">
        <f t="shared" si="36"/>
        <v>248.55239719988651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10.4</v>
      </c>
      <c r="BD15" s="13">
        <f>IF('Données projet'!$A$88&gt;35,BD14+BC15-BL14,IF(A15&lt;'Données projet'!$A$88,$BA$205^A15,IF(A15='Données projet'!$A$88,'Données projet'!$B$88,BD14+BC15-BL14)))</f>
        <v>14.427371239241236</v>
      </c>
      <c r="BE15" s="14">
        <f>BD15*VLOOKUP('Données projet'!$B$11,Paramètres!$A$1:$I$89,3,0)*VLOOKUP('Données projet'!$B$11,Paramètres!$A$1:$I$89,5,0)</f>
        <v>13.954153462594125</v>
      </c>
      <c r="BF15" s="14">
        <f t="shared" si="37"/>
        <v>4.7316441226751706</v>
      </c>
      <c r="BG15" s="22">
        <f t="shared" si="7"/>
        <v>32.544430794344017</v>
      </c>
      <c r="BH15" s="62">
        <f t="shared" si="8"/>
        <v>303.87776412767732</v>
      </c>
      <c r="BI15" s="62">
        <f ca="1">AVERAGE(OFFSET($BH$3,0,0,'Données projet'!$E$11+1,1))-AVERAGE(OFFSET($H$3,0,0,'Données projet'!$E$11+1,1))</f>
        <v>643.38601112255424</v>
      </c>
      <c r="BJ15" s="62">
        <f t="shared" si="38"/>
        <v>572.76381622085694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13.04</v>
      </c>
      <c r="BY15" s="13">
        <f>IF('Données projet'!$A$114&gt;35,BY14+BX15-CG14,IF(A15&lt;'Données projet'!$A$114,$BV$205^A15,IF(A15='Données projet'!$A$114,'Données projet'!$B$114,BY14+BX15-CG14)))</f>
        <v>16.082162572634974</v>
      </c>
      <c r="BZ15" s="14">
        <f>BY15*VLOOKUP('Données projet'!$B$12,Paramètres!$A$1:$I$89,3,0)*VLOOKUP('Données projet'!$B$12,Paramètres!$A$1:$I$89,5,0)</f>
        <v>10.78791465372354</v>
      </c>
      <c r="CA15" s="14">
        <f t="shared" si="39"/>
        <v>3.7692560588547819</v>
      </c>
      <c r="CB15" s="22">
        <f t="shared" si="10"/>
        <v>25.353738991073911</v>
      </c>
      <c r="CC15" s="62">
        <f t="shared" si="11"/>
        <v>296.68707232440721</v>
      </c>
      <c r="CD15" s="62">
        <f ca="1">AVERAGE(OFFSET($CC$3,0,0,'Données projet'!$E$12+1,1))-AVERAGE(OFFSET($H$3,0,0,'Données projet'!$E$12+1,1))</f>
        <v>323.41415875740768</v>
      </c>
      <c r="CE15" s="62">
        <f t="shared" si="40"/>
        <v>496.54020068152101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10.4</v>
      </c>
      <c r="CT15" s="13">
        <f>IF('Données projet'!$A$140&gt;35,CT14+CS15-DB14,IF(A15&lt;'Données projet'!$A$140,$CQ$205^A15,IF(A15='Données projet'!$A$140,'Données projet'!$B$140,CT14+CS15-DB14)))</f>
        <v>14.427371239241236</v>
      </c>
      <c r="CU15" s="18">
        <f>CT15*VLOOKUP('Données projet'!$B$13,Paramètres!$A$1:$I$89,3,0)*VLOOKUP('Données projet'!$B$13,Paramètres!$A$1:$I$89,5,0)</f>
        <v>15.529622401919264</v>
      </c>
      <c r="CV15" s="14">
        <f t="shared" si="41"/>
        <v>5.2007003623685</v>
      </c>
      <c r="CW15" s="22">
        <f t="shared" si="13"/>
        <v>36.105312147801186</v>
      </c>
      <c r="CX15" s="62">
        <f t="shared" si="14"/>
        <v>307.43864548113447</v>
      </c>
      <c r="CY15" s="62">
        <f ca="1">AVERAGE(OFFSET($CX$3,0,0,'Données projet'!$E$13+1,1))-AVERAGE(OFFSET($H$3,0,0,'Données projet'!$E$13+1,1))</f>
        <v>720.47588458554264</v>
      </c>
      <c r="CZ15" s="62">
        <f t="shared" si="42"/>
        <v>638.59686934821627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4.7759999999999998</v>
      </c>
      <c r="N16" s="14">
        <f>IF('Données projet'!$A$36&gt;35,N15+M16-V15,IF(A16&lt;'Données projet'!$A$36,$K$205^A16,IF(A16='Données projet'!$A$36,'Données projet'!$B$36,N15+M16-V15)))</f>
        <v>12.023814014780541</v>
      </c>
      <c r="O16" s="14">
        <f>N16*VLOOKUP('Données projet'!$B$9,Paramètres!$A$1:$I$89,3,0)*VLOOKUP('Données projet'!$B$9,Paramètres!$A$1:$I$89,5,0)</f>
        <v>5.6271449589172935</v>
      </c>
      <c r="P16" s="14">
        <f t="shared" si="33"/>
        <v>2.1208337829044304</v>
      </c>
      <c r="Q16" s="22">
        <f t="shared" si="2"/>
        <v>13.494396308672835</v>
      </c>
      <c r="R16" s="62">
        <f t="shared" si="0"/>
        <v>286.04995186422838</v>
      </c>
      <c r="S16" s="62">
        <f ca="1">AVERAGE(OFFSET($R$3,0,0,'Données projet'!$E$9+1,1))-AVERAGE(OFFSET($H$3,0,0,'Données projet'!$E$9+1,1))</f>
        <v>309.95417097673084</v>
      </c>
      <c r="T16" s="62">
        <f t="shared" si="34"/>
        <v>170.83243426024433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4.45</v>
      </c>
      <c r="AI16" s="14">
        <f>IF('Données projet'!$A$62&gt;35,AI15+AH16-AQ15,IF(A16&lt;'Données projet'!$A$62,$AF$205^A16,IF(A16='Données projet'!$A$62,'Données projet'!$B$62,AI15+AH16-AQ15)))</f>
        <v>11.58980183115059</v>
      </c>
      <c r="AJ16" s="14">
        <f>AI16*VLOOKUP('Données projet'!$B$10,Paramètres!$A$1:$I$89,3,0)*VLOOKUP('Données projet'!$B$10,Paramètres!$A$1:$I$89,5,0)</f>
        <v>11.752059056786699</v>
      </c>
      <c r="AK16" s="14">
        <f t="shared" si="35"/>
        <v>4.0654138701423754</v>
      </c>
      <c r="AL16" s="22">
        <f t="shared" si="4"/>
        <v>27.5487653477348</v>
      </c>
      <c r="AM16" s="62">
        <f t="shared" si="5"/>
        <v>300.10432090329033</v>
      </c>
      <c r="AN16" s="62">
        <f ca="1">AVERAGE(OFFSET($AM$3,0,0,'Données projet'!$E$10+1,1))-AVERAGE(OFFSET($H$3,0,0,'Données projet'!$E$10+1,1))</f>
        <v>408.65944152905672</v>
      </c>
      <c r="AO16" s="62">
        <f t="shared" si="36"/>
        <v>248.55239719988651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10.4</v>
      </c>
      <c r="BD16" s="13">
        <f>IF('Données projet'!$A$88&gt;35,BD15+BC16-BL15,IF(A16&lt;'Données projet'!$A$88,$BA$205^A16,IF(A16='Données projet'!$A$88,'Données projet'!$B$88,BD15+BC16-BL15)))</f>
        <v>18.021301017944367</v>
      </c>
      <c r="BE16" s="14">
        <f>BD16*VLOOKUP('Données projet'!$B$11,Paramètres!$A$1:$I$89,3,0)*VLOOKUP('Données projet'!$B$11,Paramètres!$A$1:$I$89,5,0)</f>
        <v>17.430202344555791</v>
      </c>
      <c r="BF16" s="14">
        <f t="shared" si="37"/>
        <v>5.7592627303911152</v>
      </c>
      <c r="BG16" s="22">
        <f t="shared" si="7"/>
        <v>40.388318338865858</v>
      </c>
      <c r="BH16" s="62">
        <f t="shared" si="8"/>
        <v>312.94387389442142</v>
      </c>
      <c r="BI16" s="62">
        <f ca="1">AVERAGE(OFFSET($BH$3,0,0,'Données projet'!$E$11+1,1))-AVERAGE(OFFSET($H$3,0,0,'Données projet'!$E$11+1,1))</f>
        <v>643.38601112255424</v>
      </c>
      <c r="BJ16" s="62">
        <f t="shared" si="38"/>
        <v>572.76381622085694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13.04</v>
      </c>
      <c r="BY16" s="13">
        <f>IF('Données projet'!$A$114&gt;35,BY15+BX16-CG15,IF(A16&lt;'Données projet'!$A$114,$BV$205^A16,IF(A16='Données projet'!$A$114,'Données projet'!$B$114,BY15+BX16-CG15)))</f>
        <v>20.270905640185084</v>
      </c>
      <c r="BZ16" s="14">
        <f>BY16*VLOOKUP('Données projet'!$B$12,Paramètres!$A$1:$I$89,3,0)*VLOOKUP('Données projet'!$B$12,Paramètres!$A$1:$I$89,5,0)</f>
        <v>13.597723503436155</v>
      </c>
      <c r="CA16" s="14">
        <f t="shared" si="39"/>
        <v>4.6246918936941288</v>
      </c>
      <c r="CB16" s="22">
        <f t="shared" si="10"/>
        <v>31.737373483335244</v>
      </c>
      <c r="CC16" s="62">
        <f t="shared" si="11"/>
        <v>304.2929290388908</v>
      </c>
      <c r="CD16" s="62">
        <f ca="1">AVERAGE(OFFSET($CC$3,0,0,'Données projet'!$E$12+1,1))-AVERAGE(OFFSET($H$3,0,0,'Données projet'!$E$12+1,1))</f>
        <v>323.41415875740768</v>
      </c>
      <c r="CE16" s="62">
        <f t="shared" si="40"/>
        <v>496.54020068152101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10.4</v>
      </c>
      <c r="CT16" s="13">
        <f>IF('Données projet'!$A$140&gt;35,CT15+CS16-DB15,IF(A16&lt;'Données projet'!$A$140,$CQ$205^A16,IF(A16='Données projet'!$A$140,'Données projet'!$B$140,CT15+CS16-DB15)))</f>
        <v>18.021301017944367</v>
      </c>
      <c r="CU16" s="18">
        <f>CT16*VLOOKUP('Données projet'!$B$13,Paramètres!$A$1:$I$89,3,0)*VLOOKUP('Données projet'!$B$13,Paramètres!$A$1:$I$89,5,0)</f>
        <v>19.398128415715316</v>
      </c>
      <c r="CV16" s="14">
        <f t="shared" si="41"/>
        <v>6.3301886178172921</v>
      </c>
      <c r="CW16" s="22">
        <f t="shared" si="13"/>
        <v>44.810152166735953</v>
      </c>
      <c r="CX16" s="62">
        <f t="shared" si="14"/>
        <v>317.36570772229152</v>
      </c>
      <c r="CY16" s="62">
        <f ca="1">AVERAGE(OFFSET($CX$3,0,0,'Données projet'!$E$13+1,1))-AVERAGE(OFFSET($H$3,0,0,'Données projet'!$E$13+1,1))</f>
        <v>720.47588458554264</v>
      </c>
      <c r="CZ16" s="62">
        <f t="shared" si="42"/>
        <v>638.59686934821627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4.7759999999999998</v>
      </c>
      <c r="N17" s="14">
        <f>IF('Données projet'!$A$36&gt;35,N16+M17-V16,IF(A17&lt;'Données projet'!$A$36,$K$205^A17,IF(A17='Données projet'!$A$36,'Données projet'!$B$36,N16+M17-V16)))</f>
        <v>14.558694168786344</v>
      </c>
      <c r="O17" s="14">
        <f>N17*VLOOKUP('Données projet'!$B$9,Paramètres!$A$1:$I$89,3,0)*VLOOKUP('Données projet'!$B$9,Paramètres!$A$1:$I$89,5,0)</f>
        <v>6.8134688709920086</v>
      </c>
      <c r="P17" s="14">
        <f t="shared" si="33"/>
        <v>2.5114022188052325</v>
      </c>
      <c r="Q17" s="22">
        <f t="shared" si="2"/>
        <v>16.240817148063527</v>
      </c>
      <c r="R17" s="62">
        <f t="shared" si="0"/>
        <v>290.01859492584128</v>
      </c>
      <c r="S17" s="62">
        <f ca="1">AVERAGE(OFFSET($R$3,0,0,'Données projet'!$E$9+1,1))-AVERAGE(OFFSET($H$3,0,0,'Données projet'!$E$9+1,1))</f>
        <v>309.95417097673084</v>
      </c>
      <c r="T17" s="62">
        <f t="shared" si="34"/>
        <v>170.83243426024433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4.45</v>
      </c>
      <c r="AI17" s="14">
        <f>IF('Données projet'!$A$62&gt;35,AI16+AH17-AQ16,IF(A17&lt;'Données projet'!$A$62,$AF$205^A17,IF(A17='Données projet'!$A$62,'Données projet'!$B$62,AI16+AH17-AQ16)))</f>
        <v>13.993553451059586</v>
      </c>
      <c r="AJ17" s="14">
        <f>AI17*VLOOKUP('Données projet'!$B$10,Paramètres!$A$1:$I$89,3,0)*VLOOKUP('Données projet'!$B$10,Paramètres!$A$1:$I$89,5,0)</f>
        <v>14.189463199374421</v>
      </c>
      <c r="AK17" s="14">
        <f t="shared" si="35"/>
        <v>4.8020778056150721</v>
      </c>
      <c r="AL17" s="22">
        <f t="shared" si="4"/>
        <v>33.076933917023361</v>
      </c>
      <c r="AM17" s="62">
        <f t="shared" si="5"/>
        <v>306.85471169480115</v>
      </c>
      <c r="AN17" s="62">
        <f ca="1">AVERAGE(OFFSET($AM$3,0,0,'Données projet'!$E$10+1,1))-AVERAGE(OFFSET($H$3,0,0,'Données projet'!$E$10+1,1))</f>
        <v>408.65944152905672</v>
      </c>
      <c r="AO17" s="62">
        <f t="shared" si="36"/>
        <v>248.55239719988651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10.4</v>
      </c>
      <c r="BD17" s="13">
        <f>IF('Données projet'!$A$88&gt;35,BD16+BC17-BL16,IF(A17&lt;'Données projet'!$A$88,$BA$205^A17,IF(A17='Données projet'!$A$88,'Données projet'!$B$88,BD16+BC17-BL16)))</f>
        <v>22.510496541187148</v>
      </c>
      <c r="BE17" s="14">
        <f>BD17*VLOOKUP('Données projet'!$B$11,Paramètres!$A$1:$I$89,3,0)*VLOOKUP('Données projet'!$B$11,Paramètres!$A$1:$I$89,5,0)</f>
        <v>21.772152254636211</v>
      </c>
      <c r="BF17" s="14">
        <f t="shared" si="37"/>
        <v>7.0100595771177732</v>
      </c>
      <c r="BG17" s="22">
        <f t="shared" si="7"/>
        <v>50.129018940304853</v>
      </c>
      <c r="BH17" s="62">
        <f t="shared" si="8"/>
        <v>323.9067967180826</v>
      </c>
      <c r="BI17" s="62">
        <f ca="1">AVERAGE(OFFSET($BH$3,0,0,'Données projet'!$E$11+1,1))-AVERAGE(OFFSET($H$3,0,0,'Données projet'!$E$11+1,1))</f>
        <v>643.38601112255424</v>
      </c>
      <c r="BJ17" s="62">
        <f t="shared" si="38"/>
        <v>572.76381622085694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13.04</v>
      </c>
      <c r="BY17" s="13">
        <f>IF('Données projet'!$A$114&gt;35,BY16+BX17-CG16,IF(A17&lt;'Données projet'!$A$114,$BV$205^A17,IF(A17='Données projet'!$A$114,'Données projet'!$B$114,BY16+BX17-CG16)))</f>
        <v>25.550644300318265</v>
      </c>
      <c r="BZ17" s="14">
        <f>BY17*VLOOKUP('Données projet'!$B$12,Paramètres!$A$1:$I$89,3,0)*VLOOKUP('Données projet'!$B$12,Paramètres!$A$1:$I$89,5,0)</f>
        <v>17.13937219665349</v>
      </c>
      <c r="CA17" s="14">
        <f t="shared" si="39"/>
        <v>5.6742696112023934</v>
      </c>
      <c r="CB17" s="22">
        <f t="shared" si="10"/>
        <v>39.733759482015664</v>
      </c>
      <c r="CC17" s="62">
        <f t="shared" si="11"/>
        <v>313.51153725979344</v>
      </c>
      <c r="CD17" s="62">
        <f ca="1">AVERAGE(OFFSET($CC$3,0,0,'Données projet'!$E$12+1,1))-AVERAGE(OFFSET($H$3,0,0,'Données projet'!$E$12+1,1))</f>
        <v>323.41415875740768</v>
      </c>
      <c r="CE17" s="62">
        <f t="shared" si="40"/>
        <v>496.54020068152101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10.4</v>
      </c>
      <c r="CT17" s="13">
        <f>IF('Données projet'!$A$140&gt;35,CT16+CS17-DB16,IF(A17&lt;'Données projet'!$A$140,$CQ$205^A17,IF(A17='Données projet'!$A$140,'Données projet'!$B$140,CT16+CS17-DB16)))</f>
        <v>22.510496541187148</v>
      </c>
      <c r="CU17" s="18">
        <f>CT17*VLOOKUP('Données projet'!$B$13,Paramètres!$A$1:$I$89,3,0)*VLOOKUP('Données projet'!$B$13,Paramètres!$A$1:$I$89,5,0)</f>
        <v>24.230298476933843</v>
      </c>
      <c r="CV17" s="14">
        <f t="shared" si="41"/>
        <v>7.7049791653242545</v>
      </c>
      <c r="CW17" s="22">
        <f t="shared" si="13"/>
        <v>55.620608560266184</v>
      </c>
      <c r="CX17" s="62">
        <f t="shared" si="14"/>
        <v>329.39838633804396</v>
      </c>
      <c r="CY17" s="62">
        <f ca="1">AVERAGE(OFFSET($CX$3,0,0,'Données projet'!$E$13+1,1))-AVERAGE(OFFSET($H$3,0,0,'Données projet'!$E$13+1,1))</f>
        <v>720.47588458554264</v>
      </c>
      <c r="CZ17" s="62">
        <f t="shared" si="42"/>
        <v>638.59686934821627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4.7759999999999998</v>
      </c>
      <c r="N18" s="14">
        <f>IF('Données projet'!$A$36&gt;35,N17+M18-V17,IF(A18&lt;'Données projet'!$A$36,$K$205^A18,IF(A18='Données projet'!$A$36,'Données projet'!$B$36,N17+M18-V17)))</f>
        <v>17.627981906548321</v>
      </c>
      <c r="O18" s="14">
        <f>N18*VLOOKUP('Données projet'!$B$9,Paramètres!$A$1:$I$89,3,0)*VLOOKUP('Données projet'!$B$9,Paramètres!$A$1:$I$89,5,0)</f>
        <v>8.2498955322646133</v>
      </c>
      <c r="P18" s="14">
        <f t="shared" si="33"/>
        <v>2.9738969434852973</v>
      </c>
      <c r="Q18" s="22">
        <f t="shared" si="2"/>
        <v>19.548105228597759</v>
      </c>
      <c r="R18" s="62">
        <f t="shared" si="0"/>
        <v>294.54810522859776</v>
      </c>
      <c r="S18" s="62">
        <f ca="1">AVERAGE(OFFSET($R$3,0,0,'Données projet'!$E$9+1,1))-AVERAGE(OFFSET($H$3,0,0,'Données projet'!$E$9+1,1))</f>
        <v>309.95417097673084</v>
      </c>
      <c r="T18" s="62">
        <f t="shared" si="34"/>
        <v>170.83243426024433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4.45</v>
      </c>
      <c r="AI18" s="14">
        <f>IF('Données projet'!$A$62&gt;35,AI17+AH18-AQ17,IF(A18&lt;'Données projet'!$A$62,$AF$205^A18,IF(A18='Données projet'!$A$62,'Données projet'!$B$62,AI17+AH18-AQ17)))</f>
        <v>16.895848698753934</v>
      </c>
      <c r="AJ18" s="14">
        <f>AI18*VLOOKUP('Données projet'!$B$10,Paramètres!$A$1:$I$89,3,0)*VLOOKUP('Données projet'!$B$10,Paramètres!$A$1:$I$89,5,0)</f>
        <v>17.132390580536491</v>
      </c>
      <c r="AK18" s="14">
        <f t="shared" si="35"/>
        <v>5.6722272289520417</v>
      </c>
      <c r="AL18" s="22">
        <f t="shared" si="4"/>
        <v>39.718042684859192</v>
      </c>
      <c r="AM18" s="62">
        <f t="shared" si="5"/>
        <v>314.7180426848592</v>
      </c>
      <c r="AN18" s="62">
        <f ca="1">AVERAGE(OFFSET($AM$3,0,0,'Données projet'!$E$10+1,1))-AVERAGE(OFFSET($H$3,0,0,'Données projet'!$E$10+1,1))</f>
        <v>408.65944152905672</v>
      </c>
      <c r="AO18" s="62">
        <f t="shared" si="36"/>
        <v>248.55239719988651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10.4</v>
      </c>
      <c r="BD18" s="13">
        <f>IF('Données projet'!$A$88&gt;35,BD17+BC18-BL17,IF(A18&lt;'Données projet'!$A$88,$BA$205^A18,IF(A18='Données projet'!$A$88,'Données projet'!$B$88,BD17+BC18-BL17)))</f>
        <v>28.117972949136092</v>
      </c>
      <c r="BE18" s="14">
        <f>BD18*VLOOKUP('Données projet'!$B$11,Paramètres!$A$1:$I$89,3,0)*VLOOKUP('Données projet'!$B$11,Paramètres!$A$1:$I$89,5,0)</f>
        <v>27.195703436404429</v>
      </c>
      <c r="BF18" s="14">
        <f t="shared" si="37"/>
        <v>8.5325045192726279</v>
      </c>
      <c r="BG18" s="22">
        <f t="shared" si="7"/>
        <v>62.226628856137545</v>
      </c>
      <c r="BH18" s="62">
        <f t="shared" si="8"/>
        <v>337.22662885613755</v>
      </c>
      <c r="BI18" s="62">
        <f ca="1">AVERAGE(OFFSET($BH$3,0,0,'Données projet'!$E$11+1,1))-AVERAGE(OFFSET($H$3,0,0,'Données projet'!$E$11+1,1))</f>
        <v>643.38601112255424</v>
      </c>
      <c r="BJ18" s="62">
        <f t="shared" si="38"/>
        <v>572.76381622085694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13.04</v>
      </c>
      <c r="BY18" s="13">
        <f>IF('Données projet'!$A$114&gt;35,BY17+BX18-CG17,IF(A18&lt;'Données projet'!$A$114,$BV$205^A18,IF(A18='Données projet'!$A$114,'Données projet'!$B$114,BY17+BX18-CG17)))</f>
        <v>32.205538112081385</v>
      </c>
      <c r="BZ18" s="14">
        <f>BY18*VLOOKUP('Données projet'!$B$12,Paramètres!$A$1:$I$89,3,0)*VLOOKUP('Données projet'!$B$12,Paramètres!$A$1:$I$89,5,0)</f>
        <v>21.603474965584194</v>
      </c>
      <c r="CA18" s="14">
        <f t="shared" si="39"/>
        <v>6.9620498750450306</v>
      </c>
      <c r="CB18" s="22">
        <f t="shared" si="10"/>
        <v>49.751622430762559</v>
      </c>
      <c r="CC18" s="62">
        <f t="shared" si="11"/>
        <v>324.75162243076255</v>
      </c>
      <c r="CD18" s="62">
        <f ca="1">AVERAGE(OFFSET($CC$3,0,0,'Données projet'!$E$12+1,1))-AVERAGE(OFFSET($H$3,0,0,'Données projet'!$E$12+1,1))</f>
        <v>323.41415875740768</v>
      </c>
      <c r="CE18" s="62">
        <f t="shared" si="40"/>
        <v>496.54020068152101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10.4</v>
      </c>
      <c r="CT18" s="13">
        <f>IF('Données projet'!$A$140&gt;35,CT17+CS18-DB17,IF(A18&lt;'Données projet'!$A$140,$CQ$205^A18,IF(A18='Données projet'!$A$140,'Données projet'!$B$140,CT17+CS18-DB17)))</f>
        <v>28.117972949136092</v>
      </c>
      <c r="CU18" s="18">
        <f>CT18*VLOOKUP('Données projet'!$B$13,Paramètres!$A$1:$I$89,3,0)*VLOOKUP('Données projet'!$B$13,Paramètres!$A$1:$I$89,5,0)</f>
        <v>30.266186082450087</v>
      </c>
      <c r="CV18" s="14">
        <f t="shared" si="41"/>
        <v>9.3783467637890183</v>
      </c>
      <c r="CW18" s="22">
        <f t="shared" si="13"/>
        <v>69.047561373866429</v>
      </c>
      <c r="CX18" s="62">
        <f t="shared" si="14"/>
        <v>344.04756137386642</v>
      </c>
      <c r="CY18" s="62">
        <f ca="1">AVERAGE(OFFSET($CX$3,0,0,'Données projet'!$E$13+1,1))-AVERAGE(OFFSET($H$3,0,0,'Données projet'!$E$13+1,1))</f>
        <v>720.47588458554264</v>
      </c>
      <c r="CZ18" s="62">
        <f t="shared" si="42"/>
        <v>638.59686934821627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4.7759999999999998</v>
      </c>
      <c r="N19" s="14">
        <f>IF('Données projet'!$A$36&gt;35,N18+M19-V18,IF(A19&lt;'Données projet'!$A$36,$K$205^A19,IF(A19='Données projet'!$A$36,'Données projet'!$B$36,N18+M19-V18)))</f>
        <v>21.344341909718118</v>
      </c>
      <c r="O19" s="14">
        <f>N19*VLOOKUP('Données projet'!$B$9,Paramètres!$A$1:$I$89,3,0)*VLOOKUP('Données projet'!$B$9,Paramètres!$A$1:$I$89,5,0)</f>
        <v>9.9891520137480789</v>
      </c>
      <c r="P19" s="14">
        <f t="shared" si="33"/>
        <v>3.5215637559955049</v>
      </c>
      <c r="Q19" s="22">
        <f t="shared" si="2"/>
        <v>23.531163298970075</v>
      </c>
      <c r="R19" s="62">
        <f t="shared" si="0"/>
        <v>299.75338552119229</v>
      </c>
      <c r="S19" s="62">
        <f ca="1">AVERAGE(OFFSET($R$3,0,0,'Données projet'!$E$9+1,1))-AVERAGE(OFFSET($H$3,0,0,'Données projet'!$E$9+1,1))</f>
        <v>309.95417097673084</v>
      </c>
      <c r="T19" s="62">
        <f t="shared" si="34"/>
        <v>170.83243426024433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4.45</v>
      </c>
      <c r="AI19" s="14">
        <f>IF('Données projet'!$A$62&gt;35,AI18+AH19-AQ18,IF(A19&lt;'Données projet'!$A$62,$AF$205^A19,IF(A19='Données projet'!$A$62,'Données projet'!$B$62,AI18+AH19-AQ18)))</f>
        <v>20.400086672021779</v>
      </c>
      <c r="AJ19" s="14">
        <f>AI19*VLOOKUP('Données projet'!$B$10,Paramètres!$A$1:$I$89,3,0)*VLOOKUP('Données projet'!$B$10,Paramètres!$A$1:$I$89,5,0)</f>
        <v>20.685687885430085</v>
      </c>
      <c r="AK19" s="14">
        <f t="shared" si="35"/>
        <v>6.7000500698351191</v>
      </c>
      <c r="AL19" s="22">
        <f t="shared" si="4"/>
        <v>47.69682693875356</v>
      </c>
      <c r="AM19" s="62">
        <f t="shared" si="5"/>
        <v>323.91904916097576</v>
      </c>
      <c r="AN19" s="62">
        <f ca="1">AVERAGE(OFFSET($AM$3,0,0,'Données projet'!$E$10+1,1))-AVERAGE(OFFSET($H$3,0,0,'Données projet'!$E$10+1,1))</f>
        <v>408.65944152905672</v>
      </c>
      <c r="AO19" s="62">
        <f t="shared" si="36"/>
        <v>248.55239719988651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10.4</v>
      </c>
      <c r="BD19" s="13">
        <f>IF('Données projet'!$A$88&gt;35,BD18+BC19-BL18,IF(A19&lt;'Données projet'!$A$88,$BA$205^A19,IF(A19='Données projet'!$A$88,'Données projet'!$B$88,BD18+BC19-BL18)))</f>
        <v>35.122299560196801</v>
      </c>
      <c r="BE19" s="14">
        <f>BD19*VLOOKUP('Données projet'!$B$11,Paramètres!$A$1:$I$89,3,0)*VLOOKUP('Données projet'!$B$11,Paramètres!$A$1:$I$89,5,0)</f>
        <v>33.970288134622344</v>
      </c>
      <c r="BF19" s="14">
        <f t="shared" si="37"/>
        <v>10.385594098094879</v>
      </c>
      <c r="BG19" s="22">
        <f t="shared" si="7"/>
        <v>77.253161555315828</v>
      </c>
      <c r="BH19" s="62">
        <f t="shared" si="8"/>
        <v>353.47538377753807</v>
      </c>
      <c r="BI19" s="62">
        <f ca="1">AVERAGE(OFFSET($BH$3,0,0,'Données projet'!$E$11+1,1))-AVERAGE(OFFSET($H$3,0,0,'Données projet'!$E$11+1,1))</f>
        <v>643.38601112255424</v>
      </c>
      <c r="BJ19" s="62">
        <f t="shared" si="38"/>
        <v>572.76381622085694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13.04</v>
      </c>
      <c r="BY19" s="13">
        <f>IF('Données projet'!$A$114&gt;35,BY18+BX19-CG18,IF(A19&lt;'Données projet'!$A$114,$BV$205^A19,IF(A19='Données projet'!$A$114,'Données projet'!$B$114,BY18+BX19-CG18)))</f>
        <v>40.593758532962191</v>
      </c>
      <c r="BZ19" s="14">
        <f>BY19*VLOOKUP('Données projet'!$B$12,Paramètres!$A$1:$I$89,3,0)*VLOOKUP('Données projet'!$B$12,Paramètres!$A$1:$I$89,5,0)</f>
        <v>27.230293223911037</v>
      </c>
      <c r="CA19" s="14">
        <f t="shared" si="39"/>
        <v>8.5420929535887016</v>
      </c>
      <c r="CB19" s="22">
        <f t="shared" si="10"/>
        <v>62.303572592478702</v>
      </c>
      <c r="CC19" s="62">
        <f t="shared" si="11"/>
        <v>338.52579481470093</v>
      </c>
      <c r="CD19" s="62">
        <f ca="1">AVERAGE(OFFSET($CC$3,0,0,'Données projet'!$E$12+1,1))-AVERAGE(OFFSET($H$3,0,0,'Données projet'!$E$12+1,1))</f>
        <v>323.41415875740768</v>
      </c>
      <c r="CE19" s="62">
        <f t="shared" si="40"/>
        <v>496.54020068152101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10.4</v>
      </c>
      <c r="CT19" s="13">
        <f>IF('Données projet'!$A$140&gt;35,CT18+CS19-DB18,IF(A19&lt;'Données projet'!$A$140,$CQ$205^A19,IF(A19='Données projet'!$A$140,'Données projet'!$B$140,CT18+CS19-DB18)))</f>
        <v>35.122299560196801</v>
      </c>
      <c r="CU19" s="18">
        <f>CT19*VLOOKUP('Données projet'!$B$13,Paramètres!$A$1:$I$89,3,0)*VLOOKUP('Données projet'!$B$13,Paramètres!$A$1:$I$89,5,0)</f>
        <v>37.805643246595835</v>
      </c>
      <c r="CV19" s="14">
        <f t="shared" si="41"/>
        <v>11.415136385793259</v>
      </c>
      <c r="CW19" s="22">
        <f t="shared" si="13"/>
        <v>85.726191193077668</v>
      </c>
      <c r="CX19" s="62">
        <f t="shared" si="14"/>
        <v>361.94841341529991</v>
      </c>
      <c r="CY19" s="62">
        <f ca="1">AVERAGE(OFFSET($CX$3,0,0,'Données projet'!$E$13+1,1))-AVERAGE(OFFSET($H$3,0,0,'Données projet'!$E$13+1,1))</f>
        <v>720.47588458554264</v>
      </c>
      <c r="CZ19" s="62">
        <f t="shared" si="42"/>
        <v>638.59686934821627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4.7759999999999998</v>
      </c>
      <c r="N20" s="14">
        <f>IF('Données projet'!$A$36&gt;35,N19+M20-V19,IF(A20&lt;'Données projet'!$A$36,$K$205^A20,IF(A20='Données projet'!$A$36,'Données projet'!$B$36,N19+M20-V19)))</f>
        <v>25.84419101256923</v>
      </c>
      <c r="O20" s="14">
        <f>N20*VLOOKUP('Données projet'!$B$9,Paramètres!$A$1:$I$89,3,0)*VLOOKUP('Données projet'!$B$9,Paramètres!$A$1:$I$89,5,0)</f>
        <v>12.095081393882399</v>
      </c>
      <c r="P20" s="14">
        <f t="shared" si="33"/>
        <v>4.1700877747993399</v>
      </c>
      <c r="Q20" s="22">
        <f t="shared" si="2"/>
        <v>28.328502968787358</v>
      </c>
      <c r="R20" s="62">
        <f t="shared" si="0"/>
        <v>305.7729474132318</v>
      </c>
      <c r="S20" s="62">
        <f ca="1">AVERAGE(OFFSET($R$3,0,0,'Données projet'!$E$9+1,1))-AVERAGE(OFFSET($H$3,0,0,'Données projet'!$E$9+1,1))</f>
        <v>309.95417097673084</v>
      </c>
      <c r="T20" s="62">
        <f t="shared" si="34"/>
        <v>170.83243426024433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4.45</v>
      </c>
      <c r="AI20" s="14">
        <f>IF('Données projet'!$A$62&gt;35,AI19+AH20-AQ19,IF(A20&lt;'Données projet'!$A$62,$AF$205^A20,IF(A20='Données projet'!$A$62,'Données projet'!$B$62,AI19+AH20-AQ19)))</f>
        <v>24.631111679917719</v>
      </c>
      <c r="AJ20" s="14">
        <f>AI20*VLOOKUP('Données projet'!$B$10,Paramètres!$A$1:$I$89,3,0)*VLOOKUP('Données projet'!$B$10,Paramètres!$A$1:$I$89,5,0)</f>
        <v>24.975947243436572</v>
      </c>
      <c r="AK20" s="14">
        <f t="shared" si="35"/>
        <v>7.9141171759071547</v>
      </c>
      <c r="AL20" s="22">
        <f t="shared" si="4"/>
        <v>57.283528863690329</v>
      </c>
      <c r="AM20" s="62">
        <f t="shared" si="5"/>
        <v>334.72797330813478</v>
      </c>
      <c r="AN20" s="62">
        <f ca="1">AVERAGE(OFFSET($AM$3,0,0,'Données projet'!$E$10+1,1))-AVERAGE(OFFSET($H$3,0,0,'Données projet'!$E$10+1,1))</f>
        <v>408.65944152905672</v>
      </c>
      <c r="AO20" s="62">
        <f t="shared" si="36"/>
        <v>248.55239719988651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10.4</v>
      </c>
      <c r="BD20" s="13">
        <f>IF('Données projet'!$A$88&gt;35,BD19+BC20-BL19,IF(A20&lt;'Données projet'!$A$88,$BA$205^A20,IF(A20='Données projet'!$A$88,'Données projet'!$B$88,BD19+BC20-BL19)))</f>
        <v>43.871438692528557</v>
      </c>
      <c r="BE20" s="14">
        <f>BD20*VLOOKUP('Données projet'!$B$11,Paramètres!$A$1:$I$89,3,0)*VLOOKUP('Données projet'!$B$11,Paramètres!$A$1:$I$89,5,0)</f>
        <v>42.432455503413621</v>
      </c>
      <c r="BF20" s="14">
        <f t="shared" si="37"/>
        <v>12.641137725360149</v>
      </c>
      <c r="BG20" s="22">
        <f t="shared" si="7"/>
        <v>95.919841540114319</v>
      </c>
      <c r="BH20" s="62">
        <f t="shared" si="8"/>
        <v>373.36428598455876</v>
      </c>
      <c r="BI20" s="62">
        <f ca="1">AVERAGE(OFFSET($BH$3,0,0,'Données projet'!$E$11+1,1))-AVERAGE(OFFSET($H$3,0,0,'Données projet'!$E$11+1,1))</f>
        <v>643.38601112255424</v>
      </c>
      <c r="BJ20" s="62">
        <f t="shared" si="38"/>
        <v>572.76381622085694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13.04</v>
      </c>
      <c r="BY20" s="13">
        <f>IF('Données projet'!$A$114&gt;35,BY19+BX20-CG19,IF(A20&lt;'Données projet'!$A$114,$BV$205^A20,IF(A20='Données projet'!$A$114,'Données projet'!$B$114,BY19+BX20-CG19)))</f>
        <v>51.166765979739232</v>
      </c>
      <c r="BZ20" s="14">
        <f>BY20*VLOOKUP('Données projet'!$B$12,Paramètres!$A$1:$I$89,3,0)*VLOOKUP('Données projet'!$B$12,Paramètres!$A$1:$I$89,5,0)</f>
        <v>34.32266661920908</v>
      </c>
      <c r="CA20" s="14">
        <f t="shared" si="39"/>
        <v>10.480728138604128</v>
      </c>
      <c r="CB20" s="22">
        <f t="shared" si="10"/>
        <v>78.032579203191332</v>
      </c>
      <c r="CC20" s="62">
        <f t="shared" si="11"/>
        <v>355.4770236476358</v>
      </c>
      <c r="CD20" s="62">
        <f ca="1">AVERAGE(OFFSET($CC$3,0,0,'Données projet'!$E$12+1,1))-AVERAGE(OFFSET($H$3,0,0,'Données projet'!$E$12+1,1))</f>
        <v>323.41415875740768</v>
      </c>
      <c r="CE20" s="62">
        <f t="shared" si="40"/>
        <v>496.54020068152101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10.4</v>
      </c>
      <c r="CT20" s="13">
        <f>IF('Données projet'!$A$140&gt;35,CT19+CS20-DB19,IF(A20&lt;'Données projet'!$A$140,$CQ$205^A20,IF(A20='Données projet'!$A$140,'Données projet'!$B$140,CT19+CS20-DB19)))</f>
        <v>43.871438692528557</v>
      </c>
      <c r="CU20" s="18">
        <f>CT20*VLOOKUP('Données projet'!$B$13,Paramètres!$A$1:$I$89,3,0)*VLOOKUP('Données projet'!$B$13,Paramètres!$A$1:$I$89,5,0)</f>
        <v>47.223216608637735</v>
      </c>
      <c r="CV20" s="14">
        <f t="shared" si="41"/>
        <v>13.8942760369436</v>
      </c>
      <c r="CW20" s="22">
        <f t="shared" si="13"/>
        <v>106.44629969105415</v>
      </c>
      <c r="CX20" s="62">
        <f t="shared" si="14"/>
        <v>383.89074413549861</v>
      </c>
      <c r="CY20" s="62">
        <f ca="1">AVERAGE(OFFSET($CX$3,0,0,'Données projet'!$E$13+1,1))-AVERAGE(OFFSET($H$3,0,0,'Données projet'!$E$13+1,1))</f>
        <v>720.47588458554264</v>
      </c>
      <c r="CZ20" s="62">
        <f t="shared" si="42"/>
        <v>638.59686934821627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4.7759999999999998</v>
      </c>
      <c r="N21" s="14">
        <f>IF('Données projet'!$A$36&gt;35,N20+M21-V20,IF(A21&lt;'Données projet'!$A$36,$K$205^A21,IF(A21='Données projet'!$A$36,'Données projet'!$B$36,N20+M21-V20)))</f>
        <v>31.292705669695906</v>
      </c>
      <c r="O21" s="14">
        <f>N21*VLOOKUP('Données projet'!$B$9,Paramètres!$A$1:$I$89,3,0)*VLOOKUP('Données projet'!$B$9,Paramètres!$A$1:$I$89,5,0)</f>
        <v>14.644986253417684</v>
      </c>
      <c r="P21" s="14">
        <f t="shared" si="33"/>
        <v>4.9380426578746022</v>
      </c>
      <c r="Q21" s="22">
        <f t="shared" si="2"/>
        <v>34.107108687167404</v>
      </c>
      <c r="R21" s="62">
        <f t="shared" si="0"/>
        <v>312.77377535383408</v>
      </c>
      <c r="S21" s="62">
        <f ca="1">AVERAGE(OFFSET($R$3,0,0,'Données projet'!$E$9+1,1))-AVERAGE(OFFSET($H$3,0,0,'Données projet'!$E$9+1,1))</f>
        <v>309.95417097673084</v>
      </c>
      <c r="T21" s="62">
        <f t="shared" si="34"/>
        <v>170.83243426024433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4.45</v>
      </c>
      <c r="AI21" s="14">
        <f>IF('Données projet'!$A$62&gt;35,AI20+AH21-AQ20,IF(A21&lt;'Données projet'!$A$62,$AF$205^A21,IF(A21='Données projet'!$A$62,'Données projet'!$B$62,AI20+AH21-AQ20)))</f>
        <v>29.739661029021111</v>
      </c>
      <c r="AJ21" s="14">
        <f>AI21*VLOOKUP('Données projet'!$B$10,Paramètres!$A$1:$I$89,3,0)*VLOOKUP('Données projet'!$B$10,Paramètres!$A$1:$I$89,5,0)</f>
        <v>30.156016283427409</v>
      </c>
      <c r="AK21" s="14">
        <f t="shared" si="35"/>
        <v>9.348176509303304</v>
      </c>
      <c r="AL21" s="22">
        <f t="shared" si="4"/>
        <v>68.803135780672662</v>
      </c>
      <c r="AM21" s="62">
        <f t="shared" si="5"/>
        <v>347.46980244733936</v>
      </c>
      <c r="AN21" s="62">
        <f ca="1">AVERAGE(OFFSET($AM$3,0,0,'Données projet'!$E$10+1,1))-AVERAGE(OFFSET($H$3,0,0,'Données projet'!$E$10+1,1))</f>
        <v>408.65944152905672</v>
      </c>
      <c r="AO21" s="62">
        <f t="shared" si="36"/>
        <v>248.55239719988651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10.4</v>
      </c>
      <c r="BD21" s="13">
        <f>IF('Données projet'!$A$88&gt;35,BD20+BC21-BL20,IF(A21&lt;'Données projet'!$A$88,$BA$205^A21,IF(A21='Données projet'!$A$88,'Données projet'!$B$88,BD20+BC21-BL20)))</f>
        <v>54.800031804680252</v>
      </c>
      <c r="BE21" s="14">
        <f>BD21*VLOOKUP('Données projet'!$B$11,Paramètres!$A$1:$I$89,3,0)*VLOOKUP('Données projet'!$B$11,Paramètres!$A$1:$I$89,5,0)</f>
        <v>53.002590761486736</v>
      </c>
      <c r="BF21" s="14">
        <f t="shared" si="37"/>
        <v>15.38654038297499</v>
      </c>
      <c r="BG21" s="22">
        <f t="shared" si="7"/>
        <v>119.11107007660418</v>
      </c>
      <c r="BH21" s="62">
        <f t="shared" si="8"/>
        <v>397.77773674327085</v>
      </c>
      <c r="BI21" s="62">
        <f ca="1">AVERAGE(OFFSET($BH$3,0,0,'Données projet'!$E$11+1,1))-AVERAGE(OFFSET($H$3,0,0,'Données projet'!$E$11+1,1))</f>
        <v>643.38601112255424</v>
      </c>
      <c r="BJ21" s="62">
        <f t="shared" si="38"/>
        <v>572.76381622085694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13.04</v>
      </c>
      <c r="BY21" s="13">
        <f>IF('Données projet'!$A$114&gt;35,BY20+BX21-CG20,IF(A21&lt;'Données projet'!$A$114,$BV$205^A21,IF(A21='Données projet'!$A$114,'Données projet'!$B$114,BY20+BX21-CG20)))</f>
        <v>64.493607772228074</v>
      </c>
      <c r="BZ21" s="14">
        <f>BY21*VLOOKUP('Données projet'!$B$12,Paramètres!$A$1:$I$89,3,0)*VLOOKUP('Données projet'!$B$12,Paramètres!$A$1:$I$89,5,0)</f>
        <v>43.262312093610589</v>
      </c>
      <c r="CA21" s="14">
        <f t="shared" si="39"/>
        <v>12.859338210453449</v>
      </c>
      <c r="CB21" s="22">
        <f t="shared" si="10"/>
        <v>97.745207612911528</v>
      </c>
      <c r="CC21" s="62">
        <f t="shared" si="11"/>
        <v>376.41187427957823</v>
      </c>
      <c r="CD21" s="62">
        <f ca="1">AVERAGE(OFFSET($CC$3,0,0,'Données projet'!$E$12+1,1))-AVERAGE(OFFSET($H$3,0,0,'Données projet'!$E$12+1,1))</f>
        <v>323.41415875740768</v>
      </c>
      <c r="CE21" s="62">
        <f t="shared" si="40"/>
        <v>496.54020068152101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10.4</v>
      </c>
      <c r="CT21" s="13">
        <f>IF('Données projet'!$A$140&gt;35,CT20+CS21-DB20,IF(A21&lt;'Données projet'!$A$140,$CQ$205^A21,IF(A21='Données projet'!$A$140,'Données projet'!$B$140,CT20+CS21-DB20)))</f>
        <v>54.800031804680252</v>
      </c>
      <c r="CU21" s="18">
        <f>CT21*VLOOKUP('Données projet'!$B$13,Paramètres!$A$1:$I$89,3,0)*VLOOKUP('Données projet'!$B$13,Paramètres!$A$1:$I$89,5,0)</f>
        <v>58.986754234557814</v>
      </c>
      <c r="CV21" s="14">
        <f t="shared" si="41"/>
        <v>16.911835309392099</v>
      </c>
      <c r="CW21" s="22">
        <f t="shared" si="13"/>
        <v>132.19004345571275</v>
      </c>
      <c r="CX21" s="62">
        <f t="shared" si="14"/>
        <v>410.85671012237947</v>
      </c>
      <c r="CY21" s="62">
        <f ca="1">AVERAGE(OFFSET($CX$3,0,0,'Données projet'!$E$13+1,1))-AVERAGE(OFFSET($H$3,0,0,'Données projet'!$E$13+1,1))</f>
        <v>720.47588458554264</v>
      </c>
      <c r="CZ21" s="62">
        <f t="shared" si="42"/>
        <v>638.59686934821627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4.7759999999999998</v>
      </c>
      <c r="N22" s="14">
        <f>IF('Données projet'!$A$36&gt;35,N21+M22-V21,IF(A22&lt;'Données projet'!$A$36,$K$205^A22,IF(A22='Données projet'!$A$36,'Données projet'!$B$36,N21+M22-V21)))</f>
        <v>37.889885106249665</v>
      </c>
      <c r="O22" s="14">
        <f>N22*VLOOKUP('Données projet'!$B$9,Paramètres!$A$1:$I$89,3,0)*VLOOKUP('Données projet'!$B$9,Paramètres!$A$1:$I$89,5,0)</f>
        <v>17.732466229724842</v>
      </c>
      <c r="P22" s="14">
        <f t="shared" si="33"/>
        <v>5.8474225502753594</v>
      </c>
      <c r="Q22" s="22">
        <f t="shared" si="2"/>
        <v>41.068306291833686</v>
      </c>
      <c r="R22" s="62">
        <f t="shared" si="0"/>
        <v>320.95719518072252</v>
      </c>
      <c r="S22" s="62">
        <f ca="1">AVERAGE(OFFSET($R$3,0,0,'Données projet'!$E$9+1,1))-AVERAGE(OFFSET($H$3,0,0,'Données projet'!$E$9+1,1))</f>
        <v>309.95417097673084</v>
      </c>
      <c r="T22" s="62">
        <f t="shared" si="34"/>
        <v>170.83243426024433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4.45</v>
      </c>
      <c r="AI22" s="14">
        <f>IF('Données projet'!$A$62&gt;35,AI21+AH22-AQ21,IF(A22&lt;'Données projet'!$A$62,$AF$205^A22,IF(A22='Données projet'!$A$62,'Données projet'!$B$62,AI21+AH22-AQ21)))</f>
        <v>35.907735290818657</v>
      </c>
      <c r="AJ22" s="14">
        <f>AI22*VLOOKUP('Données projet'!$B$10,Paramètres!$A$1:$I$89,3,0)*VLOOKUP('Données projet'!$B$10,Paramètres!$A$1:$I$89,5,0)</f>
        <v>36.410443584890125</v>
      </c>
      <c r="AK22" s="14">
        <f t="shared" si="35"/>
        <v>11.042091253731437</v>
      </c>
      <c r="AL22" s="22">
        <f t="shared" si="4"/>
        <v>82.646498177265883</v>
      </c>
      <c r="AM22" s="62">
        <f t="shared" si="5"/>
        <v>362.53538706615473</v>
      </c>
      <c r="AN22" s="62">
        <f ca="1">AVERAGE(OFFSET($AM$3,0,0,'Données projet'!$E$10+1,1))-AVERAGE(OFFSET($H$3,0,0,'Données projet'!$E$10+1,1))</f>
        <v>408.65944152905672</v>
      </c>
      <c r="AO22" s="62">
        <f t="shared" si="36"/>
        <v>248.55239719988651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10.4</v>
      </c>
      <c r="BD22" s="13">
        <f>IF('Données projet'!$A$88&gt;35,BD21+BC22-BL21,IF(A22&lt;'Données projet'!$A$88,$BA$205^A22,IF(A22='Données projet'!$A$88,'Données projet'!$B$88,BD21+BC22-BL21)))</f>
        <v>68.450991699649805</v>
      </c>
      <c r="BE22" s="14">
        <f>BD22*VLOOKUP('Données projet'!$B$11,Paramètres!$A$1:$I$89,3,0)*VLOOKUP('Données projet'!$B$11,Paramètres!$A$1:$I$89,5,0)</f>
        <v>66.20579917190129</v>
      </c>
      <c r="BF22" s="14">
        <f t="shared" si="37"/>
        <v>18.728189669349991</v>
      </c>
      <c r="BG22" s="22">
        <f t="shared" si="7"/>
        <v>147.92669723184596</v>
      </c>
      <c r="BH22" s="62">
        <f t="shared" si="8"/>
        <v>427.81558612073479</v>
      </c>
      <c r="BI22" s="62">
        <f ca="1">AVERAGE(OFFSET($BH$3,0,0,'Données projet'!$E$11+1,1))-AVERAGE(OFFSET($H$3,0,0,'Données projet'!$E$11+1,1))</f>
        <v>643.38601112255424</v>
      </c>
      <c r="BJ22" s="62">
        <f t="shared" si="38"/>
        <v>572.76381622085694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13.04</v>
      </c>
      <c r="BY22" s="13">
        <f>IF('Données projet'!$A$114&gt;35,BY21+BX22-CG21,IF(A22&lt;'Données projet'!$A$114,$BV$205^A22,IF(A22='Données projet'!$A$114,'Données projet'!$B$114,BY21+BX22-CG21)))</f>
        <v>81.291544693776942</v>
      </c>
      <c r="BZ22" s="14">
        <f>BY22*VLOOKUP('Données projet'!$B$12,Paramètres!$A$1:$I$89,3,0)*VLOOKUP('Données projet'!$B$12,Paramètres!$A$1:$I$89,5,0)</f>
        <v>54.530368180585576</v>
      </c>
      <c r="CA22" s="14">
        <f t="shared" si="39"/>
        <v>15.777775839995394</v>
      </c>
      <c r="CB22" s="22">
        <f t="shared" si="10"/>
        <v>122.45335083584519</v>
      </c>
      <c r="CC22" s="62">
        <f t="shared" si="11"/>
        <v>402.34223972473404</v>
      </c>
      <c r="CD22" s="62">
        <f ca="1">AVERAGE(OFFSET($CC$3,0,0,'Données projet'!$E$12+1,1))-AVERAGE(OFFSET($H$3,0,0,'Données projet'!$E$12+1,1))</f>
        <v>323.41415875740768</v>
      </c>
      <c r="CE22" s="62">
        <f t="shared" si="40"/>
        <v>496.54020068152101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10.4</v>
      </c>
      <c r="CT22" s="13">
        <f>IF('Données projet'!$A$140&gt;35,CT21+CS22-DB21,IF(A22&lt;'Données projet'!$A$140,$CQ$205^A22,IF(A22='Données projet'!$A$140,'Données projet'!$B$140,CT21+CS22-DB21)))</f>
        <v>68.450991699649805</v>
      </c>
      <c r="CU22" s="18">
        <f>CT22*VLOOKUP('Données projet'!$B$13,Paramètres!$A$1:$I$89,3,0)*VLOOKUP('Données projet'!$B$13,Paramètres!$A$1:$I$89,5,0)</f>
        <v>73.680647465503043</v>
      </c>
      <c r="CV22" s="14">
        <f t="shared" si="41"/>
        <v>20.584748192099173</v>
      </c>
      <c r="CW22" s="22">
        <f t="shared" si="13"/>
        <v>164.1788974369905</v>
      </c>
      <c r="CX22" s="62">
        <f t="shared" si="14"/>
        <v>444.06778632587935</v>
      </c>
      <c r="CY22" s="62">
        <f ca="1">AVERAGE(OFFSET($CX$3,0,0,'Données projet'!$E$13+1,1))-AVERAGE(OFFSET($H$3,0,0,'Données projet'!$E$13+1,1))</f>
        <v>720.47588458554264</v>
      </c>
      <c r="CZ22" s="62">
        <f t="shared" si="42"/>
        <v>638.59686934821627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4.7759999999999998</v>
      </c>
      <c r="N23" s="14">
        <f>IF('Données projet'!$A$36&gt;35,N22+M23-V22,IF(A23&lt;'Données projet'!$A$36,$K$205^A23,IF(A23='Données projet'!$A$36,'Données projet'!$B$36,N22+M23-V22)))</f>
        <v>45.877892711434292</v>
      </c>
      <c r="O23" s="14">
        <f>N23*VLOOKUP('Données projet'!$B$9,Paramètres!$A$1:$I$89,3,0)*VLOOKUP('Données projet'!$B$9,Paramètres!$A$1:$I$89,5,0)</f>
        <v>21.470853788951249</v>
      </c>
      <c r="P23" s="14">
        <f t="shared" si="33"/>
        <v>6.9242719940750064</v>
      </c>
      <c r="Q23" s="22">
        <f t="shared" si="2"/>
        <v>49.454844072104059</v>
      </c>
      <c r="R23" s="62">
        <f t="shared" si="0"/>
        <v>330.56595518321518</v>
      </c>
      <c r="S23" s="62">
        <f ca="1">AVERAGE(OFFSET($R$3,0,0,'Données projet'!$E$9+1,1))-AVERAGE(OFFSET($H$3,0,0,'Données projet'!$E$9+1,1))</f>
        <v>309.95417097673084</v>
      </c>
      <c r="T23" s="62">
        <f t="shared" si="34"/>
        <v>170.83243426024433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4.45</v>
      </c>
      <c r="AI23" s="14">
        <f>IF('Données projet'!$A$62&gt;35,AI22+AH23-AQ22,IF(A23&lt;'Données projet'!$A$62,$AF$205^A23,IF(A23='Données projet'!$A$62,'Données projet'!$B$62,AI22+AH23-AQ22)))</f>
        <v>43.355082374923192</v>
      </c>
      <c r="AJ23" s="14">
        <f>AI23*VLOOKUP('Données projet'!$B$10,Paramètres!$A$1:$I$89,3,0)*VLOOKUP('Données projet'!$B$10,Paramètres!$A$1:$I$89,5,0)</f>
        <v>43.96205352817212</v>
      </c>
      <c r="AK23" s="14">
        <f t="shared" si="35"/>
        <v>13.042947909080423</v>
      </c>
      <c r="AL23" s="22">
        <f t="shared" si="4"/>
        <v>99.283710836548167</v>
      </c>
      <c r="AM23" s="62">
        <f t="shared" si="5"/>
        <v>380.3948219476593</v>
      </c>
      <c r="AN23" s="62">
        <f ca="1">AVERAGE(OFFSET($AM$3,0,0,'Données projet'!$E$10+1,1))-AVERAGE(OFFSET($H$3,0,0,'Données projet'!$E$10+1,1))</f>
        <v>408.65944152905672</v>
      </c>
      <c r="AO23" s="62">
        <f t="shared" si="36"/>
        <v>248.55239719988651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10.4</v>
      </c>
      <c r="BD23" s="13">
        <f>IF('Données projet'!$A$88&gt;35,BD22+BC23-BL22,IF(A23&lt;'Données projet'!$A$88,$BA$205^A23,IF(A23='Données projet'!$A$88,'Données projet'!$B$88,BD22+BC23-BL22)))</f>
        <v>85.502473454136791</v>
      </c>
      <c r="BE23" s="14">
        <f>BD23*VLOOKUP('Données projet'!$B$11,Paramètres!$A$1:$I$89,3,0)*VLOOKUP('Données projet'!$B$11,Paramètres!$A$1:$I$89,5,0)</f>
        <v>82.69799232484111</v>
      </c>
      <c r="BF23" s="14">
        <f t="shared" si="37"/>
        <v>22.79557844460227</v>
      </c>
      <c r="BG23" s="22">
        <f t="shared" si="7"/>
        <v>183.73463575678056</v>
      </c>
      <c r="BH23" s="62">
        <f t="shared" si="8"/>
        <v>464.84574686789171</v>
      </c>
      <c r="BI23" s="62">
        <f ca="1">AVERAGE(OFFSET($BH$3,0,0,'Données projet'!$E$11+1,1))-AVERAGE(OFFSET($H$3,0,0,'Données projet'!$E$11+1,1))</f>
        <v>643.38601112255424</v>
      </c>
      <c r="BJ23" s="62">
        <f t="shared" si="38"/>
        <v>572.76381622085694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13.04</v>
      </c>
      <c r="BY23" s="13">
        <f>IF('Données projet'!$A$114&gt;35,BY22+BX23-CG22,IF(A23&lt;'Données projet'!$A$114,$BV$205^A23,IF(A23='Données projet'!$A$114,'Données projet'!$B$114,BY22+BX23-CG22)))</f>
        <v>102.46465451334193</v>
      </c>
      <c r="BZ23" s="14">
        <f>BY23*VLOOKUP('Données projet'!$B$12,Paramètres!$A$1:$I$89,3,0)*VLOOKUP('Données projet'!$B$12,Paramètres!$A$1:$I$89,5,0)</f>
        <v>68.73329024754976</v>
      </c>
      <c r="CA23" s="14">
        <f t="shared" si="39"/>
        <v>19.358555345778104</v>
      </c>
      <c r="CB23" s="22">
        <f t="shared" si="10"/>
        <v>153.426631075046</v>
      </c>
      <c r="CC23" s="62">
        <f t="shared" si="11"/>
        <v>434.53774218615717</v>
      </c>
      <c r="CD23" s="62">
        <f ca="1">AVERAGE(OFFSET($CC$3,0,0,'Données projet'!$E$12+1,1))-AVERAGE(OFFSET($H$3,0,0,'Données projet'!$E$12+1,1))</f>
        <v>323.41415875740768</v>
      </c>
      <c r="CE23" s="62">
        <f t="shared" si="40"/>
        <v>496.54020068152101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10.4</v>
      </c>
      <c r="CT23" s="13">
        <f>IF('Données projet'!$A$140&gt;35,CT22+CS23-DB22,IF(A23&lt;'Données projet'!$A$140,$CQ$205^A23,IF(A23='Données projet'!$A$140,'Données projet'!$B$140,CT22+CS23-DB22)))</f>
        <v>85.502473454136791</v>
      </c>
      <c r="CU23" s="18">
        <f>CT23*VLOOKUP('Données projet'!$B$13,Paramètres!$A$1:$I$89,3,0)*VLOOKUP('Données projet'!$B$13,Paramètres!$A$1:$I$89,5,0)</f>
        <v>92.034862426032845</v>
      </c>
      <c r="CV23" s="14">
        <f t="shared" si="41"/>
        <v>25.055344401137098</v>
      </c>
      <c r="CW23" s="22">
        <f t="shared" si="13"/>
        <v>203.93211022398762</v>
      </c>
      <c r="CX23" s="62">
        <f t="shared" si="14"/>
        <v>485.04322133509879</v>
      </c>
      <c r="CY23" s="62">
        <f ca="1">AVERAGE(OFFSET($CX$3,0,0,'Données projet'!$E$13+1,1))-AVERAGE(OFFSET($H$3,0,0,'Données projet'!$E$13+1,1))</f>
        <v>720.47588458554264</v>
      </c>
      <c r="CZ23" s="62">
        <f t="shared" si="42"/>
        <v>638.59686934821627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4.7759999999999998</v>
      </c>
      <c r="N24" s="14">
        <f>IF('Données projet'!$A$36&gt;35,N23+M24-V23,IF(A24&lt;'Données projet'!$A$36,$K$205^A24,IF(A24='Données projet'!$A$36,'Données projet'!$B$36,N23+M24-V23)))</f>
        <v>55.549945156595555</v>
      </c>
      <c r="O24" s="14">
        <f>N24*VLOOKUP('Données projet'!$B$9,Paramètres!$A$1:$I$89,3,0)*VLOOKUP('Données projet'!$B$9,Paramètres!$A$1:$I$89,5,0)</f>
        <v>25.997374333286722</v>
      </c>
      <c r="P24" s="14">
        <f t="shared" si="33"/>
        <v>8.1994318412432197</v>
      </c>
      <c r="Q24" s="22">
        <f t="shared" si="2"/>
        <v>59.559437420639647</v>
      </c>
      <c r="R24" s="62">
        <f t="shared" si="0"/>
        <v>341.89277075397297</v>
      </c>
      <c r="S24" s="62">
        <f ca="1">AVERAGE(OFFSET($R$3,0,0,'Données projet'!$E$9+1,1))-AVERAGE(OFFSET($H$3,0,0,'Données projet'!$E$9+1,1))</f>
        <v>309.95417097673084</v>
      </c>
      <c r="T24" s="62">
        <f t="shared" si="34"/>
        <v>170.83243426024433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4.45</v>
      </c>
      <c r="AI24" s="14">
        <f>IF('Données projet'!$A$62&gt;35,AI23+AH24-AQ23,IF(A24&lt;'Données projet'!$A$62,$AF$205^A24,IF(A24='Données projet'!$A$62,'Données projet'!$B$62,AI23+AH24-AQ23)))</f>
        <v>52.347026414027063</v>
      </c>
      <c r="AJ24" s="14">
        <f>AI24*VLOOKUP('Données projet'!$B$10,Paramètres!$A$1:$I$89,3,0)*VLOOKUP('Données projet'!$B$10,Paramètres!$A$1:$I$89,5,0)</f>
        <v>53.079884783823445</v>
      </c>
      <c r="AK24" s="14">
        <f t="shared" si="35"/>
        <v>15.406365175753967</v>
      </c>
      <c r="AL24" s="22">
        <f t="shared" si="4"/>
        <v>119.2802186795973</v>
      </c>
      <c r="AM24" s="62">
        <f t="shared" si="5"/>
        <v>401.6135520129306</v>
      </c>
      <c r="AN24" s="62">
        <f ca="1">AVERAGE(OFFSET($AM$3,0,0,'Données projet'!$E$10+1,1))-AVERAGE(OFFSET($H$3,0,0,'Données projet'!$E$10+1,1))</f>
        <v>408.65944152905672</v>
      </c>
      <c r="AO24" s="62">
        <f t="shared" si="36"/>
        <v>248.55239719988651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10.4</v>
      </c>
      <c r="BD24" s="13">
        <f>IF('Données projet'!$A$88&gt;35,BD23+BC24-BL23,IF(A24&lt;'Données projet'!$A$88,$BA$205^A24,IF(A24='Données projet'!$A$88,'Données projet'!$B$88,BD23+BC24-BL23)))</f>
        <v>106.80156394012869</v>
      </c>
      <c r="BE24" s="14">
        <f>BD24*VLOOKUP('Données projet'!$B$11,Paramètres!$A$1:$I$89,3,0)*VLOOKUP('Données projet'!$B$11,Paramètres!$A$1:$I$89,5,0)</f>
        <v>103.29847264289248</v>
      </c>
      <c r="BF24" s="14">
        <f t="shared" si="37"/>
        <v>27.746322831962836</v>
      </c>
      <c r="BG24" s="22">
        <f t="shared" si="7"/>
        <v>228.23635211870632</v>
      </c>
      <c r="BH24" s="62">
        <f t="shared" si="8"/>
        <v>510.56968545203961</v>
      </c>
      <c r="BI24" s="62">
        <f ca="1">AVERAGE(OFFSET($BH$3,0,0,'Données projet'!$E$11+1,1))-AVERAGE(OFFSET($H$3,0,0,'Données projet'!$E$11+1,1))</f>
        <v>643.38601112255424</v>
      </c>
      <c r="BJ24" s="62">
        <f t="shared" si="38"/>
        <v>572.76381622085694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13.04</v>
      </c>
      <c r="BY24" s="13">
        <f>IF('Données projet'!$A$114&gt;35,BY23+BX24-CG23,IF(A24&lt;'Données projet'!$A$114,$BV$205^A24,IF(A24='Données projet'!$A$114,'Données projet'!$B$114,BY23+BX24-CG23)))</f>
        <v>129.15249014012457</v>
      </c>
      <c r="BZ24" s="14">
        <f>BY24*VLOOKUP('Données projet'!$B$12,Paramètres!$A$1:$I$89,3,0)*VLOOKUP('Données projet'!$B$12,Paramètres!$A$1:$I$89,5,0)</f>
        <v>86.635490385995567</v>
      </c>
      <c r="CA24" s="14">
        <f t="shared" si="39"/>
        <v>23.751995774054798</v>
      </c>
      <c r="CB24" s="22">
        <f t="shared" si="10"/>
        <v>192.25820506208774</v>
      </c>
      <c r="CC24" s="62">
        <f t="shared" si="11"/>
        <v>474.59153839542103</v>
      </c>
      <c r="CD24" s="62">
        <f ca="1">AVERAGE(OFFSET($CC$3,0,0,'Données projet'!$E$12+1,1))-AVERAGE(OFFSET($H$3,0,0,'Données projet'!$E$12+1,1))</f>
        <v>323.41415875740768</v>
      </c>
      <c r="CE24" s="62">
        <f t="shared" si="40"/>
        <v>496.54020068152101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10.4</v>
      </c>
      <c r="CT24" s="13">
        <f>IF('Données projet'!$A$140&gt;35,CT23+CS24-DB23,IF(A24&lt;'Données projet'!$A$140,$CQ$205^A24,IF(A24='Données projet'!$A$140,'Données projet'!$B$140,CT23+CS24-DB23)))</f>
        <v>106.80156394012869</v>
      </c>
      <c r="CU24" s="18">
        <f>CT24*VLOOKUP('Données projet'!$B$13,Paramètres!$A$1:$I$89,3,0)*VLOOKUP('Données projet'!$B$13,Paramètres!$A$1:$I$89,5,0)</f>
        <v>114.96120342515451</v>
      </c>
      <c r="CV24" s="14">
        <f t="shared" si="41"/>
        <v>30.496864824440397</v>
      </c>
      <c r="CW24" s="22">
        <f t="shared" si="13"/>
        <v>253.33946886804441</v>
      </c>
      <c r="CX24" s="62">
        <f t="shared" si="14"/>
        <v>535.67280220137775</v>
      </c>
      <c r="CY24" s="62">
        <f ca="1">AVERAGE(OFFSET($CX$3,0,0,'Données projet'!$E$13+1,1))-AVERAGE(OFFSET($H$3,0,0,'Données projet'!$E$13+1,1))</f>
        <v>720.47588458554264</v>
      </c>
      <c r="CZ24" s="62">
        <f t="shared" si="42"/>
        <v>638.59686934821627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4.7759999999999998</v>
      </c>
      <c r="N25" s="14">
        <f>IF('Données projet'!$A$36&gt;35,N24+M25-V24,IF(A25&lt;'Données projet'!$A$36,$K$205^A25,IF(A25='Données projet'!$A$36,'Données projet'!$B$36,N24+M25-V24)))</f>
        <v>67.261075531738413</v>
      </c>
      <c r="O25" s="14">
        <f>N25*VLOOKUP('Données projet'!$B$9,Paramètres!$A$1:$I$89,3,0)*VLOOKUP('Données projet'!$B$9,Paramètres!$A$1:$I$89,5,0)</f>
        <v>31.47818334885358</v>
      </c>
      <c r="P25" s="14">
        <f t="shared" si="33"/>
        <v>9.7094225323213035</v>
      </c>
      <c r="Q25" s="22">
        <f t="shared" si="2"/>
        <v>71.735080243046241</v>
      </c>
      <c r="R25" s="62">
        <f t="shared" si="0"/>
        <v>355.29063579860178</v>
      </c>
      <c r="S25" s="62">
        <f ca="1">AVERAGE(OFFSET($R$3,0,0,'Données projet'!$E$9+1,1))-AVERAGE(OFFSET($H$3,0,0,'Données projet'!$E$9+1,1))</f>
        <v>309.95417097673084</v>
      </c>
      <c r="T25" s="62">
        <f t="shared" si="34"/>
        <v>170.83243426024433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4.45</v>
      </c>
      <c r="AI25" s="14">
        <f>IF('Données projet'!$A$62&gt;35,AI24+AH25-AQ24,IF(A25&lt;'Données projet'!$A$62,$AF$205^A25,IF(A25='Données projet'!$A$62,'Données projet'!$B$62,AI24+AH25-AQ24)))</f>
        <v>63.20392037764411</v>
      </c>
      <c r="AJ25" s="14">
        <f>AI25*VLOOKUP('Données projet'!$B$10,Paramètres!$A$1:$I$89,3,0)*VLOOKUP('Données projet'!$B$10,Paramètres!$A$1:$I$89,5,0)</f>
        <v>64.088775262931136</v>
      </c>
      <c r="AK25" s="14">
        <f t="shared" si="35"/>
        <v>18.198040012368562</v>
      </c>
      <c r="AL25" s="22">
        <f t="shared" si="4"/>
        <v>143.31620327114697</v>
      </c>
      <c r="AM25" s="62">
        <f t="shared" si="5"/>
        <v>426.87175882670249</v>
      </c>
      <c r="AN25" s="62">
        <f ca="1">AVERAGE(OFFSET($AM$3,0,0,'Données projet'!$E$10+1,1))-AVERAGE(OFFSET($H$3,0,0,'Données projet'!$E$10+1,1))</f>
        <v>408.65944152905672</v>
      </c>
      <c r="AO25" s="62">
        <f t="shared" si="36"/>
        <v>248.55239719988651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10.4</v>
      </c>
      <c r="BD25" s="13">
        <f>IF('Données projet'!$A$88&gt;35,BD24+BC25-BL24,IF(A25&lt;'Données projet'!$A$88,$BA$205^A25,IF(A25='Données projet'!$A$88,'Données projet'!$B$88,BD24+BC25-BL24)))</f>
        <v>133.40636357351514</v>
      </c>
      <c r="BE25" s="14">
        <f>BD25*VLOOKUP('Données projet'!$B$11,Paramètres!$A$1:$I$89,3,0)*VLOOKUP('Données projet'!$B$11,Paramètres!$A$1:$I$89,5,0)</f>
        <v>129.03063484830383</v>
      </c>
      <c r="BF25" s="14">
        <f t="shared" si="37"/>
        <v>33.772270028874672</v>
      </c>
      <c r="BG25" s="22">
        <f t="shared" si="7"/>
        <v>283.54839266108587</v>
      </c>
      <c r="BH25" s="62">
        <f t="shared" si="8"/>
        <v>567.10394821664136</v>
      </c>
      <c r="BI25" s="62">
        <f ca="1">AVERAGE(OFFSET($BH$3,0,0,'Données projet'!$E$11+1,1))-AVERAGE(OFFSET($H$3,0,0,'Données projet'!$E$11+1,1))</f>
        <v>643.38601112255424</v>
      </c>
      <c r="BJ25" s="62">
        <f t="shared" si="38"/>
        <v>572.76381622085694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13.04</v>
      </c>
      <c r="BY25" s="13">
        <f>IF('Données projet'!$A$114&gt;35,BY24+BX25-CG24,IF(A25&lt;'Données projet'!$A$114,$BV$205^A25,IF(A25='Données projet'!$A$114,'Données projet'!$B$114,BY24+BX25-CG24)))</f>
        <v>162.79141122974289</v>
      </c>
      <c r="BZ25" s="14">
        <f>BY25*VLOOKUP('Données projet'!$B$12,Paramètres!$A$1:$I$89,3,0)*VLOOKUP('Données projet'!$B$12,Paramètres!$A$1:$I$89,5,0)</f>
        <v>109.20047865291154</v>
      </c>
      <c r="CA25" s="14">
        <f t="shared" si="39"/>
        <v>29.142531205137342</v>
      </c>
      <c r="CB25" s="22">
        <f t="shared" si="10"/>
        <v>240.9474088361018</v>
      </c>
      <c r="CC25" s="62">
        <f t="shared" si="11"/>
        <v>524.50296439165731</v>
      </c>
      <c r="CD25" s="62">
        <f ca="1">AVERAGE(OFFSET($CC$3,0,0,'Données projet'!$E$12+1,1))-AVERAGE(OFFSET($H$3,0,0,'Données projet'!$E$12+1,1))</f>
        <v>323.41415875740768</v>
      </c>
      <c r="CE25" s="62">
        <f t="shared" si="40"/>
        <v>496.54020068152101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10.4</v>
      </c>
      <c r="CT25" s="13">
        <f>IF('Données projet'!$A$140&gt;35,CT24+CS25-DB24,IF(A25&lt;'Données projet'!$A$140,$CQ$205^A25,IF(A25='Données projet'!$A$140,'Données projet'!$B$140,CT24+CS25-DB24)))</f>
        <v>133.40636357351514</v>
      </c>
      <c r="CU25" s="18">
        <f>CT25*VLOOKUP('Données projet'!$B$13,Paramètres!$A$1:$I$89,3,0)*VLOOKUP('Données projet'!$B$13,Paramètres!$A$1:$I$89,5,0)</f>
        <v>143.59860975053169</v>
      </c>
      <c r="CV25" s="14">
        <f t="shared" si="41"/>
        <v>37.120174811006805</v>
      </c>
      <c r="CW25" s="22">
        <f t="shared" si="13"/>
        <v>314.75188311134622</v>
      </c>
      <c r="CX25" s="62">
        <f t="shared" si="14"/>
        <v>598.30743866690182</v>
      </c>
      <c r="CY25" s="62">
        <f ca="1">AVERAGE(OFFSET($CX$3,0,0,'Données projet'!$E$13+1,1))-AVERAGE(OFFSET($H$3,0,0,'Données projet'!$E$13+1,1))</f>
        <v>720.47588458554264</v>
      </c>
      <c r="CZ25" s="62">
        <f t="shared" si="42"/>
        <v>638.59686934821627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4.7759999999999998</v>
      </c>
      <c r="N26" s="14">
        <f>IF('Données projet'!$A$36&gt;35,N25+M26-V25,IF(A26&lt;'Données projet'!$A$36,$K$205^A26,IF(A26='Données projet'!$A$36,'Données projet'!$B$36,N25+M26-V25)))</f>
        <v>81.441165584104482</v>
      </c>
      <c r="O26" s="14">
        <f>N26*VLOOKUP('Données projet'!$B$9,Paramètres!$A$1:$I$89,3,0)*VLOOKUP('Données projet'!$B$9,Paramètres!$A$1:$I$89,5,0)</f>
        <v>38.114465493360896</v>
      </c>
      <c r="P26" s="14">
        <f t="shared" si="33"/>
        <v>11.49749003790178</v>
      </c>
      <c r="Q26" s="22">
        <f t="shared" si="2"/>
        <v>86.407489216949159</v>
      </c>
      <c r="R26" s="62">
        <f t="shared" si="0"/>
        <v>371.18526699472693</v>
      </c>
      <c r="S26" s="62">
        <f ca="1">AVERAGE(OFFSET($R$3,0,0,'Données projet'!$E$9+1,1))-AVERAGE(OFFSET($H$3,0,0,'Données projet'!$E$9+1,1))</f>
        <v>309.95417097673084</v>
      </c>
      <c r="T26" s="62">
        <f t="shared" si="34"/>
        <v>170.83243426024433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4.45</v>
      </c>
      <c r="AI26" s="14">
        <f>IF('Données projet'!$A$62&gt;35,AI25+AH26-AQ25,IF(A26&lt;'Données projet'!$A$62,$AF$205^A26,IF(A26='Données projet'!$A$62,'Données projet'!$B$62,AI25+AH26-AQ25)))</f>
        <v>76.312559179734706</v>
      </c>
      <c r="AJ26" s="14">
        <f>AI26*VLOOKUP('Données projet'!$B$10,Paramètres!$A$1:$I$89,3,0)*VLOOKUP('Données projet'!$B$10,Paramètres!$A$1:$I$89,5,0)</f>
        <v>77.380935008251001</v>
      </c>
      <c r="AK26" s="14">
        <f t="shared" si="35"/>
        <v>21.495573843267692</v>
      </c>
      <c r="AL26" s="22">
        <f t="shared" si="4"/>
        <v>172.20991958306172</v>
      </c>
      <c r="AM26" s="62">
        <f t="shared" si="5"/>
        <v>456.98769736083949</v>
      </c>
      <c r="AN26" s="62">
        <f ca="1">AVERAGE(OFFSET($AM$3,0,0,'Données projet'!$E$10+1,1))-AVERAGE(OFFSET($H$3,0,0,'Données projet'!$E$10+1,1))</f>
        <v>408.65944152905672</v>
      </c>
      <c r="AO26" s="62">
        <f t="shared" si="36"/>
        <v>248.55239719988651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10.4</v>
      </c>
      <c r="BD26" s="13">
        <f>IF('Données projet'!$A$88&gt;35,BD25+BC26-BL25,IF(A26&lt;'Données projet'!$A$88,$BA$205^A26,IF(A26='Données projet'!$A$88,'Données projet'!$B$88,BD25+BC26-BL25)))</f>
        <v>166.6385508351336</v>
      </c>
      <c r="BE26" s="14">
        <f>BD26*VLOOKUP('Données projet'!$B$11,Paramètres!$A$1:$I$89,3,0)*VLOOKUP('Données projet'!$B$11,Paramètres!$A$1:$I$89,5,0)</f>
        <v>161.17280636774123</v>
      </c>
      <c r="BF26" s="14">
        <f t="shared" si="37"/>
        <v>41.106932612682336</v>
      </c>
      <c r="BG26" s="22">
        <f t="shared" si="7"/>
        <v>352.30387872423768</v>
      </c>
      <c r="BH26" s="62">
        <f t="shared" si="8"/>
        <v>637.08165650201545</v>
      </c>
      <c r="BI26" s="62">
        <f ca="1">AVERAGE(OFFSET($BH$3,0,0,'Données projet'!$E$11+1,1))-AVERAGE(OFFSET($H$3,0,0,'Données projet'!$E$11+1,1))</f>
        <v>643.38601112255424</v>
      </c>
      <c r="BJ26" s="62">
        <f t="shared" si="38"/>
        <v>572.76381622085694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13.04</v>
      </c>
      <c r="BY26" s="13">
        <f>IF('Données projet'!$A$114&gt;35,BY25+BX26-CG25,IF(A26&lt;'Données projet'!$A$114,$BV$205^A26,IF(A26='Données projet'!$A$114,'Données projet'!$B$114,BY25+BX26-CG25)))</f>
        <v>205.1918901557286</v>
      </c>
      <c r="BZ26" s="14">
        <f>BY26*VLOOKUP('Données projet'!$B$12,Paramètres!$A$1:$I$89,3,0)*VLOOKUP('Données projet'!$B$12,Paramètres!$A$1:$I$89,5,0)</f>
        <v>137.64271991646274</v>
      </c>
      <c r="CA26" s="14">
        <f t="shared" si="39"/>
        <v>35.756453189087864</v>
      </c>
      <c r="CB26" s="22">
        <f t="shared" si="10"/>
        <v>302.00355982550064</v>
      </c>
      <c r="CC26" s="62">
        <f t="shared" si="11"/>
        <v>586.78133760327842</v>
      </c>
      <c r="CD26" s="62">
        <f ca="1">AVERAGE(OFFSET($CC$3,0,0,'Données projet'!$E$12+1,1))-AVERAGE(OFFSET($H$3,0,0,'Données projet'!$E$12+1,1))</f>
        <v>323.41415875740768</v>
      </c>
      <c r="CE26" s="62">
        <f t="shared" si="40"/>
        <v>496.54020068152101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10.4</v>
      </c>
      <c r="CT26" s="13">
        <f>IF('Données projet'!$A$140&gt;35,CT25+CS26-DB25,IF(A26&lt;'Données projet'!$A$140,$CQ$205^A26,IF(A26='Données projet'!$A$140,'Données projet'!$B$140,CT25+CS26-DB25)))</f>
        <v>166.6385508351336</v>
      </c>
      <c r="CU26" s="18">
        <f>CT26*VLOOKUP('Données projet'!$B$13,Paramètres!$A$1:$I$89,3,0)*VLOOKUP('Données projet'!$B$13,Paramètres!$A$1:$I$89,5,0)</f>
        <v>179.36973611893779</v>
      </c>
      <c r="CV26" s="14">
        <f t="shared" si="41"/>
        <v>45.181935452441643</v>
      </c>
      <c r="CW26" s="22">
        <f t="shared" si="13"/>
        <v>391.09416132015252</v>
      </c>
      <c r="CX26" s="62">
        <f t="shared" si="14"/>
        <v>675.87193909793029</v>
      </c>
      <c r="CY26" s="62">
        <f ca="1">AVERAGE(OFFSET($CX$3,0,0,'Données projet'!$E$13+1,1))-AVERAGE(OFFSET($H$3,0,0,'Données projet'!$E$13+1,1))</f>
        <v>720.47588458554264</v>
      </c>
      <c r="CZ26" s="62">
        <f t="shared" si="42"/>
        <v>638.59686934821627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4.7759999999999998</v>
      </c>
      <c r="N27" s="14">
        <f>IF('Données projet'!$A$36&gt;35,N26+M27-V26,IF(A27&lt;'Données projet'!$A$36,$K$205^A27,IF(A27='Données projet'!$A$36,'Données projet'!$B$36,N26+M27-V26)))</f>
        <v>98.610725434620448</v>
      </c>
      <c r="O27" s="14">
        <f>N27*VLOOKUP('Données projet'!$B$9,Paramètres!$A$1:$I$89,3,0)*VLOOKUP('Données projet'!$B$9,Paramètres!$A$1:$I$89,5,0)</f>
        <v>46.149819503402369</v>
      </c>
      <c r="P27" s="14">
        <f t="shared" si="33"/>
        <v>13.614844418563647</v>
      </c>
      <c r="Q27" s="22">
        <f t="shared" si="2"/>
        <v>104.09012299742415</v>
      </c>
      <c r="R27" s="62">
        <f t="shared" si="0"/>
        <v>390.09012299742415</v>
      </c>
      <c r="S27" s="62">
        <f ca="1">AVERAGE(OFFSET($R$3,0,0,'Données projet'!$E$9+1,1))-AVERAGE(OFFSET($H$3,0,0,'Données projet'!$E$9+1,1))</f>
        <v>309.95417097673084</v>
      </c>
      <c r="T27" s="62">
        <f t="shared" si="34"/>
        <v>170.83243426024433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4.45</v>
      </c>
      <c r="AI27" s="14">
        <f>IF('Données projet'!$A$62&gt;35,AI26+AH27-AQ26,IF(A27&lt;'Données projet'!$A$62,$AF$205^A27,IF(A27='Données projet'!$A$62,'Données projet'!$B$62,AI26+AH27-AQ26)))</f>
        <v>92.139959891164963</v>
      </c>
      <c r="AJ27" s="14">
        <f>AI27*VLOOKUP('Données projet'!$B$10,Paramètres!$A$1:$I$89,3,0)*VLOOKUP('Données projet'!$B$10,Paramètres!$A$1:$I$89,5,0)</f>
        <v>93.42991932964128</v>
      </c>
      <c r="AK27" s="14">
        <f t="shared" si="35"/>
        <v>25.390629679752806</v>
      </c>
      <c r="AL27" s="22">
        <f t="shared" si="4"/>
        <v>206.94578952469467</v>
      </c>
      <c r="AM27" s="62">
        <f t="shared" si="5"/>
        <v>492.94578952469465</v>
      </c>
      <c r="AN27" s="62">
        <f ca="1">AVERAGE(OFFSET($AM$3,0,0,'Données projet'!$E$10+1,1))-AVERAGE(OFFSET($H$3,0,0,'Données projet'!$E$10+1,1))</f>
        <v>408.65944152905672</v>
      </c>
      <c r="AO27" s="62">
        <f t="shared" si="36"/>
        <v>248.55239719988651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10.4</v>
      </c>
      <c r="BD27" s="13">
        <f>IF('Données projet'!$A$88&gt;35,BD26+BC27-BL26,IF(A27&lt;'Données projet'!$A$88,$BA$205^A27,IF(A27='Données projet'!$A$88,'Données projet'!$B$88,BD26+BC27-BL26)))</f>
        <v>208.1490408748852</v>
      </c>
      <c r="BE27" s="14">
        <f>BD27*VLOOKUP('Données projet'!$B$11,Paramètres!$A$1:$I$89,3,0)*VLOOKUP('Données projet'!$B$11,Paramètres!$A$1:$I$89,5,0)</f>
        <v>201.32175233418894</v>
      </c>
      <c r="BF27" s="14">
        <f t="shared" si="37"/>
        <v>50.034537429046793</v>
      </c>
      <c r="BG27" s="22">
        <f t="shared" si="7"/>
        <v>437.77887133763556</v>
      </c>
      <c r="BH27" s="62">
        <f t="shared" si="8"/>
        <v>723.77887133763556</v>
      </c>
      <c r="BI27" s="62">
        <f ca="1">AVERAGE(OFFSET($BH$3,0,0,'Données projet'!$E$11+1,1))-AVERAGE(OFFSET($H$3,0,0,'Données projet'!$E$11+1,1))</f>
        <v>643.38601112255424</v>
      </c>
      <c r="BJ27" s="62">
        <f t="shared" si="38"/>
        <v>572.76381622085694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13.04</v>
      </c>
      <c r="BY27" s="13">
        <f>IF('Données projet'!$A$114&gt;35,BY26+BX27-CG26,IF(A27&lt;'Données projet'!$A$114,$BV$205^A27,IF(A27='Données projet'!$A$114,'Données projet'!$B$114,BY26+BX27-CG26)))</f>
        <v>258.63595301266116</v>
      </c>
      <c r="BZ27" s="14">
        <f>BY27*VLOOKUP('Données projet'!$B$12,Paramètres!$A$1:$I$89,3,0)*VLOOKUP('Données projet'!$B$12,Paramètres!$A$1:$I$89,5,0)</f>
        <v>173.49299728089309</v>
      </c>
      <c r="CA27" s="14">
        <f t="shared" si="39"/>
        <v>43.87141033370667</v>
      </c>
      <c r="CB27" s="22">
        <f t="shared" si="10"/>
        <v>378.57634326209455</v>
      </c>
      <c r="CC27" s="62">
        <f t="shared" si="11"/>
        <v>664.5763432620945</v>
      </c>
      <c r="CD27" s="62">
        <f ca="1">AVERAGE(OFFSET($CC$3,0,0,'Données projet'!$E$12+1,1))-AVERAGE(OFFSET($H$3,0,0,'Données projet'!$E$12+1,1))</f>
        <v>323.41415875740768</v>
      </c>
      <c r="CE27" s="62">
        <f t="shared" si="40"/>
        <v>496.54020068152101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10.4</v>
      </c>
      <c r="CT27" s="13">
        <f>IF('Données projet'!$A$140&gt;35,CT26+CS27-DB26,IF(A27&lt;'Données projet'!$A$140,$CQ$205^A27,IF(A27='Données projet'!$A$140,'Données projet'!$B$140,CT26+CS27-DB26)))</f>
        <v>208.1490408748852</v>
      </c>
      <c r="CU27" s="18">
        <f>CT27*VLOOKUP('Données projet'!$B$13,Paramètres!$A$1:$I$89,3,0)*VLOOKUP('Données projet'!$B$13,Paramètres!$A$1:$I$89,5,0)</f>
        <v>224.05162759772639</v>
      </c>
      <c r="CV27" s="14">
        <f t="shared" si="41"/>
        <v>54.99454950366475</v>
      </c>
      <c r="CW27" s="22">
        <f t="shared" si="13"/>
        <v>486.0054251182562</v>
      </c>
      <c r="CX27" s="62">
        <f t="shared" si="14"/>
        <v>772.0054251182562</v>
      </c>
      <c r="CY27" s="62">
        <f ca="1">AVERAGE(OFFSET($CX$3,0,0,'Données projet'!$E$13+1,1))-AVERAGE(OFFSET($H$3,0,0,'Données projet'!$E$13+1,1))</f>
        <v>720.47588458554264</v>
      </c>
      <c r="CZ27" s="62">
        <f t="shared" si="42"/>
        <v>638.59686934821627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119.4</v>
      </c>
      <c r="L28" s="13">
        <f>VLOOKUP(A28,'Données projet'!$A$35:$I$55,9,0)</f>
        <v>4.7759999999999998</v>
      </c>
      <c r="M28" s="13">
        <f t="array" ref="M28">INDEX(L:L,MIN(IF(ISNUMBER(L28:L224),ROW(L28:L224),"")))</f>
        <v>4.7759999999999998</v>
      </c>
      <c r="N28" s="14">
        <f>IF('Données projet'!$A$36&gt;35,N27+M28-V27,IF(A28&lt;'Données projet'!$A$36,$K$205^A28,IF(A28='Données projet'!$A$36,'Données projet'!$B$36,N27+M28-V27)))</f>
        <v>119.4</v>
      </c>
      <c r="O28" s="14">
        <f>N28*VLOOKUP('Données projet'!$B$9,Paramètres!$A$1:$I$89,3,0)*VLOOKUP('Données projet'!$B$9,Paramètres!$A$1:$I$89,5,0)</f>
        <v>55.879200000000004</v>
      </c>
      <c r="P28" s="14">
        <f t="shared" si="33"/>
        <v>16.122126475486027</v>
      </c>
      <c r="Q28" s="22">
        <f t="shared" si="2"/>
        <v>125.40231027813816</v>
      </c>
      <c r="R28" s="62">
        <f t="shared" si="0"/>
        <v>412.62453250036037</v>
      </c>
      <c r="S28" s="62">
        <f ca="1">AVERAGE(OFFSET($R$3,0,0,'Données projet'!$E$9+1,1))-AVERAGE(OFFSET($H$3,0,0,'Données projet'!$E$9+1,1))</f>
        <v>309.95417097673084</v>
      </c>
      <c r="T28" s="62">
        <f t="shared" si="34"/>
        <v>170.83243426024433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11.94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0.13750000000000001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1.0152380267603409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1.0152380267603409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111.25</v>
      </c>
      <c r="AG28" s="13">
        <f>VLOOKUP(A28,'Données projet'!$A$61:$I$81,9,0)</f>
        <v>4.45</v>
      </c>
      <c r="AH28" s="13">
        <f t="array" ref="AH28">INDEX(AG:AG,MIN(IF(ISNUMBER(AG28:AG224),ROW(AG28:AG224),"")))</f>
        <v>4.45</v>
      </c>
      <c r="AI28" s="14">
        <f>IF('Données projet'!$A$62&gt;35,AI27+AH28-AQ27,IF(A28&lt;'Données projet'!$A$62,$AF$205^A28,IF(A28='Données projet'!$A$62,'Données projet'!$B$62,AI27+AH28-AQ27)))</f>
        <v>111.25</v>
      </c>
      <c r="AJ28" s="14">
        <f>AI28*VLOOKUP('Données projet'!$B$10,Paramètres!$A$1:$I$89,3,0)*VLOOKUP('Données projet'!$B$10,Paramètres!$A$1:$I$89,5,0)</f>
        <v>112.8075</v>
      </c>
      <c r="AK28" s="14">
        <f t="shared" si="35"/>
        <v>29.991480117487335</v>
      </c>
      <c r="AL28" s="22">
        <f t="shared" si="4"/>
        <v>248.70822370462375</v>
      </c>
      <c r="AM28" s="62">
        <f t="shared" si="5"/>
        <v>535.93044592684601</v>
      </c>
      <c r="AN28" s="62">
        <f ca="1">AVERAGE(OFFSET($AM$3,0,0,'Données projet'!$E$10+1,1))-AVERAGE(OFFSET($H$3,0,0,'Données projet'!$E$10+1,1))</f>
        <v>408.65944152905672</v>
      </c>
      <c r="AO28" s="62">
        <f t="shared" si="36"/>
        <v>248.55239719988651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11.13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260</v>
      </c>
      <c r="BB28" s="13">
        <f>VLOOKUP(A28,'Données projet'!$A$87:$I$107,9,0)</f>
        <v>10.4</v>
      </c>
      <c r="BC28" s="13">
        <f t="array" ref="BC28">INDEX(BB:BB,MIN(IF(ISNUMBER(BB28:BB224),ROW(BB28:BB224),"")))</f>
        <v>10.4</v>
      </c>
      <c r="BD28" s="13">
        <f>IF('Données projet'!$A$88&gt;35,BD27+BC28-BL27,IF(A28&lt;'Données projet'!$A$88,$BA$205^A28,IF(A28='Données projet'!$A$88,'Données projet'!$B$88,BD27+BC28-BL27)))</f>
        <v>260</v>
      </c>
      <c r="BE28" s="14">
        <f>BD28*VLOOKUP('Données projet'!$B$11,Paramètres!$A$1:$I$89,3,0)*VLOOKUP('Données projet'!$B$11,Paramètres!$A$1:$I$89,5,0)</f>
        <v>251.47199999999998</v>
      </c>
      <c r="BF28" s="14">
        <f t="shared" si="37"/>
        <v>60.901039718208651</v>
      </c>
      <c r="BG28" s="22">
        <f t="shared" si="7"/>
        <v>544.04971084254669</v>
      </c>
      <c r="BH28" s="62">
        <f t="shared" si="8"/>
        <v>831.27193306476897</v>
      </c>
      <c r="BI28" s="62">
        <f ca="1">AVERAGE(OFFSET($BH$3,0,0,'Données projet'!$E$11+1,1))-AVERAGE(OFFSET($H$3,0,0,'Données projet'!$E$11+1,1))</f>
        <v>643.38601112255424</v>
      </c>
      <c r="BJ28" s="62">
        <f t="shared" si="38"/>
        <v>572.76381622085694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26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326</v>
      </c>
      <c r="BW28" s="13">
        <f>VLOOKUP(A28,'Données projet'!$A$113:$I$133,9,0)</f>
        <v>13.04</v>
      </c>
      <c r="BX28" s="13">
        <f t="array" ref="BX28">INDEX(BW:BW,MIN(IF(ISNUMBER(BW28:BW224),ROW(BW28:BW224),"")))</f>
        <v>13.04</v>
      </c>
      <c r="BY28" s="13">
        <f>IF('Données projet'!$A$114&gt;35,BY27+BX28-CG27,IF(A28&lt;'Données projet'!$A$114,$BV$205^A28,IF(A28='Données projet'!$A$114,'Données projet'!$B$114,BY27+BX28-CG27)))</f>
        <v>326</v>
      </c>
      <c r="BZ28" s="14">
        <f>BY28*VLOOKUP('Données projet'!$B$12,Paramètres!$A$1:$I$89,3,0)*VLOOKUP('Données projet'!$B$12,Paramètres!$A$1:$I$89,5,0)</f>
        <v>218.6808</v>
      </c>
      <c r="CA28" s="14">
        <f t="shared" si="39"/>
        <v>53.828063832009079</v>
      </c>
      <c r="CB28" s="22">
        <f t="shared" si="10"/>
        <v>474.61960450741572</v>
      </c>
      <c r="CC28" s="62">
        <f t="shared" si="11"/>
        <v>761.84182672963789</v>
      </c>
      <c r="CD28" s="62">
        <f ca="1">AVERAGE(OFFSET($CC$3,0,0,'Données projet'!$E$12+1,1))-AVERAGE(OFFSET($H$3,0,0,'Données projet'!$E$12+1,1))</f>
        <v>323.41415875740768</v>
      </c>
      <c r="CE28" s="62">
        <f t="shared" si="40"/>
        <v>496.54020068152101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32.6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260</v>
      </c>
      <c r="CR28" s="13">
        <f>VLOOKUP(A28,'Données projet'!$A$139:$I$159,9,0)</f>
        <v>10.4</v>
      </c>
      <c r="CS28" s="13">
        <f t="array" ref="CS28">INDEX(CR:CR,MIN(IF(ISNUMBER(CR28:CR224),ROW(CR28:CR224),"")))</f>
        <v>10.4</v>
      </c>
      <c r="CT28" s="13">
        <f>IF('Données projet'!$A$140&gt;35,CT27+CS28-DB27,IF(A28&lt;'Données projet'!$A$140,$CQ$205^A28,IF(A28='Données projet'!$A$140,'Données projet'!$B$140,CT27+CS28-DB27)))</f>
        <v>260</v>
      </c>
      <c r="CU28" s="18">
        <f>CT28*VLOOKUP('Données projet'!$B$13,Paramètres!$A$1:$I$89,3,0)*VLOOKUP('Données projet'!$B$13,Paramètres!$A$1:$I$89,5,0)</f>
        <v>279.86399999999998</v>
      </c>
      <c r="CV28" s="14">
        <f t="shared" si="41"/>
        <v>66.938267358965064</v>
      </c>
      <c r="CW28" s="22">
        <f t="shared" si="13"/>
        <v>604.01394898353067</v>
      </c>
      <c r="CX28" s="62">
        <f t="shared" si="14"/>
        <v>891.23617120575295</v>
      </c>
      <c r="CY28" s="62">
        <f ca="1">AVERAGE(OFFSET($CX$3,0,0,'Données projet'!$E$13+1,1))-AVERAGE(OFFSET($H$3,0,0,'Données projet'!$E$13+1,1))</f>
        <v>720.47588458554264</v>
      </c>
      <c r="CZ28" s="62">
        <f t="shared" si="42"/>
        <v>638.59686934821627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26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16.199999999999996</v>
      </c>
      <c r="N29" s="14">
        <f>IF('Données projet'!$A$36&gt;35,N28+M29-V28,IF(A29&lt;'Données projet'!$A$36,$K$205^A29,IF(A29='Données projet'!$A$36,'Données projet'!$B$36,N28+M29-V28)))</f>
        <v>123.66</v>
      </c>
      <c r="O29" s="14">
        <f>N29*VLOOKUP('Données projet'!$B$9,Paramètres!$A$1:$I$89,3,0)*VLOOKUP('Données projet'!$B$9,Paramètres!$A$1:$I$89,5,0)</f>
        <v>57.872879999999995</v>
      </c>
      <c r="P29" s="14">
        <f t="shared" si="33"/>
        <v>16.629341766113662</v>
      </c>
      <c r="Q29" s="22">
        <f t="shared" si="2"/>
        <v>129.75803624264793</v>
      </c>
      <c r="R29" s="62">
        <f t="shared" si="0"/>
        <v>418.20248068709236</v>
      </c>
      <c r="S29" s="62">
        <f ca="1">AVERAGE(OFFSET($R$3,0,0,'Données projet'!$E$9+1,1))-AVERAGE(OFFSET($H$3,0,0,'Données projet'!$E$9+1,1))</f>
        <v>309.95417097673084</v>
      </c>
      <c r="T29" s="62">
        <f t="shared" si="34"/>
        <v>170.83243426024433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0.98747628952953193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0.98747628952953193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4.4519999999999982</v>
      </c>
      <c r="AI29" s="14">
        <f>IF('Données projet'!$A$62&gt;35,AI28+AH29-AQ28,IF(A29&lt;'Données projet'!$A$62,$AF$205^A29,IF(A29='Données projet'!$A$62,'Données projet'!$B$62,AI28+AH29-AQ28)))</f>
        <v>104.572</v>
      </c>
      <c r="AJ29" s="14">
        <f>AI29*VLOOKUP('Données projet'!$B$10,Paramètres!$A$1:$I$89,3,0)*VLOOKUP('Données projet'!$B$10,Paramètres!$A$1:$I$89,5,0)</f>
        <v>106.03600800000001</v>
      </c>
      <c r="AK29" s="14">
        <f t="shared" si="35"/>
        <v>28.395051579875936</v>
      </c>
      <c r="AL29" s="22">
        <f t="shared" si="4"/>
        <v>234.13409543495061</v>
      </c>
      <c r="AM29" s="62">
        <f t="shared" si="5"/>
        <v>522.57853987939507</v>
      </c>
      <c r="AN29" s="62">
        <f ca="1">AVERAGE(OFFSET($AM$3,0,0,'Données projet'!$E$10+1,1))-AVERAGE(OFFSET($H$3,0,0,'Données projet'!$E$10+1,1))</f>
        <v>408.65944152905672</v>
      </c>
      <c r="AO29" s="62">
        <f t="shared" si="36"/>
        <v>248.55239719988651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10.4</v>
      </c>
      <c r="BD29" s="13">
        <f>IF('Données projet'!$A$88&gt;35,BD28+BC29-BL28,IF(A29&lt;'Données projet'!$A$88,$BA$205^A29,IF(A29='Données projet'!$A$88,'Données projet'!$B$88,BD28+BC29-BL28)))</f>
        <v>244.39999999999998</v>
      </c>
      <c r="BE29" s="14">
        <f>BD29*VLOOKUP('Données projet'!$B$11,Paramètres!$A$1:$I$89,3,0)*VLOOKUP('Données projet'!$B$11,Paramètres!$A$1:$I$89,5,0)</f>
        <v>236.38368</v>
      </c>
      <c r="BF29" s="14">
        <f t="shared" si="37"/>
        <v>57.660775427453963</v>
      </c>
      <c r="BG29" s="22">
        <f t="shared" si="7"/>
        <v>512.12742653614896</v>
      </c>
      <c r="BH29" s="62">
        <f t="shared" si="8"/>
        <v>800.57187098059342</v>
      </c>
      <c r="BI29" s="62">
        <f ca="1">AVERAGE(OFFSET($BH$3,0,0,'Données projet'!$E$11+1,1))-AVERAGE(OFFSET($H$3,0,0,'Données projet'!$E$11+1,1))</f>
        <v>643.38601112255424</v>
      </c>
      <c r="BJ29" s="62">
        <f t="shared" si="38"/>
        <v>572.76381622085694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13.04000000000001</v>
      </c>
      <c r="BY29" s="13">
        <f>IF('Données projet'!$A$114&gt;35,BY28+BX29-CG28,IF(A29&lt;'Données projet'!$A$114,$BV$205^A29,IF(A29='Données projet'!$A$114,'Données projet'!$B$114,BY28+BX29-CG28)))</f>
        <v>306.44</v>
      </c>
      <c r="BZ29" s="14">
        <f>BY29*VLOOKUP('Données projet'!$B$12,Paramètres!$A$1:$I$89,3,0)*VLOOKUP('Données projet'!$B$12,Paramètres!$A$1:$I$89,5,0)</f>
        <v>205.55995199999998</v>
      </c>
      <c r="CA29" s="14">
        <f t="shared" si="39"/>
        <v>50.964120065492814</v>
      </c>
      <c r="CB29" s="22">
        <f t="shared" si="10"/>
        <v>446.77942551406665</v>
      </c>
      <c r="CC29" s="62">
        <f t="shared" si="11"/>
        <v>735.22386995851116</v>
      </c>
      <c r="CD29" s="62">
        <f ca="1">AVERAGE(OFFSET($CC$3,0,0,'Données projet'!$E$12+1,1))-AVERAGE(OFFSET($H$3,0,0,'Données projet'!$E$12+1,1))</f>
        <v>323.41415875740768</v>
      </c>
      <c r="CE29" s="62">
        <f t="shared" si="40"/>
        <v>496.54020068152101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10.4</v>
      </c>
      <c r="CT29" s="13">
        <f>IF('Données projet'!$A$140&gt;35,CT28+CS29-DB28,IF(A29&lt;'Données projet'!$A$140,$CQ$205^A29,IF(A29='Données projet'!$A$140,'Données projet'!$B$140,CT28+CS29-DB28)))</f>
        <v>244.39999999999998</v>
      </c>
      <c r="CU29" s="18">
        <f>CT29*VLOOKUP('Données projet'!$B$13,Paramètres!$A$1:$I$89,3,0)*VLOOKUP('Données projet'!$B$13,Paramètres!$A$1:$I$89,5,0)</f>
        <v>263.07215999999994</v>
      </c>
      <c r="CV29" s="14">
        <f t="shared" si="41"/>
        <v>63.376789945577023</v>
      </c>
      <c r="CW29" s="22">
        <f t="shared" si="13"/>
        <v>568.56525448854643</v>
      </c>
      <c r="CX29" s="62">
        <f t="shared" si="14"/>
        <v>857.00969893299089</v>
      </c>
      <c r="CY29" s="62">
        <f ca="1">AVERAGE(OFFSET($CX$3,0,0,'Données projet'!$E$13+1,1))-AVERAGE(OFFSET($H$3,0,0,'Données projet'!$E$13+1,1))</f>
        <v>720.47588458554264</v>
      </c>
      <c r="CZ29" s="62">
        <f t="shared" si="42"/>
        <v>638.59686934821627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16.199999999999996</v>
      </c>
      <c r="N30" s="14">
        <f>IF('Données projet'!$A$36&gt;35,N29+M30-V29,IF(A30&lt;'Données projet'!$A$36,$K$205^A30,IF(A30='Données projet'!$A$36,'Données projet'!$B$36,N29+M30-V29)))</f>
        <v>139.85999999999999</v>
      </c>
      <c r="O30" s="14">
        <f>N30*VLOOKUP('Données projet'!$B$9,Paramètres!$A$1:$I$89,3,0)*VLOOKUP('Données projet'!$B$9,Paramètres!$A$1:$I$89,5,0)</f>
        <v>65.45447999999999</v>
      </c>
      <c r="P30" s="14">
        <f t="shared" si="33"/>
        <v>18.540271875322063</v>
      </c>
      <c r="Q30" s="22">
        <f t="shared" si="2"/>
        <v>146.29085951618592</v>
      </c>
      <c r="R30" s="62">
        <f t="shared" si="0"/>
        <v>435.95752618285258</v>
      </c>
      <c r="S30" s="62">
        <f ca="1">AVERAGE(OFFSET($R$3,0,0,'Données projet'!$E$9+1,1))-AVERAGE(OFFSET($H$3,0,0,'Données projet'!$E$9+1,1))</f>
        <v>309.95417097673084</v>
      </c>
      <c r="T30" s="62">
        <f t="shared" si="34"/>
        <v>170.83243426024433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0.96047369846322572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0.96047369846322572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4.4519999999999982</v>
      </c>
      <c r="AI30" s="14">
        <f>IF('Données projet'!$A$62&gt;35,AI29+AH30-AQ29,IF(A30&lt;'Données projet'!$A$62,$AF$205^A30,IF(A30='Données projet'!$A$62,'Données projet'!$B$62,AI29+AH30-AQ29)))</f>
        <v>109.024</v>
      </c>
      <c r="AJ30" s="14">
        <f>AI30*VLOOKUP('Données projet'!$B$10,Paramètres!$A$1:$I$89,3,0)*VLOOKUP('Données projet'!$B$10,Paramètres!$A$1:$I$89,5,0)</f>
        <v>110.550336</v>
      </c>
      <c r="AK30" s="14">
        <f t="shared" si="35"/>
        <v>29.460610341612416</v>
      </c>
      <c r="AL30" s="22">
        <f t="shared" si="4"/>
        <v>243.85239821164166</v>
      </c>
      <c r="AM30" s="62">
        <f t="shared" si="5"/>
        <v>533.51906487830831</v>
      </c>
      <c r="AN30" s="62">
        <f ca="1">AVERAGE(OFFSET($AM$3,0,0,'Données projet'!$E$10+1,1))-AVERAGE(OFFSET($H$3,0,0,'Données projet'!$E$10+1,1))</f>
        <v>408.65944152905672</v>
      </c>
      <c r="AO30" s="62">
        <f t="shared" si="36"/>
        <v>248.55239719988651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10.4</v>
      </c>
      <c r="BD30" s="13">
        <f>IF('Données projet'!$A$88&gt;35,BD29+BC30-BL29,IF(A30&lt;'Données projet'!$A$88,$BA$205^A30,IF(A30='Données projet'!$A$88,'Données projet'!$B$88,BD29+BC30-BL29)))</f>
        <v>254.79999999999998</v>
      </c>
      <c r="BE30" s="14">
        <f>BD30*VLOOKUP('Données projet'!$B$11,Paramètres!$A$1:$I$89,3,0)*VLOOKUP('Données projet'!$B$11,Paramètres!$A$1:$I$89,5,0)</f>
        <v>246.44256000000001</v>
      </c>
      <c r="BF30" s="14">
        <f t="shared" si="37"/>
        <v>59.823534373564023</v>
      </c>
      <c r="BG30" s="22">
        <f t="shared" si="7"/>
        <v>533.41344770062403</v>
      </c>
      <c r="BH30" s="62">
        <f t="shared" si="8"/>
        <v>823.08011436729066</v>
      </c>
      <c r="BI30" s="62">
        <f ca="1">AVERAGE(OFFSET($BH$3,0,0,'Données projet'!$E$11+1,1))-AVERAGE(OFFSET($H$3,0,0,'Données projet'!$E$11+1,1))</f>
        <v>643.38601112255424</v>
      </c>
      <c r="BJ30" s="62">
        <f t="shared" si="38"/>
        <v>572.76381622085694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13.04000000000001</v>
      </c>
      <c r="BY30" s="13">
        <f>IF('Données projet'!$A$114&gt;35,BY29+BX30-CG29,IF(A30&lt;'Données projet'!$A$114,$BV$205^A30,IF(A30='Données projet'!$A$114,'Données projet'!$B$114,BY29+BX30-CG29)))</f>
        <v>319.48</v>
      </c>
      <c r="BZ30" s="14">
        <f>BY30*VLOOKUP('Données projet'!$B$12,Paramètres!$A$1:$I$89,3,0)*VLOOKUP('Données projet'!$B$12,Paramètres!$A$1:$I$89,5,0)</f>
        <v>214.30718400000003</v>
      </c>
      <c r="CA30" s="14">
        <f t="shared" si="39"/>
        <v>52.875698704266966</v>
      </c>
      <c r="CB30" s="22">
        <f t="shared" si="10"/>
        <v>465.34352070993168</v>
      </c>
      <c r="CC30" s="62">
        <f t="shared" si="11"/>
        <v>755.01018737659842</v>
      </c>
      <c r="CD30" s="62">
        <f ca="1">AVERAGE(OFFSET($CC$3,0,0,'Données projet'!$E$12+1,1))-AVERAGE(OFFSET($H$3,0,0,'Données projet'!$E$12+1,1))</f>
        <v>323.41415875740768</v>
      </c>
      <c r="CE30" s="62">
        <f t="shared" si="40"/>
        <v>496.54020068152101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10.4</v>
      </c>
      <c r="CT30" s="13">
        <f>IF('Données projet'!$A$140&gt;35,CT29+CS30-DB29,IF(A30&lt;'Données projet'!$A$140,$CQ$205^A30,IF(A30='Données projet'!$A$140,'Données projet'!$B$140,CT29+CS30-DB29)))</f>
        <v>254.79999999999998</v>
      </c>
      <c r="CU30" s="18">
        <f>CT30*VLOOKUP('Données projet'!$B$13,Paramètres!$A$1:$I$89,3,0)*VLOOKUP('Données projet'!$B$13,Paramètres!$A$1:$I$89,5,0)</f>
        <v>274.26671999999996</v>
      </c>
      <c r="CV30" s="14">
        <f t="shared" si="41"/>
        <v>65.753947006237638</v>
      </c>
      <c r="CW30" s="22">
        <f t="shared" si="13"/>
        <v>592.20266170253046</v>
      </c>
      <c r="CX30" s="62">
        <f t="shared" si="14"/>
        <v>881.86932836919709</v>
      </c>
      <c r="CY30" s="62">
        <f ca="1">AVERAGE(OFFSET($CX$3,0,0,'Données projet'!$E$13+1,1))-AVERAGE(OFFSET($H$3,0,0,'Données projet'!$E$13+1,1))</f>
        <v>720.47588458554264</v>
      </c>
      <c r="CZ30" s="62">
        <f t="shared" si="42"/>
        <v>638.59686934821627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16.199999999999996</v>
      </c>
      <c r="N31" s="14">
        <f>IF('Données projet'!$A$36&gt;35,N30+M31-V30,IF(A31&lt;'Données projet'!$A$36,$K$205^A31,IF(A31='Données projet'!$A$36,'Données projet'!$B$36,N30+M31-V30)))</f>
        <v>156.05999999999997</v>
      </c>
      <c r="O31" s="14">
        <f>N31*VLOOKUP('Données projet'!$B$9,Paramètres!$A$1:$I$89,3,0)*VLOOKUP('Données projet'!$B$9,Paramètres!$A$1:$I$89,5,0)</f>
        <v>73.036079999999984</v>
      </c>
      <c r="P31" s="14">
        <f t="shared" si="33"/>
        <v>20.425550049376284</v>
      </c>
      <c r="Q31" s="22">
        <f t="shared" si="2"/>
        <v>162.77900566933033</v>
      </c>
      <c r="R31" s="62">
        <f t="shared" si="0"/>
        <v>453.66789455821919</v>
      </c>
      <c r="S31" s="62">
        <f ca="1">AVERAGE(OFFSET($R$3,0,0,'Données projet'!$E$9+1,1))-AVERAGE(OFFSET($H$3,0,0,'Données projet'!$E$9+1,1))</f>
        <v>309.95417097673084</v>
      </c>
      <c r="T31" s="62">
        <f t="shared" si="34"/>
        <v>170.83243426024433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0.93420949466963221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0.93420949466963221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4.4519999999999982</v>
      </c>
      <c r="AI31" s="14">
        <f>IF('Données projet'!$A$62&gt;35,AI30+AH31-AQ30,IF(A31&lt;'Données projet'!$A$62,$AF$205^A31,IF(A31='Données projet'!$A$62,'Données projet'!$B$62,AI30+AH31-AQ30)))</f>
        <v>113.476</v>
      </c>
      <c r="AJ31" s="14">
        <f>AI31*VLOOKUP('Données projet'!$B$10,Paramètres!$A$1:$I$89,3,0)*VLOOKUP('Données projet'!$B$10,Paramètres!$A$1:$I$89,5,0)</f>
        <v>115.06466400000001</v>
      </c>
      <c r="AK31" s="14">
        <f t="shared" si="35"/>
        <v>30.521114824686769</v>
      </c>
      <c r="AL31" s="22">
        <f t="shared" si="4"/>
        <v>253.5618981196628</v>
      </c>
      <c r="AM31" s="62">
        <f t="shared" si="5"/>
        <v>544.45078700855163</v>
      </c>
      <c r="AN31" s="62">
        <f ca="1">AVERAGE(OFFSET($AM$3,0,0,'Données projet'!$E$10+1,1))-AVERAGE(OFFSET($H$3,0,0,'Données projet'!$E$10+1,1))</f>
        <v>408.65944152905672</v>
      </c>
      <c r="AO31" s="62">
        <f t="shared" si="36"/>
        <v>248.55239719988651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10.4</v>
      </c>
      <c r="BD31" s="13">
        <f>IF('Données projet'!$A$88&gt;35,BD30+BC31-BL30,IF(A31&lt;'Données projet'!$A$88,$BA$205^A31,IF(A31='Données projet'!$A$88,'Données projet'!$B$88,BD30+BC31-BL30)))</f>
        <v>265.2</v>
      </c>
      <c r="BE31" s="14">
        <f>BD31*VLOOKUP('Données projet'!$B$11,Paramètres!$A$1:$I$89,3,0)*VLOOKUP('Données projet'!$B$11,Paramètres!$A$1:$I$89,5,0)</f>
        <v>256.50144</v>
      </c>
      <c r="BF31" s="14">
        <f t="shared" si="37"/>
        <v>61.976039371382214</v>
      </c>
      <c r="BG31" s="22">
        <f t="shared" si="7"/>
        <v>554.68160990515742</v>
      </c>
      <c r="BH31" s="62">
        <f t="shared" si="8"/>
        <v>845.57049879404622</v>
      </c>
      <c r="BI31" s="62">
        <f ca="1">AVERAGE(OFFSET($BH$3,0,0,'Données projet'!$E$11+1,1))-AVERAGE(OFFSET($H$3,0,0,'Données projet'!$E$11+1,1))</f>
        <v>643.38601112255424</v>
      </c>
      <c r="BJ31" s="62">
        <f t="shared" si="38"/>
        <v>572.76381622085694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13.04000000000001</v>
      </c>
      <c r="BY31" s="13">
        <f>IF('Données projet'!$A$114&gt;35,BY30+BX31-CG30,IF(A31&lt;'Données projet'!$A$114,$BV$205^A31,IF(A31='Données projet'!$A$114,'Données projet'!$B$114,BY30+BX31-CG30)))</f>
        <v>332.52000000000004</v>
      </c>
      <c r="BZ31" s="14">
        <f>BY31*VLOOKUP('Données projet'!$B$12,Paramètres!$A$1:$I$89,3,0)*VLOOKUP('Données projet'!$B$12,Paramètres!$A$1:$I$89,5,0)</f>
        <v>223.05441600000003</v>
      </c>
      <c r="CA31" s="14">
        <f t="shared" si="39"/>
        <v>54.778214276371905</v>
      </c>
      <c r="CB31" s="22">
        <f t="shared" si="10"/>
        <v>483.89183106468118</v>
      </c>
      <c r="CC31" s="62">
        <f t="shared" si="11"/>
        <v>774.78071995357004</v>
      </c>
      <c r="CD31" s="62">
        <f ca="1">AVERAGE(OFFSET($CC$3,0,0,'Données projet'!$E$12+1,1))-AVERAGE(OFFSET($H$3,0,0,'Données projet'!$E$12+1,1))</f>
        <v>323.41415875740768</v>
      </c>
      <c r="CE31" s="62">
        <f t="shared" si="40"/>
        <v>496.54020068152101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10.4</v>
      </c>
      <c r="CT31" s="13">
        <f>IF('Données projet'!$A$140&gt;35,CT30+CS31-DB30,IF(A31&lt;'Données projet'!$A$140,$CQ$205^A31,IF(A31='Données projet'!$A$140,'Données projet'!$B$140,CT30+CS31-DB30)))</f>
        <v>265.2</v>
      </c>
      <c r="CU31" s="18">
        <f>CT31*VLOOKUP('Données projet'!$B$13,Paramètres!$A$1:$I$89,3,0)*VLOOKUP('Données projet'!$B$13,Paramètres!$A$1:$I$89,5,0)</f>
        <v>285.46127999999999</v>
      </c>
      <c r="CV31" s="14">
        <f t="shared" si="41"/>
        <v>68.119833626599871</v>
      </c>
      <c r="CW31" s="22">
        <f t="shared" si="13"/>
        <v>615.8204395663281</v>
      </c>
      <c r="CX31" s="62">
        <f t="shared" si="14"/>
        <v>906.70932845521702</v>
      </c>
      <c r="CY31" s="62">
        <f ca="1">AVERAGE(OFFSET($CX$3,0,0,'Données projet'!$E$13+1,1))-AVERAGE(OFFSET($H$3,0,0,'Données projet'!$E$13+1,1))</f>
        <v>720.47588458554264</v>
      </c>
      <c r="CZ31" s="62">
        <f t="shared" si="42"/>
        <v>638.59686934821627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172.26</v>
      </c>
      <c r="L32" s="13">
        <f>VLOOKUP(A32,'Données projet'!$A$35:$I$55,9,0)</f>
        <v>16.199999999999996</v>
      </c>
      <c r="M32" s="13">
        <f t="array" ref="M32">INDEX(L:L,MIN(IF(ISNUMBER(L32:L228),ROW(L32:L228),"")))</f>
        <v>16.199999999999996</v>
      </c>
      <c r="N32" s="14">
        <f>IF('Données projet'!$A$36&gt;35,N31+M32-V31,IF(A32&lt;'Données projet'!$A$36,$K$205^A32,IF(A32='Données projet'!$A$36,'Données projet'!$B$36,N31+M32-V31)))</f>
        <v>172.25999999999996</v>
      </c>
      <c r="O32" s="14">
        <f>N32*VLOOKUP('Données projet'!$B$9,Paramètres!$A$1:$I$89,3,0)*VLOOKUP('Données projet'!$B$9,Paramètres!$A$1:$I$89,5,0)</f>
        <v>80.617679999999979</v>
      </c>
      <c r="P32" s="14">
        <f t="shared" si="33"/>
        <v>22.288142428633172</v>
      </c>
      <c r="Q32" s="22">
        <f t="shared" si="2"/>
        <v>179.22764072986936</v>
      </c>
      <c r="R32" s="62">
        <f t="shared" si="0"/>
        <v>471.33875184098054</v>
      </c>
      <c r="S32" s="62">
        <f ca="1">AVERAGE(OFFSET($R$3,0,0,'Données projet'!$E$9+1,1))-AVERAGE(OFFSET($H$3,0,0,'Données projet'!$E$9+1,1))</f>
        <v>309.95417097673084</v>
      </c>
      <c r="T32" s="62">
        <f t="shared" si="34"/>
        <v>170.83243426024433</v>
      </c>
      <c r="U32" s="16">
        <f>IF(ISNA(VLOOKUP(A32,'Données projet'!$A$35:$I$55,3,0)),0,VLOOKUP(A32,'Données projet'!$A$35:$I$55,3,0))</f>
        <v>2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0.20900000000000002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0.90866348690994891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0.90866348690994891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4.4519999999999982</v>
      </c>
      <c r="AI32" s="14">
        <f>IF('Données projet'!$A$62&gt;35,AI31+AH32-AQ31,IF(A32&lt;'Données projet'!$A$62,$AF$205^A32,IF(A32='Données projet'!$A$62,'Données projet'!$B$62,AI31+AH32-AQ31)))</f>
        <v>117.928</v>
      </c>
      <c r="AJ32" s="14">
        <f>AI32*VLOOKUP('Données projet'!$B$10,Paramètres!$A$1:$I$89,3,0)*VLOOKUP('Données projet'!$B$10,Paramètres!$A$1:$I$89,5,0)</f>
        <v>119.578992</v>
      </c>
      <c r="AK32" s="14">
        <f t="shared" si="35"/>
        <v>31.576786015673516</v>
      </c>
      <c r="AL32" s="22">
        <f t="shared" si="4"/>
        <v>263.26298004396466</v>
      </c>
      <c r="AM32" s="62">
        <f t="shared" si="5"/>
        <v>555.3740911550758</v>
      </c>
      <c r="AN32" s="62">
        <f ca="1">AVERAGE(OFFSET($AM$3,0,0,'Données projet'!$E$10+1,1))-AVERAGE(OFFSET($H$3,0,0,'Données projet'!$E$10+1,1))</f>
        <v>408.65944152905672</v>
      </c>
      <c r="AO32" s="62">
        <f t="shared" si="36"/>
        <v>248.55239719988651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10.4</v>
      </c>
      <c r="BD32" s="13">
        <f>IF('Données projet'!$A$88&gt;35,BD31+BC32-BL31,IF(A32&lt;'Données projet'!$A$88,$BA$205^A32,IF(A32='Données projet'!$A$88,'Données projet'!$B$88,BD31+BC32-BL31)))</f>
        <v>275.59999999999997</v>
      </c>
      <c r="BE32" s="14">
        <f>BD32*VLOOKUP('Données projet'!$B$11,Paramètres!$A$1:$I$89,3,0)*VLOOKUP('Données projet'!$B$11,Paramètres!$A$1:$I$89,5,0)</f>
        <v>266.56031999999999</v>
      </c>
      <c r="BF32" s="14">
        <f t="shared" si="37"/>
        <v>64.11873855372427</v>
      </c>
      <c r="BG32" s="22">
        <f t="shared" si="7"/>
        <v>575.9326936477363</v>
      </c>
      <c r="BH32" s="62">
        <f t="shared" si="8"/>
        <v>868.0438047588475</v>
      </c>
      <c r="BI32" s="62">
        <f ca="1">AVERAGE(OFFSET($BH$3,0,0,'Données projet'!$E$11+1,1))-AVERAGE(OFFSET($H$3,0,0,'Données projet'!$E$11+1,1))</f>
        <v>643.38601112255424</v>
      </c>
      <c r="BJ32" s="62">
        <f t="shared" si="38"/>
        <v>572.76381622085694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13.04000000000001</v>
      </c>
      <c r="BY32" s="13">
        <f>IF('Données projet'!$A$114&gt;35,BY31+BX32-CG31,IF(A32&lt;'Données projet'!$A$114,$BV$205^A32,IF(A32='Données projet'!$A$114,'Données projet'!$B$114,BY31+BX32-CG31)))</f>
        <v>345.56000000000006</v>
      </c>
      <c r="BZ32" s="14">
        <f>BY32*VLOOKUP('Données projet'!$B$12,Paramètres!$A$1:$I$89,3,0)*VLOOKUP('Données projet'!$B$12,Paramètres!$A$1:$I$89,5,0)</f>
        <v>231.80164800000006</v>
      </c>
      <c r="CA32" s="14">
        <f t="shared" si="39"/>
        <v>56.672062868999753</v>
      </c>
      <c r="CB32" s="22">
        <f t="shared" si="10"/>
        <v>502.42504643017469</v>
      </c>
      <c r="CC32" s="62">
        <f t="shared" si="11"/>
        <v>794.53615754128577</v>
      </c>
      <c r="CD32" s="62">
        <f ca="1">AVERAGE(OFFSET($CC$3,0,0,'Données projet'!$E$12+1,1))-AVERAGE(OFFSET($H$3,0,0,'Données projet'!$E$12+1,1))</f>
        <v>323.41415875740768</v>
      </c>
      <c r="CE32" s="62">
        <f t="shared" si="40"/>
        <v>496.54020068152101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10.4</v>
      </c>
      <c r="CT32" s="13">
        <f>IF('Données projet'!$A$140&gt;35,CT31+CS32-DB31,IF(A32&lt;'Données projet'!$A$140,$CQ$205^A32,IF(A32='Données projet'!$A$140,'Données projet'!$B$140,CT31+CS32-DB31)))</f>
        <v>275.59999999999997</v>
      </c>
      <c r="CU32" s="18">
        <f>CT32*VLOOKUP('Données projet'!$B$13,Paramètres!$A$1:$I$89,3,0)*VLOOKUP('Données projet'!$B$13,Paramètres!$A$1:$I$89,5,0)</f>
        <v>296.65583999999996</v>
      </c>
      <c r="CV32" s="14">
        <f t="shared" si="41"/>
        <v>70.474942363677229</v>
      </c>
      <c r="CW32" s="22">
        <f t="shared" si="13"/>
        <v>639.41944595007112</v>
      </c>
      <c r="CX32" s="62">
        <f t="shared" si="14"/>
        <v>931.53055706118221</v>
      </c>
      <c r="CY32" s="62">
        <f ca="1">AVERAGE(OFFSET($CX$3,0,0,'Données projet'!$E$13+1,1))-AVERAGE(OFFSET($H$3,0,0,'Données projet'!$E$13+1,1))</f>
        <v>720.47588458554264</v>
      </c>
      <c r="CZ32" s="62">
        <f t="shared" si="42"/>
        <v>638.59686934821627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188.06</v>
      </c>
      <c r="L33" s="13">
        <f>VLOOKUP(A33,'Données projet'!$A$35:$I$55,9,0)</f>
        <v>15.800000000000011</v>
      </c>
      <c r="M33" s="13">
        <f t="array" ref="M33">INDEX(L:L,MIN(IF(ISNUMBER(L33:L229),ROW(L33:L229),"")))</f>
        <v>15.800000000000011</v>
      </c>
      <c r="N33" s="14">
        <f>IF('Données projet'!$A$36&gt;35,N32+M33-V32,IF(A33&lt;'Données projet'!$A$36,$K$205^A33,IF(A33='Données projet'!$A$36,'Données projet'!$B$36,N32+M33-V32)))</f>
        <v>188.05999999999997</v>
      </c>
      <c r="O33" s="14">
        <f>N33*VLOOKUP('Données projet'!$B$9,Paramètres!$A$1:$I$89,3,0)*VLOOKUP('Données projet'!$B$9,Paramètres!$A$1:$I$89,5,0)</f>
        <v>88.012079999999983</v>
      </c>
      <c r="P33" s="14">
        <f t="shared" si="33"/>
        <v>24.085165104400527</v>
      </c>
      <c r="Q33" s="22">
        <f t="shared" si="2"/>
        <v>195.23603522349757</v>
      </c>
      <c r="R33" s="62">
        <f t="shared" si="0"/>
        <v>488.56936855683091</v>
      </c>
      <c r="S33" s="62">
        <f ca="1">AVERAGE(OFFSET($R$3,0,0,'Données projet'!$E$9+1,1))-AVERAGE(OFFSET($H$3,0,0,'Données projet'!$E$9+1,1))</f>
        <v>309.95417097673084</v>
      </c>
      <c r="T33" s="62">
        <f t="shared" si="34"/>
        <v>170.83243426024433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0.22000000000000003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0.88381603607586035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0.88381603607586035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122.38</v>
      </c>
      <c r="AG33" s="13">
        <f>VLOOKUP(A33,'Données projet'!$A$61:$I$81,9,0)</f>
        <v>4.4519999999999982</v>
      </c>
      <c r="AH33" s="13">
        <f t="array" ref="AH33">INDEX(AG:AG,MIN(IF(ISNUMBER(AG33:AG229),ROW(AG33:AG229),"")))</f>
        <v>4.4519999999999982</v>
      </c>
      <c r="AI33" s="14">
        <f>IF('Données projet'!$A$62&gt;35,AI32+AH33-AQ32,IF(A33&lt;'Données projet'!$A$62,$AF$205^A33,IF(A33='Données projet'!$A$62,'Données projet'!$B$62,AI32+AH33-AQ32)))</f>
        <v>122.38</v>
      </c>
      <c r="AJ33" s="14">
        <f>AI33*VLOOKUP('Données projet'!$B$10,Paramètres!$A$1:$I$89,3,0)*VLOOKUP('Données projet'!$B$10,Paramètres!$A$1:$I$89,5,0)</f>
        <v>124.09332000000001</v>
      </c>
      <c r="AK33" s="14">
        <f t="shared" si="35"/>
        <v>32.627827270702284</v>
      </c>
      <c r="AL33" s="22">
        <f t="shared" si="4"/>
        <v>272.95599816313978</v>
      </c>
      <c r="AM33" s="62">
        <f t="shared" si="5"/>
        <v>566.2893314964731</v>
      </c>
      <c r="AN33" s="62">
        <f ca="1">AVERAGE(OFFSET($AM$3,0,0,'Données projet'!$E$10+1,1))-AVERAGE(OFFSET($H$3,0,0,'Données projet'!$E$10+1,1))</f>
        <v>408.65944152905672</v>
      </c>
      <c r="AO33" s="62">
        <f t="shared" si="36"/>
        <v>248.55239719988651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286</v>
      </c>
      <c r="BB33" s="13">
        <f>VLOOKUP(A33,'Données projet'!$A$87:$I$107,9,0)</f>
        <v>10.4</v>
      </c>
      <c r="BC33" s="13">
        <f t="array" ref="BC33">INDEX(BB:BB,MIN(IF(ISNUMBER(BB33:BB229),ROW(BB33:BB229),"")))</f>
        <v>10.4</v>
      </c>
      <c r="BD33" s="13">
        <f>IF('Données projet'!$A$88&gt;35,BD32+BC33-BL32,IF(A33&lt;'Données projet'!$A$88,$BA$205^A33,IF(A33='Données projet'!$A$88,'Données projet'!$B$88,BD32+BC33-BL32)))</f>
        <v>285.99999999999994</v>
      </c>
      <c r="BE33" s="14">
        <f>BD33*VLOOKUP('Données projet'!$B$11,Paramètres!$A$1:$I$89,3,0)*VLOOKUP('Données projet'!$B$11,Paramètres!$A$1:$I$89,5,0)</f>
        <v>276.61919999999998</v>
      </c>
      <c r="BF33" s="14">
        <f t="shared" si="37"/>
        <v>66.252044316235512</v>
      </c>
      <c r="BG33" s="22">
        <f t="shared" si="7"/>
        <v>597.16741718411015</v>
      </c>
      <c r="BH33" s="62">
        <f t="shared" si="8"/>
        <v>890.50075051744352</v>
      </c>
      <c r="BI33" s="62">
        <f ca="1">AVERAGE(OFFSET($BH$3,0,0,'Données projet'!$E$11+1,1))-AVERAGE(OFFSET($H$3,0,0,'Données projet'!$E$11+1,1))</f>
        <v>643.38601112255424</v>
      </c>
      <c r="BJ33" s="62">
        <f t="shared" si="38"/>
        <v>572.76381622085694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358.6</v>
      </c>
      <c r="BW33" s="13">
        <f>VLOOKUP(A33,'Données projet'!$A$113:$I$133,9,0)</f>
        <v>13.04000000000001</v>
      </c>
      <c r="BX33" s="13">
        <f t="array" ref="BX33">INDEX(BW:BW,MIN(IF(ISNUMBER(BW33:BW229),ROW(BW33:BW229),"")))</f>
        <v>13.04000000000001</v>
      </c>
      <c r="BY33" s="13">
        <f>IF('Données projet'!$A$114&gt;35,BY32+BX33-CG32,IF(A33&lt;'Données projet'!$A$114,$BV$205^A33,IF(A33='Données projet'!$A$114,'Données projet'!$B$114,BY32+BX33-CG32)))</f>
        <v>358.60000000000008</v>
      </c>
      <c r="BZ33" s="14">
        <f>BY33*VLOOKUP('Données projet'!$B$12,Paramètres!$A$1:$I$89,3,0)*VLOOKUP('Données projet'!$B$12,Paramètres!$A$1:$I$89,5,0)</f>
        <v>240.54888000000005</v>
      </c>
      <c r="CA33" s="14">
        <f t="shared" si="39"/>
        <v>58.557608982645455</v>
      </c>
      <c r="CB33" s="22">
        <f t="shared" si="10"/>
        <v>520.94380164477423</v>
      </c>
      <c r="CC33" s="62">
        <f t="shared" si="11"/>
        <v>814.2771349781076</v>
      </c>
      <c r="CD33" s="62">
        <f ca="1">AVERAGE(OFFSET($CC$3,0,0,'Données projet'!$E$12+1,1))-AVERAGE(OFFSET($H$3,0,0,'Données projet'!$E$12+1,1))</f>
        <v>323.41415875740768</v>
      </c>
      <c r="CE33" s="62">
        <f t="shared" si="40"/>
        <v>496.54020068152101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286</v>
      </c>
      <c r="CR33" s="13">
        <f>VLOOKUP(A33,'Données projet'!$A$139:$I$159,9,0)</f>
        <v>10.4</v>
      </c>
      <c r="CS33" s="13">
        <f t="array" ref="CS33">INDEX(CR:CR,MIN(IF(ISNUMBER(CR33:CR229),ROW(CR33:CR229),"")))</f>
        <v>10.4</v>
      </c>
      <c r="CT33" s="13">
        <f>IF('Données projet'!$A$140&gt;35,CT32+CS33-DB32,IF(A33&lt;'Données projet'!$A$140,$CQ$205^A33,IF(A33='Données projet'!$A$140,'Données projet'!$B$140,CT32+CS33-DB32)))</f>
        <v>285.99999999999994</v>
      </c>
      <c r="CU33" s="18">
        <f>CT33*VLOOKUP('Données projet'!$B$13,Paramètres!$A$1:$I$89,3,0)*VLOOKUP('Données projet'!$B$13,Paramètres!$A$1:$I$89,5,0)</f>
        <v>307.85039999999992</v>
      </c>
      <c r="CV33" s="14">
        <f t="shared" si="41"/>
        <v>72.819726494623794</v>
      </c>
      <c r="CW33" s="22">
        <f t="shared" si="13"/>
        <v>663.0004703114696</v>
      </c>
      <c r="CX33" s="62">
        <f t="shared" si="14"/>
        <v>956.33380364480286</v>
      </c>
      <c r="CY33" s="62">
        <f ca="1">AVERAGE(OFFSET($CX$3,0,0,'Données projet'!$E$13+1,1))-AVERAGE(OFFSET($H$3,0,0,'Données projet'!$E$13+1,1))</f>
        <v>720.47588458554264</v>
      </c>
      <c r="CZ33" s="62">
        <f t="shared" si="42"/>
        <v>638.59686934821627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15.799999999999997</v>
      </c>
      <c r="N34" s="14">
        <f>IF('Données projet'!$A$36&gt;35,N33+M34-V33,IF(A34&lt;'Données projet'!$A$36,$K$205^A34,IF(A34='Données projet'!$A$36,'Données projet'!$B$36,N33+M34-V33)))</f>
        <v>203.85999999999996</v>
      </c>
      <c r="O34" s="14">
        <f>N34*VLOOKUP('Données projet'!$B$9,Paramètres!$A$1:$I$89,3,0)*VLOOKUP('Données projet'!$B$9,Paramètres!$A$1:$I$89,5,0)</f>
        <v>95.406479999999988</v>
      </c>
      <c r="P34" s="14">
        <f t="shared" si="33"/>
        <v>25.86467784157578</v>
      </c>
      <c r="Q34" s="22">
        <f t="shared" si="2"/>
        <v>211.21393324074447</v>
      </c>
      <c r="R34" s="62">
        <f t="shared" si="0"/>
        <v>504.54726657407775</v>
      </c>
      <c r="S34" s="62">
        <f ca="1">AVERAGE(OFFSET($R$3,0,0,'Données projet'!$E$9+1,1))-AVERAGE(OFFSET($H$3,0,0,'Données projet'!$E$9+1,1))</f>
        <v>309.95417097673084</v>
      </c>
      <c r="T34" s="62">
        <f t="shared" si="34"/>
        <v>170.83243426024433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0.85964804009150064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0.85964804009150064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4.4500000000000011</v>
      </c>
      <c r="AI34" s="14">
        <f>IF('Données projet'!$A$62&gt;35,AI33+AH34-AQ33,IF(A34&lt;'Données projet'!$A$62,$AF$205^A34,IF(A34='Données projet'!$A$62,'Données projet'!$B$62,AI33+AH34-AQ33)))</f>
        <v>126.83</v>
      </c>
      <c r="AJ34" s="14">
        <f>AI34*VLOOKUP('Données projet'!$B$10,Paramètres!$A$1:$I$89,3,0)*VLOOKUP('Données projet'!$B$10,Paramètres!$A$1:$I$89,5,0)</f>
        <v>128.60561999999999</v>
      </c>
      <c r="AK34" s="14">
        <f t="shared" si="35"/>
        <v>33.673957112383711</v>
      </c>
      <c r="AL34" s="22">
        <f t="shared" si="4"/>
        <v>282.63693013740158</v>
      </c>
      <c r="AM34" s="62">
        <f t="shared" si="5"/>
        <v>575.97026347073484</v>
      </c>
      <c r="AN34" s="62">
        <f ca="1">AVERAGE(OFFSET($AM$3,0,0,'Données projet'!$E$10+1,1))-AVERAGE(OFFSET($H$3,0,0,'Données projet'!$E$10+1,1))</f>
        <v>408.65944152905672</v>
      </c>
      <c r="AO34" s="62">
        <f t="shared" si="36"/>
        <v>248.55239719988651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10.400000000000002</v>
      </c>
      <c r="BD34" s="13">
        <f>IF('Données projet'!$A$88&gt;35,BD33+BC34-BL33,IF(A34&lt;'Données projet'!$A$88,$BA$205^A34,IF(A34='Données projet'!$A$88,'Données projet'!$B$88,BD33+BC34-BL33)))</f>
        <v>296.39999999999992</v>
      </c>
      <c r="BE34" s="14">
        <f>BD34*VLOOKUP('Données projet'!$B$11,Paramètres!$A$1:$I$89,3,0)*VLOOKUP('Données projet'!$B$11,Paramètres!$A$1:$I$89,5,0)</f>
        <v>286.67807999999991</v>
      </c>
      <c r="BF34" s="14">
        <f t="shared" si="37"/>
        <v>68.376337362360232</v>
      </c>
      <c r="BG34" s="22">
        <f t="shared" si="7"/>
        <v>618.38644357277724</v>
      </c>
      <c r="BH34" s="62">
        <f t="shared" si="8"/>
        <v>911.71977690611061</v>
      </c>
      <c r="BI34" s="62">
        <f ca="1">AVERAGE(OFFSET($BH$3,0,0,'Données projet'!$E$11+1,1))-AVERAGE(OFFSET($H$3,0,0,'Données projet'!$E$11+1,1))</f>
        <v>643.38601112255424</v>
      </c>
      <c r="BJ34" s="62">
        <f t="shared" si="38"/>
        <v>572.76381622085694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13.039999999999996</v>
      </c>
      <c r="BY34" s="13">
        <f>IF('Données projet'!$A$114&gt;35,BY33+BX34-CG33,IF(A34&lt;'Données projet'!$A$114,$BV$205^A34,IF(A34='Données projet'!$A$114,'Données projet'!$B$114,BY33+BX34-CG33)))</f>
        <v>371.6400000000001</v>
      </c>
      <c r="BZ34" s="14">
        <f>BY34*VLOOKUP('Données projet'!$B$12,Paramètres!$A$1:$I$89,3,0)*VLOOKUP('Données projet'!$B$12,Paramètres!$A$1:$I$89,5,0)</f>
        <v>249.29611200000008</v>
      </c>
      <c r="CA34" s="14">
        <f t="shared" si="39"/>
        <v>60.435189106298196</v>
      </c>
      <c r="CB34" s="22">
        <f t="shared" si="10"/>
        <v>539.44868276013608</v>
      </c>
      <c r="CC34" s="62">
        <f t="shared" si="11"/>
        <v>832.78201609346934</v>
      </c>
      <c r="CD34" s="62">
        <f ca="1">AVERAGE(OFFSET($CC$3,0,0,'Données projet'!$E$12+1,1))-AVERAGE(OFFSET($H$3,0,0,'Données projet'!$E$12+1,1))</f>
        <v>323.41415875740768</v>
      </c>
      <c r="CE34" s="62">
        <f t="shared" si="40"/>
        <v>496.54020068152101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10.400000000000002</v>
      </c>
      <c r="CT34" s="13">
        <f>IF('Données projet'!$A$140&gt;35,CT33+CS34-DB33,IF(A34&lt;'Données projet'!$A$140,$CQ$205^A34,IF(A34='Données projet'!$A$140,'Données projet'!$B$140,CT33+CS34-DB33)))</f>
        <v>296.39999999999992</v>
      </c>
      <c r="CU34" s="18">
        <f>CT34*VLOOKUP('Données projet'!$B$13,Paramètres!$A$1:$I$89,3,0)*VLOOKUP('Données projet'!$B$13,Paramètres!$A$1:$I$89,5,0)</f>
        <v>319.04495999999989</v>
      </c>
      <c r="CV34" s="14">
        <f t="shared" si="41"/>
        <v>75.154604462688638</v>
      </c>
      <c r="CW34" s="22">
        <f t="shared" si="13"/>
        <v>686.56424143918241</v>
      </c>
      <c r="CX34" s="62">
        <f t="shared" si="14"/>
        <v>979.89757477251578</v>
      </c>
      <c r="CY34" s="62">
        <f ca="1">AVERAGE(OFFSET($CX$3,0,0,'Données projet'!$E$13+1,1))-AVERAGE(OFFSET($H$3,0,0,'Données projet'!$E$13+1,1))</f>
        <v>720.47588458554264</v>
      </c>
      <c r="CZ34" s="62">
        <f t="shared" si="42"/>
        <v>638.59686934821627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15.799999999999997</v>
      </c>
      <c r="N35" s="14">
        <f>IF('Données projet'!$A$36&gt;35,N34+M35-V34,IF(A35&lt;'Données projet'!$A$36,$K$205^A35,IF(A35='Données projet'!$A$36,'Données projet'!$B$36,N34+M35-V34)))</f>
        <v>219.65999999999997</v>
      </c>
      <c r="O35" s="14">
        <f>N35*VLOOKUP('Données projet'!$B$9,Paramètres!$A$1:$I$89,3,0)*VLOOKUP('Données projet'!$B$9,Paramètres!$A$1:$I$89,5,0)</f>
        <v>102.80087999999999</v>
      </c>
      <c r="P35" s="14">
        <f t="shared" si="33"/>
        <v>27.628192030776688</v>
      </c>
      <c r="Q35" s="22">
        <f t="shared" ref="Q35:Q66" si="53">(O35+P35)*0.475*44/12</f>
        <v>227.1639671202694</v>
      </c>
      <c r="R35" s="62">
        <f t="shared" si="0"/>
        <v>520.49730045360275</v>
      </c>
      <c r="S35" s="62">
        <f ca="1">AVERAGE(OFFSET($R$3,0,0,'Données projet'!$E$9+1,1))-AVERAGE(OFFSET($H$3,0,0,'Données projet'!$E$9+1,1))</f>
        <v>309.95417097673084</v>
      </c>
      <c r="T35" s="62">
        <f t="shared" si="34"/>
        <v>170.83243426024433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0.83614091922827283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0.83614091922827283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4.4500000000000011</v>
      </c>
      <c r="AI35" s="14">
        <f>IF('Données projet'!$A$62&gt;35,AI34+AH35-AQ34,IF(A35&lt;'Données projet'!$A$62,$AF$205^A35,IF(A35='Données projet'!$A$62,'Données projet'!$B$62,AI34+AH35-AQ34)))</f>
        <v>131.28</v>
      </c>
      <c r="AJ35" s="14">
        <f>AI35*VLOOKUP('Données projet'!$B$10,Paramètres!$A$1:$I$89,3,0)*VLOOKUP('Données projet'!$B$10,Paramètres!$A$1:$I$89,5,0)</f>
        <v>133.11792000000003</v>
      </c>
      <c r="AK35" s="14">
        <f t="shared" si="35"/>
        <v>34.715822296254863</v>
      </c>
      <c r="AL35" s="22">
        <f t="shared" si="4"/>
        <v>292.31043449931059</v>
      </c>
      <c r="AM35" s="62">
        <f t="shared" si="5"/>
        <v>585.6437678326439</v>
      </c>
      <c r="AN35" s="62">
        <f ca="1">AVERAGE(OFFSET($AM$3,0,0,'Données projet'!$E$10+1,1))-AVERAGE(OFFSET($H$3,0,0,'Données projet'!$E$10+1,1))</f>
        <v>408.65944152905672</v>
      </c>
      <c r="AO35" s="62">
        <f t="shared" si="36"/>
        <v>248.55239719988651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10.400000000000002</v>
      </c>
      <c r="BD35" s="13">
        <f>IF('Données projet'!$A$88&gt;35,BD34+BC35-BL34,IF(A35&lt;'Données projet'!$A$88,$BA$205^A35,IF(A35='Données projet'!$A$88,'Données projet'!$B$88,BD34+BC35-BL34)))</f>
        <v>306.7999999999999</v>
      </c>
      <c r="BE35" s="14">
        <f>BD35*VLOOKUP('Données projet'!$B$11,Paramètres!$A$1:$I$89,3,0)*VLOOKUP('Données projet'!$B$11,Paramètres!$A$1:$I$89,5,0)</f>
        <v>296.7369599999999</v>
      </c>
      <c r="BF35" s="14">
        <f t="shared" si="37"/>
        <v>70.491970164645167</v>
      </c>
      <c r="BG35" s="22">
        <f t="shared" si="7"/>
        <v>639.59038670342341</v>
      </c>
      <c r="BH35" s="62">
        <f t="shared" si="8"/>
        <v>932.92372003675678</v>
      </c>
      <c r="BI35" s="62">
        <f ca="1">AVERAGE(OFFSET($BH$3,0,0,'Données projet'!$E$11+1,1))-AVERAGE(OFFSET($H$3,0,0,'Données projet'!$E$11+1,1))</f>
        <v>643.38601112255424</v>
      </c>
      <c r="BJ35" s="62">
        <f t="shared" si="38"/>
        <v>572.76381622085694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13.039999999999996</v>
      </c>
      <c r="BY35" s="13">
        <f>IF('Données projet'!$A$114&gt;35,BY34+BX35-CG34,IF(A35&lt;'Données projet'!$A$114,$BV$205^A35,IF(A35='Données projet'!$A$114,'Données projet'!$B$114,BY34+BX35-CG34)))</f>
        <v>384.68000000000012</v>
      </c>
      <c r="BZ35" s="14">
        <f>BY35*VLOOKUP('Données projet'!$B$12,Paramètres!$A$1:$I$89,3,0)*VLOOKUP('Données projet'!$B$12,Paramètres!$A$1:$I$89,5,0)</f>
        <v>258.0433440000001</v>
      </c>
      <c r="CA35" s="14">
        <f t="shared" si="39"/>
        <v>62.305114776753321</v>
      </c>
      <c r="CB35" s="22">
        <f t="shared" si="10"/>
        <v>557.94023236951227</v>
      </c>
      <c r="CC35" s="62">
        <f t="shared" si="11"/>
        <v>851.27356570284564</v>
      </c>
      <c r="CD35" s="62">
        <f ca="1">AVERAGE(OFFSET($CC$3,0,0,'Données projet'!$E$12+1,1))-AVERAGE(OFFSET($H$3,0,0,'Données projet'!$E$12+1,1))</f>
        <v>323.41415875740768</v>
      </c>
      <c r="CE35" s="62">
        <f t="shared" si="40"/>
        <v>496.54020068152101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10.400000000000002</v>
      </c>
      <c r="CT35" s="13">
        <f>IF('Données projet'!$A$140&gt;35,CT34+CS35-DB34,IF(A35&lt;'Données projet'!$A$140,$CQ$205^A35,IF(A35='Données projet'!$A$140,'Données projet'!$B$140,CT34+CS35-DB34)))</f>
        <v>306.7999999999999</v>
      </c>
      <c r="CU35" s="18">
        <f>CT35*VLOOKUP('Données projet'!$B$13,Paramètres!$A$1:$I$89,3,0)*VLOOKUP('Données projet'!$B$13,Paramètres!$A$1:$I$89,5,0)</f>
        <v>330.23951999999991</v>
      </c>
      <c r="CV35" s="14">
        <f t="shared" si="41"/>
        <v>77.479963681644605</v>
      </c>
      <c r="CW35" s="22">
        <f t="shared" si="13"/>
        <v>710.11143407886414</v>
      </c>
      <c r="CX35" s="62">
        <f t="shared" si="14"/>
        <v>1003.4447674121975</v>
      </c>
      <c r="CY35" s="62">
        <f ca="1">AVERAGE(OFFSET($CX$3,0,0,'Données projet'!$E$13+1,1))-AVERAGE(OFFSET($H$3,0,0,'Données projet'!$E$13+1,1))</f>
        <v>720.47588458554264</v>
      </c>
      <c r="CZ35" s="62">
        <f t="shared" si="42"/>
        <v>638.59686934821627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15.799999999999997</v>
      </c>
      <c r="N36" s="14">
        <f>IF('Données projet'!$A$36&gt;35,N35+M36-V35,IF(A36&lt;'Données projet'!$A$36,$K$205^A36,IF(A36='Données projet'!$A$36,'Données projet'!$B$36,N35+M36-V35)))</f>
        <v>235.45999999999998</v>
      </c>
      <c r="O36" s="14">
        <f>N36*VLOOKUP('Données projet'!$B$9,Paramètres!$A$1:$I$89,3,0)*VLOOKUP('Données projet'!$B$9,Paramètres!$A$1:$I$89,5,0)</f>
        <v>110.19528</v>
      </c>
      <c r="P36" s="14">
        <f t="shared" si="33"/>
        <v>29.376989313083563</v>
      </c>
      <c r="Q36" s="22">
        <f t="shared" si="53"/>
        <v>243.08836905362054</v>
      </c>
      <c r="R36" s="62">
        <f t="shared" si="0"/>
        <v>536.42170238695383</v>
      </c>
      <c r="S36" s="62">
        <f ca="1">AVERAGE(OFFSET($R$3,0,0,'Données projet'!$E$9+1,1))-AVERAGE(OFFSET($H$3,0,0,'Données projet'!$E$9+1,1))</f>
        <v>309.95417097673084</v>
      </c>
      <c r="T36" s="62">
        <f t="shared" si="34"/>
        <v>170.83243426024433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0.81327660182123584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0.81327660182123584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4.4500000000000011</v>
      </c>
      <c r="AI36" s="14">
        <f>IF('Données projet'!$A$62&gt;35,AI35+AH36-AQ35,IF(A36&lt;'Données projet'!$A$62,$AF$205^A36,IF(A36='Données projet'!$A$62,'Données projet'!$B$62,AI35+AH36-AQ35)))</f>
        <v>135.72999999999999</v>
      </c>
      <c r="AJ36" s="14">
        <f>AI36*VLOOKUP('Données projet'!$B$10,Paramètres!$A$1:$I$89,3,0)*VLOOKUP('Données projet'!$B$10,Paramètres!$A$1:$I$89,5,0)</f>
        <v>137.63021999999998</v>
      </c>
      <c r="AK36" s="14">
        <f t="shared" si="35"/>
        <v>35.753583952895625</v>
      </c>
      <c r="AL36" s="22">
        <f t="shared" si="4"/>
        <v>301.97679188462655</v>
      </c>
      <c r="AM36" s="62">
        <f t="shared" si="5"/>
        <v>595.31012521795992</v>
      </c>
      <c r="AN36" s="62">
        <f ca="1">AVERAGE(OFFSET($AM$3,0,0,'Données projet'!$E$10+1,1))-AVERAGE(OFFSET($H$3,0,0,'Données projet'!$E$10+1,1))</f>
        <v>408.65944152905672</v>
      </c>
      <c r="AO36" s="62">
        <f t="shared" si="36"/>
        <v>248.55239719988651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10.400000000000002</v>
      </c>
      <c r="BD36" s="13">
        <f>IF('Données projet'!$A$88&gt;35,BD35+BC36-BL35,IF(A36&lt;'Données projet'!$A$88,$BA$205^A36,IF(A36='Données projet'!$A$88,'Données projet'!$B$88,BD35+BC36-BL35)))</f>
        <v>317.19999999999987</v>
      </c>
      <c r="BE36" s="14">
        <f>BD36*VLOOKUP('Données projet'!$B$11,Paramètres!$A$1:$I$89,3,0)*VLOOKUP('Données projet'!$B$11,Paramètres!$A$1:$I$89,5,0)</f>
        <v>306.79583999999988</v>
      </c>
      <c r="BF36" s="14">
        <f t="shared" si="37"/>
        <v>72.599269943528554</v>
      </c>
      <c r="BG36" s="22">
        <f t="shared" si="7"/>
        <v>660.77981648497871</v>
      </c>
      <c r="BH36" s="62">
        <f t="shared" si="8"/>
        <v>954.11314981831197</v>
      </c>
      <c r="BI36" s="62">
        <f ca="1">AVERAGE(OFFSET($BH$3,0,0,'Données projet'!$E$11+1,1))-AVERAGE(OFFSET($H$3,0,0,'Données projet'!$E$11+1,1))</f>
        <v>643.38601112255424</v>
      </c>
      <c r="BJ36" s="62">
        <f t="shared" si="38"/>
        <v>572.76381622085694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13.039999999999996</v>
      </c>
      <c r="BY36" s="13">
        <f>IF('Données projet'!$A$114&gt;35,BY35+BX36-CG35,IF(A36&lt;'Données projet'!$A$114,$BV$205^A36,IF(A36='Données projet'!$A$114,'Données projet'!$B$114,BY35+BX36-CG35)))</f>
        <v>397.72000000000014</v>
      </c>
      <c r="BZ36" s="14">
        <f>BY36*VLOOKUP('Données projet'!$B$12,Paramètres!$A$1:$I$89,3,0)*VLOOKUP('Données projet'!$B$12,Paramètres!$A$1:$I$89,5,0)</f>
        <v>266.7905760000001</v>
      </c>
      <c r="CA36" s="14">
        <f t="shared" si="39"/>
        <v>64.167675211448085</v>
      </c>
      <c r="CB36" s="22">
        <f t="shared" si="10"/>
        <v>576.41895419327227</v>
      </c>
      <c r="CC36" s="62">
        <f t="shared" si="11"/>
        <v>869.75228752660564</v>
      </c>
      <c r="CD36" s="62">
        <f ca="1">AVERAGE(OFFSET($CC$3,0,0,'Données projet'!$E$12+1,1))-AVERAGE(OFFSET($H$3,0,0,'Données projet'!$E$12+1,1))</f>
        <v>323.41415875740768</v>
      </c>
      <c r="CE36" s="62">
        <f t="shared" si="40"/>
        <v>496.54020068152101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10.400000000000002</v>
      </c>
      <c r="CT36" s="13">
        <f>IF('Données projet'!$A$140&gt;35,CT35+CS36-DB35,IF(A36&lt;'Données projet'!$A$140,$CQ$205^A36,IF(A36='Données projet'!$A$140,'Données projet'!$B$140,CT35+CS36-DB35)))</f>
        <v>317.19999999999987</v>
      </c>
      <c r="CU36" s="18">
        <f>CT36*VLOOKUP('Données projet'!$B$13,Paramètres!$A$1:$I$89,3,0)*VLOOKUP('Données projet'!$B$13,Paramètres!$A$1:$I$89,5,0)</f>
        <v>341.43407999999988</v>
      </c>
      <c r="CV36" s="14">
        <f t="shared" si="41"/>
        <v>79.796163809870151</v>
      </c>
      <c r="CW36" s="22">
        <f t="shared" si="13"/>
        <v>733.64267463552358</v>
      </c>
      <c r="CX36" s="62">
        <f t="shared" si="14"/>
        <v>1026.9760079688569</v>
      </c>
      <c r="CY36" s="62">
        <f ca="1">AVERAGE(OFFSET($CX$3,0,0,'Données projet'!$E$13+1,1))-AVERAGE(OFFSET($H$3,0,0,'Données projet'!$E$13+1,1))</f>
        <v>720.47588458554264</v>
      </c>
      <c r="CZ36" s="62">
        <f t="shared" si="42"/>
        <v>638.59686934821627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251.26</v>
      </c>
      <c r="L37" s="13">
        <f>VLOOKUP(A37,'Données projet'!$A$35:$I$55,9,0)</f>
        <v>15.799999999999997</v>
      </c>
      <c r="M37" s="13">
        <f t="array" ref="M37">INDEX(L:L,MIN(IF(ISNUMBER(L37:L233),ROW(L37:L233),"")))</f>
        <v>15.799999999999997</v>
      </c>
      <c r="N37" s="14">
        <f>IF('Données projet'!$A$36&gt;35,N36+M37-V36,IF(A37&lt;'Données projet'!$A$36,$K$205^A37,IF(A37='Données projet'!$A$36,'Données projet'!$B$36,N36+M37-V36)))</f>
        <v>251.26</v>
      </c>
      <c r="O37" s="14">
        <f>N37*VLOOKUP('Données projet'!$B$9,Paramètres!$A$1:$I$89,3,0)*VLOOKUP('Données projet'!$B$9,Paramètres!$A$1:$I$89,5,0)</f>
        <v>117.58968</v>
      </c>
      <c r="P37" s="14">
        <f t="shared" si="33"/>
        <v>31.112169594225634</v>
      </c>
      <c r="Q37" s="22">
        <f t="shared" si="53"/>
        <v>258.98905470994293</v>
      </c>
      <c r="R37" s="62">
        <f t="shared" si="0"/>
        <v>552.32238804327631</v>
      </c>
      <c r="S37" s="62">
        <f ca="1">AVERAGE(OFFSET($R$3,0,0,'Données projet'!$E$9+1,1))-AVERAGE(OFFSET($H$3,0,0,'Données projet'!$E$9+1,1))</f>
        <v>309.95417097673084</v>
      </c>
      <c r="T37" s="62">
        <f t="shared" si="34"/>
        <v>170.83243426024433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0.24750000000000003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0.79103751037607639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0.79103751037607639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4.4500000000000011</v>
      </c>
      <c r="AI37" s="14">
        <f>IF('Données projet'!$A$62&gt;35,AI36+AH37-AQ36,IF(A37&lt;'Données projet'!$A$62,$AF$205^A37,IF(A37='Données projet'!$A$62,'Données projet'!$B$62,AI36+AH37-AQ36)))</f>
        <v>140.17999999999998</v>
      </c>
      <c r="AJ37" s="14">
        <f>AI37*VLOOKUP('Données projet'!$B$10,Paramètres!$A$1:$I$89,3,0)*VLOOKUP('Données projet'!$B$10,Paramètres!$A$1:$I$89,5,0)</f>
        <v>142.14251999999999</v>
      </c>
      <c r="AK37" s="14">
        <f t="shared" si="35"/>
        <v>36.787392047648225</v>
      </c>
      <c r="AL37" s="22">
        <f t="shared" si="4"/>
        <v>311.63626348298726</v>
      </c>
      <c r="AM37" s="62">
        <f t="shared" si="5"/>
        <v>604.96959681632052</v>
      </c>
      <c r="AN37" s="62">
        <f ca="1">AVERAGE(OFFSET($AM$3,0,0,'Données projet'!$E$10+1,1))-AVERAGE(OFFSET($H$3,0,0,'Données projet'!$E$10+1,1))</f>
        <v>408.65944152905672</v>
      </c>
      <c r="AO37" s="62">
        <f t="shared" si="36"/>
        <v>248.55239719988651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10.400000000000002</v>
      </c>
      <c r="BD37" s="13">
        <f>IF('Données projet'!$A$88&gt;35,BD36+BC37-BL36,IF(A37&lt;'Données projet'!$A$88,$BA$205^A37,IF(A37='Données projet'!$A$88,'Données projet'!$B$88,BD36+BC37-BL36)))</f>
        <v>327.59999999999985</v>
      </c>
      <c r="BE37" s="14">
        <f>BD37*VLOOKUP('Données projet'!$B$11,Paramètres!$A$1:$I$89,3,0)*VLOOKUP('Données projet'!$B$11,Paramètres!$A$1:$I$89,5,0)</f>
        <v>316.85471999999987</v>
      </c>
      <c r="BF37" s="14">
        <f t="shared" si="37"/>
        <v>74.698541244494848</v>
      </c>
      <c r="BG37" s="22">
        <f t="shared" si="7"/>
        <v>681.9552633341616</v>
      </c>
      <c r="BH37" s="62">
        <f t="shared" si="8"/>
        <v>975.28859666749486</v>
      </c>
      <c r="BI37" s="62">
        <f ca="1">AVERAGE(OFFSET($BH$3,0,0,'Données projet'!$E$11+1,1))-AVERAGE(OFFSET($H$3,0,0,'Données projet'!$E$11+1,1))</f>
        <v>643.38601112255424</v>
      </c>
      <c r="BJ37" s="62">
        <f t="shared" si="38"/>
        <v>572.76381622085694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13.039999999999996</v>
      </c>
      <c r="BY37" s="13">
        <f>IF('Données projet'!$A$114&gt;35,BY36+BX37-CG36,IF(A37&lt;'Données projet'!$A$114,$BV$205^A37,IF(A37='Données projet'!$A$114,'Données projet'!$B$114,BY36+BX37-CG36)))</f>
        <v>410.76000000000016</v>
      </c>
      <c r="BZ37" s="14">
        <f>BY37*VLOOKUP('Données projet'!$B$12,Paramètres!$A$1:$I$89,3,0)*VLOOKUP('Données projet'!$B$12,Paramètres!$A$1:$I$89,5,0)</f>
        <v>275.5378080000001</v>
      </c>
      <c r="CA37" s="14">
        <f t="shared" si="39"/>
        <v>66.023139586308943</v>
      </c>
      <c r="CB37" s="22">
        <f t="shared" si="10"/>
        <v>594.88531704615491</v>
      </c>
      <c r="CC37" s="62">
        <f t="shared" si="11"/>
        <v>888.21865037948828</v>
      </c>
      <c r="CD37" s="62">
        <f ca="1">AVERAGE(OFFSET($CC$3,0,0,'Données projet'!$E$12+1,1))-AVERAGE(OFFSET($H$3,0,0,'Données projet'!$E$12+1,1))</f>
        <v>323.41415875740768</v>
      </c>
      <c r="CE37" s="62">
        <f t="shared" si="40"/>
        <v>496.54020068152101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10.400000000000002</v>
      </c>
      <c r="CT37" s="13">
        <f>IF('Données projet'!$A$140&gt;35,CT36+CS37-DB36,IF(A37&lt;'Données projet'!$A$140,$CQ$205^A37,IF(A37='Données projet'!$A$140,'Données projet'!$B$140,CT36+CS37-DB36)))</f>
        <v>327.59999999999985</v>
      </c>
      <c r="CU37" s="18">
        <f>CT37*VLOOKUP('Données projet'!$B$13,Paramètres!$A$1:$I$89,3,0)*VLOOKUP('Données projet'!$B$13,Paramètres!$A$1:$I$89,5,0)</f>
        <v>352.62863999999979</v>
      </c>
      <c r="CV37" s="14">
        <f t="shared" si="41"/>
        <v>82.103539582981469</v>
      </c>
      <c r="CW37" s="22">
        <f t="shared" si="13"/>
        <v>757.1585461070257</v>
      </c>
      <c r="CX37" s="62">
        <f t="shared" si="14"/>
        <v>1050.4918794403591</v>
      </c>
      <c r="CY37" s="62">
        <f ca="1">AVERAGE(OFFSET($CX$3,0,0,'Données projet'!$E$13+1,1))-AVERAGE(OFFSET($H$3,0,0,'Données projet'!$E$13+1,1))</f>
        <v>720.47588458554264</v>
      </c>
      <c r="CZ37" s="62">
        <f t="shared" si="42"/>
        <v>638.59686934821627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16.300000000000011</v>
      </c>
      <c r="N38" s="14">
        <f>IF('Données projet'!$A$36&gt;35,N37+M38-V37,IF(A38&lt;'Données projet'!$A$36,$K$205^A38,IF(A38='Données projet'!$A$36,'Données projet'!$B$36,N37+M38-V37)))</f>
        <v>267.56</v>
      </c>
      <c r="O38" s="14">
        <f>N38*VLOOKUP('Données projet'!$B$9,Paramètres!$A$1:$I$89,3,0)*VLOOKUP('Données projet'!$B$9,Paramètres!$A$1:$I$89,5,0)</f>
        <v>125.21808000000001</v>
      </c>
      <c r="P38" s="14">
        <f t="shared" si="33"/>
        <v>32.888999462224959</v>
      </c>
      <c r="Q38" s="22">
        <f t="shared" si="53"/>
        <v>275.36983006337516</v>
      </c>
      <c r="R38" s="62">
        <f t="shared" si="0"/>
        <v>568.70316339670853</v>
      </c>
      <c r="S38" s="62">
        <f ca="1">AVERAGE(OFFSET($R$3,0,0,'Données projet'!$E$9+1,1))-AVERAGE(OFFSET($H$3,0,0,'Données projet'!$E$9+1,1))</f>
        <v>309.95417097673084</v>
      </c>
      <c r="T38" s="62">
        <f t="shared" si="34"/>
        <v>170.83243426024433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0.76940654805598785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0.76940654805598785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4.4500000000000011</v>
      </c>
      <c r="AI38" s="14">
        <f>IF('Données projet'!$A$62&gt;35,AI37+AH38-AQ37,IF(A38&lt;'Données projet'!$A$62,$AF$205^A38,IF(A38='Données projet'!$A$62,'Données projet'!$B$62,AI37+AH38-AQ37)))</f>
        <v>144.62999999999997</v>
      </c>
      <c r="AJ38" s="14">
        <f>AI38*VLOOKUP('Données projet'!$B$10,Paramètres!$A$1:$I$89,3,0)*VLOOKUP('Données projet'!$B$10,Paramètres!$A$1:$I$89,5,0)</f>
        <v>146.65482</v>
      </c>
      <c r="AK38" s="14">
        <f t="shared" si="35"/>
        <v>37.817386483909154</v>
      </c>
      <c r="AL38" s="22">
        <f t="shared" si="4"/>
        <v>321.28909295947511</v>
      </c>
      <c r="AM38" s="62">
        <f t="shared" si="5"/>
        <v>614.62242629280843</v>
      </c>
      <c r="AN38" s="62">
        <f ca="1">AVERAGE(OFFSET($AM$3,0,0,'Données projet'!$E$10+1,1))-AVERAGE(OFFSET($H$3,0,0,'Données projet'!$E$10+1,1))</f>
        <v>408.65944152905672</v>
      </c>
      <c r="AO38" s="62">
        <f t="shared" si="36"/>
        <v>248.55239719988651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10.400000000000002</v>
      </c>
      <c r="BD38" s="13">
        <f>IF('Données projet'!$A$88&gt;35,BD37+BC38-BL37,IF(A38&lt;'Données projet'!$A$88,$BA$205^A38,IF(A38='Données projet'!$A$88,'Données projet'!$B$88,BD37+BC38-BL37)))</f>
        <v>337.99999999999983</v>
      </c>
      <c r="BE38" s="14">
        <f>BD38*VLOOKUP('Données projet'!$B$11,Paramètres!$A$1:$I$89,3,0)*VLOOKUP('Données projet'!$B$11,Paramètres!$A$1:$I$89,5,0)</f>
        <v>326.91359999999986</v>
      </c>
      <c r="BF38" s="14">
        <f t="shared" si="37"/>
        <v>76.790068178778256</v>
      </c>
      <c r="BG38" s="22">
        <f t="shared" si="7"/>
        <v>703.11722207803848</v>
      </c>
      <c r="BH38" s="62">
        <f t="shared" si="8"/>
        <v>996.45055541137185</v>
      </c>
      <c r="BI38" s="62">
        <f ca="1">AVERAGE(OFFSET($BH$3,0,0,'Données projet'!$E$11+1,1))-AVERAGE(OFFSET($H$3,0,0,'Données projet'!$E$11+1,1))</f>
        <v>643.38601112255424</v>
      </c>
      <c r="BJ38" s="62">
        <f t="shared" si="38"/>
        <v>572.76381622085694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13.039999999999996</v>
      </c>
      <c r="BY38" s="13">
        <f>IF('Données projet'!$A$114&gt;35,BY37+BX38-CG37,IF(A38&lt;'Données projet'!$A$114,$BV$205^A38,IF(A38='Données projet'!$A$114,'Données projet'!$B$114,BY37+BX38-CG37)))</f>
        <v>423.80000000000018</v>
      </c>
      <c r="BZ38" s="14">
        <f>BY38*VLOOKUP('Données projet'!$B$12,Paramètres!$A$1:$I$89,3,0)*VLOOKUP('Données projet'!$B$12,Paramètres!$A$1:$I$89,5,0)</f>
        <v>284.28504000000009</v>
      </c>
      <c r="CA38" s="14">
        <f t="shared" si="39"/>
        <v>67.871759016221787</v>
      </c>
      <c r="CB38" s="22">
        <f t="shared" si="10"/>
        <v>613.3397582865864</v>
      </c>
      <c r="CC38" s="62">
        <f t="shared" si="11"/>
        <v>906.67309161991966</v>
      </c>
      <c r="CD38" s="62">
        <f ca="1">AVERAGE(OFFSET($CC$3,0,0,'Données projet'!$E$12+1,1))-AVERAGE(OFFSET($H$3,0,0,'Données projet'!$E$12+1,1))</f>
        <v>323.41415875740768</v>
      </c>
      <c r="CE38" s="62">
        <f t="shared" si="40"/>
        <v>496.54020068152101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10.400000000000002</v>
      </c>
      <c r="CT38" s="13">
        <f>IF('Données projet'!$A$140&gt;35,CT37+CS38-DB37,IF(A38&lt;'Données projet'!$A$140,$CQ$205^A38,IF(A38='Données projet'!$A$140,'Données projet'!$B$140,CT37+CS38-DB37)))</f>
        <v>337.99999999999983</v>
      </c>
      <c r="CU38" s="18">
        <f>CT38*VLOOKUP('Données projet'!$B$13,Paramètres!$A$1:$I$89,3,0)*VLOOKUP('Données projet'!$B$13,Paramètres!$A$1:$I$89,5,0)</f>
        <v>363.82319999999982</v>
      </c>
      <c r="CV38" s="14">
        <f t="shared" si="41"/>
        <v>84.402403276661317</v>
      </c>
      <c r="CW38" s="22">
        <f t="shared" si="13"/>
        <v>780.65959237351808</v>
      </c>
      <c r="CX38" s="62">
        <f t="shared" si="14"/>
        <v>1073.9929257068513</v>
      </c>
      <c r="CY38" s="62">
        <f ca="1">AVERAGE(OFFSET($CX$3,0,0,'Données projet'!$E$13+1,1))-AVERAGE(OFFSET($H$3,0,0,'Données projet'!$E$13+1,1))</f>
        <v>720.47588458554264</v>
      </c>
      <c r="CZ38" s="62">
        <f t="shared" si="42"/>
        <v>638.59686934821627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16.300000000000011</v>
      </c>
      <c r="N39" s="14">
        <f>IF('Données projet'!$A$36&gt;35,N38+M39-V38,IF(A39&lt;'Données projet'!$A$36,$K$205^A39,IF(A39='Données projet'!$A$36,'Données projet'!$B$36,N38+M39-V38)))</f>
        <v>283.86</v>
      </c>
      <c r="O39" s="14">
        <f>N39*VLOOKUP('Données projet'!$B$9,Paramètres!$A$1:$I$89,3,0)*VLOOKUP('Données projet'!$B$9,Paramètres!$A$1:$I$89,5,0)</f>
        <v>132.84648000000001</v>
      </c>
      <c r="P39" s="14">
        <f t="shared" si="33"/>
        <v>34.653265850798988</v>
      </c>
      <c r="Q39" s="22">
        <f t="shared" si="53"/>
        <v>291.72872402347485</v>
      </c>
      <c r="R39" s="62">
        <f t="shared" si="0"/>
        <v>585.06205735680817</v>
      </c>
      <c r="S39" s="62">
        <f ca="1">AVERAGE(OFFSET($R$3,0,0,'Données projet'!$E$9+1,1))-AVERAGE(OFFSET($H$3,0,0,'Données projet'!$E$9+1,1))</f>
        <v>309.95417097673084</v>
      </c>
      <c r="T39" s="62">
        <f t="shared" si="34"/>
        <v>170.83243426024433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0.74836708553806497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0.74836708553806497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4.4500000000000011</v>
      </c>
      <c r="AI39" s="14">
        <f>IF('Données projet'!$A$62&gt;35,AI38+AH39-AQ38,IF(A39&lt;'Données projet'!$A$62,$AF$205^A39,IF(A39='Données projet'!$A$62,'Données projet'!$B$62,AI38+AH39-AQ38)))</f>
        <v>149.07999999999996</v>
      </c>
      <c r="AJ39" s="14">
        <f>AI39*VLOOKUP('Données projet'!$B$10,Paramètres!$A$1:$I$89,3,0)*VLOOKUP('Données projet'!$B$10,Paramètres!$A$1:$I$89,5,0)</f>
        <v>151.16711999999995</v>
      </c>
      <c r="AK39" s="14">
        <f t="shared" si="35"/>
        <v>38.843698066821425</v>
      </c>
      <c r="AL39" s="22">
        <f t="shared" si="4"/>
        <v>330.93550813304722</v>
      </c>
      <c r="AM39" s="62">
        <f t="shared" si="5"/>
        <v>624.26884146638054</v>
      </c>
      <c r="AN39" s="62">
        <f ca="1">AVERAGE(OFFSET($AM$3,0,0,'Données projet'!$E$10+1,1))-AVERAGE(OFFSET($H$3,0,0,'Données projet'!$E$10+1,1))</f>
        <v>408.65944152905672</v>
      </c>
      <c r="AO39" s="62">
        <f t="shared" si="36"/>
        <v>248.55239719988651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10.400000000000002</v>
      </c>
      <c r="BD39" s="13">
        <f>IF('Données projet'!$A$88&gt;35,BD38+BC39-BL38,IF(A39&lt;'Données projet'!$A$88,$BA$205^A39,IF(A39='Données projet'!$A$88,'Données projet'!$B$88,BD38+BC39-BL38)))</f>
        <v>348.39999999999981</v>
      </c>
      <c r="BE39" s="14">
        <f>BD39*VLOOKUP('Données projet'!$B$11,Paramètres!$A$1:$I$89,3,0)*VLOOKUP('Données projet'!$B$11,Paramètres!$A$1:$I$89,5,0)</f>
        <v>336.97247999999979</v>
      </c>
      <c r="BF39" s="14">
        <f t="shared" si="37"/>
        <v>78.874116380539874</v>
      </c>
      <c r="BG39" s="22">
        <f t="shared" si="7"/>
        <v>724.26615536277325</v>
      </c>
      <c r="BH39" s="62">
        <f t="shared" si="8"/>
        <v>1017.5994886961066</v>
      </c>
      <c r="BI39" s="62">
        <f ca="1">AVERAGE(OFFSET($BH$3,0,0,'Données projet'!$E$11+1,1))-AVERAGE(OFFSET($H$3,0,0,'Données projet'!$E$11+1,1))</f>
        <v>643.38601112255424</v>
      </c>
      <c r="BJ39" s="62">
        <f t="shared" si="38"/>
        <v>572.76381622085694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13.039999999999996</v>
      </c>
      <c r="BY39" s="13">
        <f>IF('Données projet'!$A$114&gt;35,BY38+BX39-CG38,IF(A39&lt;'Données projet'!$A$114,$BV$205^A39,IF(A39='Données projet'!$A$114,'Données projet'!$B$114,BY38+BX39-CG38)))</f>
        <v>436.8400000000002</v>
      </c>
      <c r="BZ39" s="14">
        <f>BY39*VLOOKUP('Données projet'!$B$12,Paramètres!$A$1:$I$89,3,0)*VLOOKUP('Données projet'!$B$12,Paramètres!$A$1:$I$89,5,0)</f>
        <v>293.03227200000015</v>
      </c>
      <c r="CA39" s="14">
        <f t="shared" si="39"/>
        <v>69.71376828490537</v>
      </c>
      <c r="CB39" s="22">
        <f t="shared" si="10"/>
        <v>631.78268682954376</v>
      </c>
      <c r="CC39" s="62">
        <f t="shared" si="11"/>
        <v>925.11602016287702</v>
      </c>
      <c r="CD39" s="62">
        <f ca="1">AVERAGE(OFFSET($CC$3,0,0,'Données projet'!$E$12+1,1))-AVERAGE(OFFSET($H$3,0,0,'Données projet'!$E$12+1,1))</f>
        <v>323.41415875740768</v>
      </c>
      <c r="CE39" s="62">
        <f t="shared" si="40"/>
        <v>496.54020068152101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10.400000000000002</v>
      </c>
      <c r="CT39" s="13">
        <f>IF('Données projet'!$A$140&gt;35,CT38+CS39-DB38,IF(A39&lt;'Données projet'!$A$140,$CQ$205^A39,IF(A39='Données projet'!$A$140,'Données projet'!$B$140,CT38+CS39-DB38)))</f>
        <v>348.39999999999981</v>
      </c>
      <c r="CU39" s="18">
        <f>CT39*VLOOKUP('Données projet'!$B$13,Paramètres!$A$1:$I$89,3,0)*VLOOKUP('Données projet'!$B$13,Paramètres!$A$1:$I$89,5,0)</f>
        <v>375.01775999999978</v>
      </c>
      <c r="CV39" s="14">
        <f t="shared" si="41"/>
        <v>86.693046857854142</v>
      </c>
      <c r="CW39" s="22">
        <f t="shared" si="13"/>
        <v>804.14632194409558</v>
      </c>
      <c r="CX39" s="62">
        <f t="shared" si="14"/>
        <v>1097.4796552774289</v>
      </c>
      <c r="CY39" s="62">
        <f ca="1">AVERAGE(OFFSET($CX$3,0,0,'Données projet'!$E$13+1,1))-AVERAGE(OFFSET($H$3,0,0,'Données projet'!$E$13+1,1))</f>
        <v>720.47588458554264</v>
      </c>
      <c r="CZ39" s="62">
        <f t="shared" si="42"/>
        <v>638.59686934821627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>
        <f>VLOOKUP(A40,'Données projet'!$A$35:$I$55,2,0)</f>
        <v>300.16000000000003</v>
      </c>
      <c r="L40" s="13">
        <f>VLOOKUP(A40,'Données projet'!$A$35:$I$55,9,0)</f>
        <v>16.300000000000011</v>
      </c>
      <c r="M40" s="13">
        <f t="array" ref="M40">INDEX(L:L,MIN(IF(ISNUMBER(L40:L236),ROW(L40:L236),"")))</f>
        <v>16.300000000000011</v>
      </c>
      <c r="N40" s="14">
        <f>IF('Données projet'!$A$36&gt;35,N39+M40-V39,IF(A40&lt;'Données projet'!$A$36,$K$205^A40,IF(A40='Données projet'!$A$36,'Données projet'!$B$36,N39+M40-V39)))</f>
        <v>300.16000000000003</v>
      </c>
      <c r="O40" s="14">
        <f>N40*VLOOKUP('Données projet'!$B$9,Paramètres!$A$1:$I$89,3,0)*VLOOKUP('Données projet'!$B$9,Paramètres!$A$1:$I$89,5,0)</f>
        <v>140.47488000000001</v>
      </c>
      <c r="P40" s="14">
        <f t="shared" si="33"/>
        <v>36.405772385199718</v>
      </c>
      <c r="Q40" s="22">
        <f t="shared" si="53"/>
        <v>308.06713623755621</v>
      </c>
      <c r="R40" s="62">
        <f t="shared" si="0"/>
        <v>601.40046957088953</v>
      </c>
      <c r="S40" s="62">
        <f ca="1">AVERAGE(OFFSET($R$3,0,0,'Données projet'!$E$9+1,1))-AVERAGE(OFFSET($H$3,0,0,'Données projet'!$E$9+1,1))</f>
        <v>309.95417097673084</v>
      </c>
      <c r="T40" s="62">
        <f t="shared" si="34"/>
        <v>170.83243426024433</v>
      </c>
      <c r="U40" s="16">
        <f>IF(ISNA(VLOOKUP(A40,'Données projet'!$A$35:$I$55,3,0)),0,VLOOKUP(A40,'Données projet'!$A$35:$I$55,3,0))</f>
        <v>5</v>
      </c>
      <c r="V40" s="16">
        <f>IF(ISNA(VLOOKUP(A40,'Données projet'!$A$35:$I$55,4,0)),0,VLOOKUP(A40,'Données projet'!$A$35:$I$55,4,0))</f>
        <v>30.02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0.25850000000000001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5.5266967220221943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5.5266967220221943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153.53</v>
      </c>
      <c r="AG40" s="13">
        <f>VLOOKUP(A40,'Données projet'!$A$61:$I$81,9,0)</f>
        <v>4.4500000000000011</v>
      </c>
      <c r="AH40" s="13">
        <f t="array" ref="AH40">INDEX(AG:AG,MIN(IF(ISNUMBER(AG40:AG236),ROW(AG40:AG236),"")))</f>
        <v>4.4500000000000011</v>
      </c>
      <c r="AI40" s="14">
        <f>IF('Données projet'!$A$62&gt;35,AI39+AH40-AQ39,IF(A40&lt;'Données projet'!$A$62,$AF$205^A40,IF(A40='Données projet'!$A$62,'Données projet'!$B$62,AI39+AH40-AQ39)))</f>
        <v>153.52999999999994</v>
      </c>
      <c r="AJ40" s="14">
        <f>AI40*VLOOKUP('Données projet'!$B$10,Paramètres!$A$1:$I$89,3,0)*VLOOKUP('Données projet'!$B$10,Paramètres!$A$1:$I$89,5,0)</f>
        <v>155.67941999999996</v>
      </c>
      <c r="AK40" s="14">
        <f t="shared" si="35"/>
        <v>39.866449348669995</v>
      </c>
      <c r="AL40" s="22">
        <f t="shared" si="4"/>
        <v>340.5757224489335</v>
      </c>
      <c r="AM40" s="62">
        <f t="shared" si="5"/>
        <v>633.90905578226682</v>
      </c>
      <c r="AN40" s="62">
        <f ca="1">AVERAGE(OFFSET($AM$3,0,0,'Données projet'!$E$10+1,1))-AVERAGE(OFFSET($H$3,0,0,'Données projet'!$E$10+1,1))</f>
        <v>408.65944152905672</v>
      </c>
      <c r="AO40" s="62">
        <f t="shared" si="36"/>
        <v>248.55239719988651</v>
      </c>
      <c r="AP40" s="16">
        <f>IF(ISNA(VLOOKUP(A40,'Données projet'!$A$61:$I$81,3,0)),0,VLOOKUP(A40,'Données projet'!$A$61:$I$81,3,0))</f>
        <v>3</v>
      </c>
      <c r="AQ40" s="16">
        <f>IF(ISNA(VLOOKUP(A40,'Données projet'!$A$61:$I$81,4,0)),0,VLOOKUP(A40,'Données projet'!$A$61:$I$81,4,0))</f>
        <v>15.35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358.8</v>
      </c>
      <c r="BB40" s="13">
        <f>VLOOKUP(A40,'Données projet'!$A$87:$I$107,9,0)</f>
        <v>10.400000000000002</v>
      </c>
      <c r="BC40" s="13">
        <f t="array" ref="BC40">INDEX(BB:BB,MIN(IF(ISNUMBER(BB40:BB236),ROW(BB40:BB236),"")))</f>
        <v>10.400000000000002</v>
      </c>
      <c r="BD40" s="13">
        <f>IF('Données projet'!$A$88&gt;35,BD39+BC40-BL39,IF(A40&lt;'Données projet'!$A$88,$BA$205^A40,IF(A40='Données projet'!$A$88,'Données projet'!$B$88,BD39+BC40-BL39)))</f>
        <v>358.79999999999978</v>
      </c>
      <c r="BE40" s="14">
        <f>BD40*VLOOKUP('Données projet'!$B$11,Paramètres!$A$1:$I$89,3,0)*VLOOKUP('Données projet'!$B$11,Paramètres!$A$1:$I$89,5,0)</f>
        <v>347.03135999999984</v>
      </c>
      <c r="BF40" s="14">
        <f t="shared" si="37"/>
        <v>80.950934723784997</v>
      </c>
      <c r="BG40" s="22">
        <f t="shared" si="7"/>
        <v>745.40249664392525</v>
      </c>
      <c r="BH40" s="62">
        <f t="shared" si="8"/>
        <v>1038.7358299772586</v>
      </c>
      <c r="BI40" s="62">
        <f ca="1">AVERAGE(OFFSET($BH$3,0,0,'Données projet'!$E$11+1,1))-AVERAGE(OFFSET($H$3,0,0,'Données projet'!$E$11+1,1))</f>
        <v>643.38601112255424</v>
      </c>
      <c r="BJ40" s="62">
        <f t="shared" si="38"/>
        <v>572.76381622085694</v>
      </c>
      <c r="BK40" s="16">
        <f>IF(ISNA(VLOOKUP(A40,'Données projet'!$A$87:$I$107,3,0)),0,VLOOKUP(A40,'Données projet'!$A$87:$I$107,3,0))</f>
        <v>3</v>
      </c>
      <c r="BL40" s="16">
        <f>IF(ISNA(VLOOKUP(A40,'Données projet'!$A$87:$I$107,4,0)),0,VLOOKUP(A40,'Données projet'!$A$87:$I$107,4,0))</f>
        <v>35.880000000000003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449.88</v>
      </c>
      <c r="BW40" s="13">
        <f>VLOOKUP(A40,'Données projet'!$A$113:$I$133,9,0)</f>
        <v>13.039999999999996</v>
      </c>
      <c r="BX40" s="13">
        <f t="array" ref="BX40">INDEX(BW:BW,MIN(IF(ISNUMBER(BW40:BW236),ROW(BW40:BW236),"")))</f>
        <v>13.039999999999996</v>
      </c>
      <c r="BY40" s="13">
        <f>IF('Données projet'!$A$114&gt;35,BY39+BX40-CG39,IF(A40&lt;'Données projet'!$A$114,$BV$205^A40,IF(A40='Données projet'!$A$114,'Données projet'!$B$114,BY39+BX40-CG39)))</f>
        <v>449.88000000000022</v>
      </c>
      <c r="BZ40" s="14">
        <f>BY40*VLOOKUP('Données projet'!$B$12,Paramètres!$A$1:$I$89,3,0)*VLOOKUP('Données projet'!$B$12,Paramètres!$A$1:$I$89,5,0)</f>
        <v>301.7795040000002</v>
      </c>
      <c r="CA40" s="14">
        <f t="shared" si="39"/>
        <v>71.549387362427723</v>
      </c>
      <c r="CB40" s="22">
        <f t="shared" si="10"/>
        <v>650.21448578956199</v>
      </c>
      <c r="CC40" s="62">
        <f t="shared" si="11"/>
        <v>943.54781912289536</v>
      </c>
      <c r="CD40" s="62">
        <f ca="1">AVERAGE(OFFSET($CC$3,0,0,'Données projet'!$E$12+1,1))-AVERAGE(OFFSET($H$3,0,0,'Données projet'!$E$12+1,1))</f>
        <v>323.41415875740768</v>
      </c>
      <c r="CE40" s="62">
        <f t="shared" si="40"/>
        <v>496.54020068152101</v>
      </c>
      <c r="CF40" s="16">
        <f>IF(ISNA(VLOOKUP(A40,'Données projet'!$A$113:$I$133,3,0)),0,VLOOKUP(A40,'Données projet'!$A$113:$I$133,3,0))</f>
        <v>3</v>
      </c>
      <c r="CG40" s="16">
        <f>IF(ISNA(VLOOKUP(A40,'Données projet'!$A$113:$I$133,4,0)),0,VLOOKUP(A40,'Données projet'!$A$113:$I$133,4,0))</f>
        <v>44.99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358.8</v>
      </c>
      <c r="CR40" s="13">
        <f>VLOOKUP(A40,'Données projet'!$A$139:$I$159,9,0)</f>
        <v>10.400000000000002</v>
      </c>
      <c r="CS40" s="13">
        <f t="array" ref="CS40">INDEX(CR:CR,MIN(IF(ISNUMBER(CR40:CR236),ROW(CR40:CR236),"")))</f>
        <v>10.400000000000002</v>
      </c>
      <c r="CT40" s="13">
        <f>IF('Données projet'!$A$140&gt;35,CT39+CS40-DB39,IF(A40&lt;'Données projet'!$A$140,$CQ$205^A40,IF(A40='Données projet'!$A$140,'Données projet'!$B$140,CT39+CS40-DB39)))</f>
        <v>358.79999999999978</v>
      </c>
      <c r="CU40" s="18">
        <f>CT40*VLOOKUP('Données projet'!$B$13,Paramètres!$A$1:$I$89,3,0)*VLOOKUP('Données projet'!$B$13,Paramètres!$A$1:$I$89,5,0)</f>
        <v>386.21231999999975</v>
      </c>
      <c r="CV40" s="14">
        <f t="shared" si="41"/>
        <v>88.975743871885328</v>
      </c>
      <c r="CW40" s="22">
        <f t="shared" si="13"/>
        <v>827.61921124353319</v>
      </c>
      <c r="CX40" s="62">
        <f t="shared" si="14"/>
        <v>1120.9525445768666</v>
      </c>
      <c r="CY40" s="62">
        <f ca="1">AVERAGE(OFFSET($CX$3,0,0,'Données projet'!$E$13+1,1))-AVERAGE(OFFSET($H$3,0,0,'Données projet'!$E$13+1,1))</f>
        <v>720.47588458554264</v>
      </c>
      <c r="CZ40" s="62">
        <f t="shared" si="42"/>
        <v>638.59686934821627</v>
      </c>
      <c r="DA40" s="16">
        <f>IF(ISNA(VLOOKUP(A40,'Données projet'!$A$139:$I$159,3,0)),0,VLOOKUP(A40,'Données projet'!$A$139:$I$159,3,0))</f>
        <v>3</v>
      </c>
      <c r="DB40" s="16">
        <f>IF(ISNA(VLOOKUP(A40,'Données projet'!$A$139:$I$159,4,0)),0,VLOOKUP(A40,'Données projet'!$A$139:$I$159,4,0))</f>
        <v>35.880000000000003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17.599999999999994</v>
      </c>
      <c r="N41" s="14">
        <f>IF('Données projet'!$A$36&gt;35,N40+M41-V40,IF(A41&lt;'Données projet'!$A$36,$K$205^A41,IF(A41='Données projet'!$A$36,'Données projet'!$B$36,N40+M41-V40)))</f>
        <v>287.74</v>
      </c>
      <c r="O41" s="14">
        <f>N41*VLOOKUP('Données projet'!$B$9,Paramètres!$A$1:$I$89,3,0)*VLOOKUP('Données projet'!$B$9,Paramètres!$A$1:$I$89,5,0)</f>
        <v>134.66231999999999</v>
      </c>
      <c r="P41" s="14">
        <f t="shared" si="33"/>
        <v>35.071465364931534</v>
      </c>
      <c r="Q41" s="22">
        <f t="shared" si="53"/>
        <v>295.61967617725571</v>
      </c>
      <c r="R41" s="62">
        <f t="shared" si="0"/>
        <v>588.95300951058903</v>
      </c>
      <c r="S41" s="62">
        <f ca="1">AVERAGE(OFFSET($R$3,0,0,'Données projet'!$E$9+1,1))-AVERAGE(OFFSET($H$3,0,0,'Données projet'!$E$9+1,1))</f>
        <v>309.95417097673084</v>
      </c>
      <c r="T41" s="62">
        <f t="shared" si="34"/>
        <v>170.83243426024433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5.3755689095221486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5.3755689095221486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4.4491666666666658</v>
      </c>
      <c r="AI41" s="14">
        <f>IF('Données projet'!$A$62&gt;35,AI40+AH41-AQ40,IF(A41&lt;'Données projet'!$A$62,$AF$205^A41,IF(A41='Données projet'!$A$62,'Données projet'!$B$62,AI40+AH41-AQ40)))</f>
        <v>142.62916666666661</v>
      </c>
      <c r="AJ41" s="14">
        <f>AI41*VLOOKUP('Données projet'!$B$10,Paramètres!$A$1:$I$89,3,0)*VLOOKUP('Données projet'!$B$10,Paramètres!$A$1:$I$89,5,0)</f>
        <v>144.62597499999995</v>
      </c>
      <c r="AK41" s="14">
        <f t="shared" si="35"/>
        <v>37.354738057427568</v>
      </c>
      <c r="AL41" s="22">
        <f t="shared" si="4"/>
        <v>316.94974190835291</v>
      </c>
      <c r="AM41" s="62">
        <f t="shared" si="5"/>
        <v>610.28307524168622</v>
      </c>
      <c r="AN41" s="62">
        <f ca="1">AVERAGE(OFFSET($AM$3,0,0,'Données projet'!$E$10+1,1))-AVERAGE(OFFSET($H$3,0,0,'Données projet'!$E$10+1,1))</f>
        <v>408.65944152905672</v>
      </c>
      <c r="AO41" s="62">
        <f t="shared" si="36"/>
        <v>248.55239719988651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10.4</v>
      </c>
      <c r="BD41" s="13">
        <f>IF('Données projet'!$A$88&gt;35,BD40+BC41-BL40,IF(A41&lt;'Données projet'!$A$88,$BA$205^A41,IF(A41='Données projet'!$A$88,'Données projet'!$B$88,BD40+BC41-BL40)))</f>
        <v>333.31999999999977</v>
      </c>
      <c r="BE41" s="14">
        <f>BD41*VLOOKUP('Données projet'!$B$11,Paramètres!$A$1:$I$89,3,0)*VLOOKUP('Données projet'!$B$11,Paramètres!$A$1:$I$89,5,0)</f>
        <v>322.38710399999979</v>
      </c>
      <c r="BF41" s="14">
        <f t="shared" si="37"/>
        <v>75.849822032854149</v>
      </c>
      <c r="BG41" s="22">
        <f t="shared" si="7"/>
        <v>693.5959795072207</v>
      </c>
      <c r="BH41" s="62">
        <f t="shared" si="8"/>
        <v>986.92931284055408</v>
      </c>
      <c r="BI41" s="62">
        <f ca="1">AVERAGE(OFFSET($BH$3,0,0,'Données projet'!$E$11+1,1))-AVERAGE(OFFSET($H$3,0,0,'Données projet'!$E$11+1,1))</f>
        <v>643.38601112255424</v>
      </c>
      <c r="BJ41" s="62">
        <f t="shared" si="38"/>
        <v>572.76381622085694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13.040000000000001</v>
      </c>
      <c r="BY41" s="13">
        <f>IF('Données projet'!$A$114&gt;35,BY40+BX41-CG40,IF(A41&lt;'Données projet'!$A$114,$BV$205^A41,IF(A41='Données projet'!$A$114,'Données projet'!$B$114,BY40+BX41-CG40)))</f>
        <v>417.93000000000023</v>
      </c>
      <c r="BZ41" s="14">
        <f>BY41*VLOOKUP('Données projet'!$B$12,Paramètres!$A$1:$I$89,3,0)*VLOOKUP('Données projet'!$B$12,Paramètres!$A$1:$I$89,5,0)</f>
        <v>280.34744400000017</v>
      </c>
      <c r="CA41" s="14">
        <f t="shared" si="39"/>
        <v>67.040428485935465</v>
      </c>
      <c r="CB41" s="22">
        <f t="shared" si="10"/>
        <v>605.03387791300463</v>
      </c>
      <c r="CC41" s="62">
        <f t="shared" si="11"/>
        <v>898.367211246338</v>
      </c>
      <c r="CD41" s="62">
        <f ca="1">AVERAGE(OFFSET($CC$3,0,0,'Données projet'!$E$12+1,1))-AVERAGE(OFFSET($H$3,0,0,'Données projet'!$E$12+1,1))</f>
        <v>323.41415875740768</v>
      </c>
      <c r="CE41" s="62">
        <f t="shared" si="40"/>
        <v>496.54020068152101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10.4</v>
      </c>
      <c r="CT41" s="13">
        <f>IF('Données projet'!$A$140&gt;35,CT40+CS41-DB40,IF(A41&lt;'Données projet'!$A$140,$CQ$205^A41,IF(A41='Données projet'!$A$140,'Données projet'!$B$140,CT40+CS41-DB40)))</f>
        <v>333.31999999999977</v>
      </c>
      <c r="CU41" s="18">
        <f>CT41*VLOOKUP('Données projet'!$B$13,Paramètres!$A$1:$I$89,3,0)*VLOOKUP('Données projet'!$B$13,Paramètres!$A$1:$I$89,5,0)</f>
        <v>358.7856479999997</v>
      </c>
      <c r="CV41" s="14">
        <f t="shared" si="41"/>
        <v>83.3689488694734</v>
      </c>
      <c r="CW41" s="22">
        <f t="shared" si="13"/>
        <v>770.08592288099896</v>
      </c>
      <c r="CX41" s="62">
        <f t="shared" si="14"/>
        <v>1063.4192562143323</v>
      </c>
      <c r="CY41" s="62">
        <f ca="1">AVERAGE(OFFSET($CX$3,0,0,'Données projet'!$E$13+1,1))-AVERAGE(OFFSET($H$3,0,0,'Données projet'!$E$13+1,1))</f>
        <v>720.47588458554264</v>
      </c>
      <c r="CZ41" s="62">
        <f t="shared" si="42"/>
        <v>638.59686934821627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17.599999999999994</v>
      </c>
      <c r="N42" s="14">
        <f>IF('Données projet'!$A$36&gt;35,N41+M42-V41,IF(A42&lt;'Données projet'!$A$36,$K$205^A42,IF(A42='Données projet'!$A$36,'Données projet'!$B$36,N41+M42-V41)))</f>
        <v>305.34000000000003</v>
      </c>
      <c r="O42" s="14">
        <f>N42*VLOOKUP('Données projet'!$B$9,Paramètres!$A$1:$I$89,3,0)*VLOOKUP('Données projet'!$B$9,Paramètres!$A$1:$I$89,5,0)</f>
        <v>142.89912000000001</v>
      </c>
      <c r="P42" s="14">
        <f t="shared" si="33"/>
        <v>36.960358843257275</v>
      </c>
      <c r="Q42" s="22">
        <f t="shared" si="53"/>
        <v>313.25525898533971</v>
      </c>
      <c r="R42" s="62">
        <f t="shared" si="0"/>
        <v>606.58859231867302</v>
      </c>
      <c r="S42" s="62">
        <f ca="1">AVERAGE(OFFSET($R$3,0,0,'Données projet'!$E$9+1,1))-AVERAGE(OFFSET($H$3,0,0,'Données projet'!$E$9+1,1))</f>
        <v>309.95417097673084</v>
      </c>
      <c r="T42" s="62">
        <f t="shared" si="34"/>
        <v>170.83243426024433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5.2285736950023827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5.2285736950023827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4.4491666666666658</v>
      </c>
      <c r="AI42" s="14">
        <f>IF('Données projet'!$A$62&gt;35,AI41+AH42-AQ41,IF(A42&lt;'Données projet'!$A$62,$AF$205^A42,IF(A42='Données projet'!$A$62,'Données projet'!$B$62,AI41+AH42-AQ41)))</f>
        <v>147.07833333333326</v>
      </c>
      <c r="AJ42" s="14">
        <f>AI42*VLOOKUP('Données projet'!$B$10,Paramètres!$A$1:$I$89,3,0)*VLOOKUP('Données projet'!$B$10,Paramètres!$A$1:$I$89,5,0)</f>
        <v>149.13742999999994</v>
      </c>
      <c r="AK42" s="14">
        <f t="shared" si="35"/>
        <v>38.382497748192002</v>
      </c>
      <c r="AL42" s="22">
        <f t="shared" si="4"/>
        <v>326.59720749476764</v>
      </c>
      <c r="AM42" s="62">
        <f t="shared" si="5"/>
        <v>619.9305408281009</v>
      </c>
      <c r="AN42" s="62">
        <f ca="1">AVERAGE(OFFSET($AM$3,0,0,'Données projet'!$E$10+1,1))-AVERAGE(OFFSET($H$3,0,0,'Données projet'!$E$10+1,1))</f>
        <v>408.65944152905672</v>
      </c>
      <c r="AO42" s="62">
        <f t="shared" si="36"/>
        <v>248.55239719988651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10.4</v>
      </c>
      <c r="BD42" s="13">
        <f>IF('Données projet'!$A$88&gt;35,BD41+BC42-BL41,IF(A42&lt;'Données projet'!$A$88,$BA$205^A42,IF(A42='Données projet'!$A$88,'Données projet'!$B$88,BD41+BC42-BL41)))</f>
        <v>343.71999999999974</v>
      </c>
      <c r="BE42" s="14">
        <f>BD42*VLOOKUP('Données projet'!$B$11,Paramètres!$A$1:$I$89,3,0)*VLOOKUP('Données projet'!$B$11,Paramètres!$A$1:$I$89,5,0)</f>
        <v>332.44598399999978</v>
      </c>
      <c r="BF42" s="14">
        <f t="shared" si="37"/>
        <v>77.937203900844608</v>
      </c>
      <c r="BG42" s="22">
        <f t="shared" si="7"/>
        <v>714.75071892730386</v>
      </c>
      <c r="BH42" s="62">
        <f t="shared" si="8"/>
        <v>1008.0840522606372</v>
      </c>
      <c r="BI42" s="62">
        <f ca="1">AVERAGE(OFFSET($BH$3,0,0,'Données projet'!$E$11+1,1))-AVERAGE(OFFSET($H$3,0,0,'Données projet'!$E$11+1,1))</f>
        <v>643.38601112255424</v>
      </c>
      <c r="BJ42" s="62">
        <f t="shared" si="38"/>
        <v>572.76381622085694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13.040000000000001</v>
      </c>
      <c r="BY42" s="13">
        <f>IF('Données projet'!$A$114&gt;35,BY41+BX42-CG41,IF(A42&lt;'Données projet'!$A$114,$BV$205^A42,IF(A42='Données projet'!$A$114,'Données projet'!$B$114,BY41+BX42-CG41)))</f>
        <v>430.97000000000025</v>
      </c>
      <c r="BZ42" s="14">
        <f>BY42*VLOOKUP('Données projet'!$B$12,Paramètres!$A$1:$I$89,3,0)*VLOOKUP('Données projet'!$B$12,Paramètres!$A$1:$I$89,5,0)</f>
        <v>289.09467600000016</v>
      </c>
      <c r="CA42" s="14">
        <f t="shared" si="39"/>
        <v>68.885385264729209</v>
      </c>
      <c r="CB42" s="22">
        <f t="shared" si="10"/>
        <v>623.48194003607034</v>
      </c>
      <c r="CC42" s="62">
        <f t="shared" si="11"/>
        <v>916.81527336940371</v>
      </c>
      <c r="CD42" s="62">
        <f ca="1">AVERAGE(OFFSET($CC$3,0,0,'Données projet'!$E$12+1,1))-AVERAGE(OFFSET($H$3,0,0,'Données projet'!$E$12+1,1))</f>
        <v>323.41415875740768</v>
      </c>
      <c r="CE42" s="62">
        <f t="shared" si="40"/>
        <v>496.54020068152101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10.4</v>
      </c>
      <c r="CT42" s="13">
        <f>IF('Données projet'!$A$140&gt;35,CT41+CS42-DB41,IF(A42&lt;'Données projet'!$A$140,$CQ$205^A42,IF(A42='Données projet'!$A$140,'Données projet'!$B$140,CT41+CS42-DB41)))</f>
        <v>343.71999999999974</v>
      </c>
      <c r="CU42" s="18">
        <f>CT42*VLOOKUP('Données projet'!$B$13,Paramètres!$A$1:$I$89,3,0)*VLOOKUP('Données projet'!$B$13,Paramètres!$A$1:$I$89,5,0)</f>
        <v>369.98020799999972</v>
      </c>
      <c r="CV42" s="14">
        <f t="shared" si="41"/>
        <v>85.663256589116898</v>
      </c>
      <c r="CW42" s="22">
        <f t="shared" si="13"/>
        <v>793.57903415937801</v>
      </c>
      <c r="CX42" s="62">
        <f t="shared" si="14"/>
        <v>1086.9123674927114</v>
      </c>
      <c r="CY42" s="62">
        <f ca="1">AVERAGE(OFFSET($CX$3,0,0,'Données projet'!$E$13+1,1))-AVERAGE(OFFSET($H$3,0,0,'Données projet'!$E$13+1,1))</f>
        <v>720.47588458554264</v>
      </c>
      <c r="CZ42" s="62">
        <f t="shared" si="42"/>
        <v>638.59686934821627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17.599999999999994</v>
      </c>
      <c r="N43" s="14">
        <f>IF('Données projet'!$A$36&gt;35,N42+M43-V42,IF(A43&lt;'Données projet'!$A$36,$K$205^A43,IF(A43='Données projet'!$A$36,'Données projet'!$B$36,N42+M43-V42)))</f>
        <v>322.94000000000005</v>
      </c>
      <c r="O43" s="14">
        <f>N43*VLOOKUP('Données projet'!$B$9,Paramètres!$A$1:$I$89,3,0)*VLOOKUP('Données projet'!$B$9,Paramètres!$A$1:$I$89,5,0)</f>
        <v>151.13592000000003</v>
      </c>
      <c r="P43" s="14">
        <f t="shared" si="33"/>
        <v>38.836614063616679</v>
      </c>
      <c r="Q43" s="22">
        <f t="shared" si="53"/>
        <v>330.86883016079906</v>
      </c>
      <c r="R43" s="62">
        <f t="shared" si="0"/>
        <v>624.20216349413238</v>
      </c>
      <c r="S43" s="62">
        <f ca="1">AVERAGE(OFFSET($R$3,0,0,'Données projet'!$E$9+1,1))-AVERAGE(OFFSET($H$3,0,0,'Données projet'!$E$9+1,1))</f>
        <v>309.95417097673084</v>
      </c>
      <c r="T43" s="62">
        <f t="shared" si="34"/>
        <v>170.83243426024433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5.0855980723538021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5.0855980723538021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4.4491666666666658</v>
      </c>
      <c r="AI43" s="14">
        <f>IF('Données projet'!$A$62&gt;35,AI42+AH43-AQ42,IF(A43&lt;'Données projet'!$A$62,$AF$205^A43,IF(A43='Données projet'!$A$62,'Données projet'!$B$62,AI42+AH43-AQ42)))</f>
        <v>151.52749999999992</v>
      </c>
      <c r="AJ43" s="14">
        <f>AI43*VLOOKUP('Données projet'!$B$10,Paramètres!$A$1:$I$89,3,0)*VLOOKUP('Données projet'!$B$10,Paramètres!$A$1:$I$89,5,0)</f>
        <v>153.64888499999992</v>
      </c>
      <c r="AK43" s="14">
        <f t="shared" si="35"/>
        <v>39.406644337611432</v>
      </c>
      <c r="AL43" s="22">
        <f t="shared" si="4"/>
        <v>336.23838026300643</v>
      </c>
      <c r="AM43" s="62">
        <f t="shared" si="5"/>
        <v>629.57171359633981</v>
      </c>
      <c r="AN43" s="62">
        <f ca="1">AVERAGE(OFFSET($AM$3,0,0,'Données projet'!$E$10+1,1))-AVERAGE(OFFSET($H$3,0,0,'Données projet'!$E$10+1,1))</f>
        <v>408.65944152905672</v>
      </c>
      <c r="AO43" s="62">
        <f t="shared" si="36"/>
        <v>248.55239719988651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10.4</v>
      </c>
      <c r="BD43" s="13">
        <f>IF('Données projet'!$A$88&gt;35,BD42+BC43-BL42,IF(A43&lt;'Données projet'!$A$88,$BA$205^A43,IF(A43='Données projet'!$A$88,'Données projet'!$B$88,BD42+BC43-BL42)))</f>
        <v>354.11999999999972</v>
      </c>
      <c r="BE43" s="14">
        <f>BD43*VLOOKUP('Données projet'!$B$11,Paramètres!$A$1:$I$89,3,0)*VLOOKUP('Données projet'!$B$11,Paramètres!$A$1:$I$89,5,0)</f>
        <v>342.50486399999971</v>
      </c>
      <c r="BF43" s="14">
        <f t="shared" si="37"/>
        <v>80.017245890026615</v>
      </c>
      <c r="BG43" s="22">
        <f t="shared" si="7"/>
        <v>735.89267472512904</v>
      </c>
      <c r="BH43" s="62">
        <f t="shared" si="8"/>
        <v>1029.2260080584624</v>
      </c>
      <c r="BI43" s="62">
        <f ca="1">AVERAGE(OFFSET($BH$3,0,0,'Données projet'!$E$11+1,1))-AVERAGE(OFFSET($H$3,0,0,'Données projet'!$E$11+1,1))</f>
        <v>643.38601112255424</v>
      </c>
      <c r="BJ43" s="62">
        <f t="shared" si="38"/>
        <v>572.76381622085694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13.040000000000001</v>
      </c>
      <c r="BY43" s="13">
        <f>IF('Données projet'!$A$114&gt;35,BY42+BX43-CG42,IF(A43&lt;'Données projet'!$A$114,$BV$205^A43,IF(A43='Données projet'!$A$114,'Données projet'!$B$114,BY42+BX43-CG42)))</f>
        <v>444.01000000000028</v>
      </c>
      <c r="BZ43" s="14">
        <f>BY43*VLOOKUP('Données projet'!$B$12,Paramètres!$A$1:$I$89,3,0)*VLOOKUP('Données projet'!$B$12,Paramètres!$A$1:$I$89,5,0)</f>
        <v>297.84190800000016</v>
      </c>
      <c r="CA43" s="14">
        <f t="shared" si="39"/>
        <v>70.723854576076903</v>
      </c>
      <c r="CB43" s="22">
        <f t="shared" si="10"/>
        <v>641.91870315333426</v>
      </c>
      <c r="CC43" s="62">
        <f t="shared" si="11"/>
        <v>935.25203648666752</v>
      </c>
      <c r="CD43" s="62">
        <f ca="1">AVERAGE(OFFSET($CC$3,0,0,'Données projet'!$E$12+1,1))-AVERAGE(OFFSET($H$3,0,0,'Données projet'!$E$12+1,1))</f>
        <v>323.41415875740768</v>
      </c>
      <c r="CE43" s="62">
        <f t="shared" si="40"/>
        <v>496.54020068152101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10.4</v>
      </c>
      <c r="CT43" s="13">
        <f>IF('Données projet'!$A$140&gt;35,CT42+CS43-DB42,IF(A43&lt;'Données projet'!$A$140,$CQ$205^A43,IF(A43='Données projet'!$A$140,'Données projet'!$B$140,CT42+CS43-DB42)))</f>
        <v>354.11999999999972</v>
      </c>
      <c r="CU43" s="18">
        <f>CT43*VLOOKUP('Données projet'!$B$13,Paramètres!$A$1:$I$89,3,0)*VLOOKUP('Données projet'!$B$13,Paramètres!$A$1:$I$89,5,0)</f>
        <v>381.17476799999969</v>
      </c>
      <c r="CV43" s="14">
        <f t="shared" si="41"/>
        <v>87.949496814800739</v>
      </c>
      <c r="CW43" s="22">
        <f t="shared" si="13"/>
        <v>817.058094552444</v>
      </c>
      <c r="CX43" s="62">
        <f t="shared" si="14"/>
        <v>1110.3914278857774</v>
      </c>
      <c r="CY43" s="62">
        <f ca="1">AVERAGE(OFFSET($CX$3,0,0,'Données projet'!$E$13+1,1))-AVERAGE(OFFSET($H$3,0,0,'Données projet'!$E$13+1,1))</f>
        <v>720.47588458554264</v>
      </c>
      <c r="CZ43" s="62">
        <f t="shared" si="42"/>
        <v>638.59686934821627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17.599999999999994</v>
      </c>
      <c r="N44" s="14">
        <f>IF('Données projet'!$A$36&gt;35,N43+M44-V43,IF(A44&lt;'Données projet'!$A$36,$K$205^A44,IF(A44='Données projet'!$A$36,'Données projet'!$B$36,N43+M44-V43)))</f>
        <v>340.54000000000008</v>
      </c>
      <c r="O44" s="14">
        <f>N44*VLOOKUP('Données projet'!$B$9,Paramètres!$A$1:$I$89,3,0)*VLOOKUP('Données projet'!$B$9,Paramètres!$A$1:$I$89,5,0)</f>
        <v>159.37272000000004</v>
      </c>
      <c r="P44" s="14">
        <f t="shared" si="33"/>
        <v>40.700998321535856</v>
      </c>
      <c r="Q44" s="22">
        <f t="shared" si="53"/>
        <v>348.46172607667501</v>
      </c>
      <c r="R44" s="62">
        <f t="shared" si="0"/>
        <v>641.79505941000832</v>
      </c>
      <c r="S44" s="62">
        <f ca="1">AVERAGE(OFFSET($R$3,0,0,'Données projet'!$E$9+1,1))-AVERAGE(OFFSET($H$3,0,0,'Données projet'!$E$9+1,1))</f>
        <v>309.95417097673084</v>
      </c>
      <c r="T44" s="62">
        <f t="shared" si="34"/>
        <v>170.83243426024433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4.9465321256253079</v>
      </c>
      <c r="AB44" s="23">
        <f>EXP(-LN(2)/2)*AB43+(1-EXP(-LN(2)/2))/(LN(2)/2)*V44*Y44*VLOOKUP('Données projet'!$B$9,Paramètres!$A$1:$I$89,3,0)*0.475*44/12</f>
        <v>0</v>
      </c>
      <c r="AC44" s="24">
        <f t="shared" si="3"/>
        <v>4.9465321256253079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4.4491666666666658</v>
      </c>
      <c r="AI44" s="14">
        <f>IF('Données projet'!$A$62&gt;35,AI43+AH44-AQ43,IF(A44&lt;'Données projet'!$A$62,$AF$205^A44,IF(A44='Données projet'!$A$62,'Données projet'!$B$62,AI43+AH44-AQ43)))</f>
        <v>155.97666666666657</v>
      </c>
      <c r="AJ44" s="14">
        <f>AI44*VLOOKUP('Données projet'!$B$10,Paramètres!$A$1:$I$89,3,0)*VLOOKUP('Données projet'!$B$10,Paramètres!$A$1:$I$89,5,0)</f>
        <v>158.16033999999991</v>
      </c>
      <c r="AK44" s="14">
        <f t="shared" si="35"/>
        <v>40.427296094915953</v>
      </c>
      <c r="AL44" s="22">
        <f t="shared" si="4"/>
        <v>345.87346619864508</v>
      </c>
      <c r="AM44" s="62">
        <f t="shared" si="5"/>
        <v>639.20679953197839</v>
      </c>
      <c r="AN44" s="62">
        <f ca="1">AVERAGE(OFFSET($AM$3,0,0,'Données projet'!$E$10+1,1))-AVERAGE(OFFSET($H$3,0,0,'Données projet'!$E$10+1,1))</f>
        <v>408.65944152905672</v>
      </c>
      <c r="AO44" s="62">
        <f t="shared" si="36"/>
        <v>248.55239719988651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10.4</v>
      </c>
      <c r="BD44" s="13">
        <f>IF('Données projet'!$A$88&gt;35,BD43+BC44-BL43,IF(A44&lt;'Données projet'!$A$88,$BA$205^A44,IF(A44='Données projet'!$A$88,'Données projet'!$B$88,BD43+BC44-BL43)))</f>
        <v>364.5199999999997</v>
      </c>
      <c r="BE44" s="14">
        <f>BD44*VLOOKUP('Données projet'!$B$11,Paramètres!$A$1:$I$89,3,0)*VLOOKUP('Données projet'!$B$11,Paramètres!$A$1:$I$89,5,0)</f>
        <v>352.56374399999976</v>
      </c>
      <c r="BF44" s="14">
        <f t="shared" si="37"/>
        <v>82.090188312741859</v>
      </c>
      <c r="BG44" s="22">
        <f t="shared" si="7"/>
        <v>757.02226544469158</v>
      </c>
      <c r="BH44" s="62">
        <f t="shared" si="8"/>
        <v>1050.3555987780248</v>
      </c>
      <c r="BI44" s="62">
        <f ca="1">AVERAGE(OFFSET($BH$3,0,0,'Données projet'!$E$11+1,1))-AVERAGE(OFFSET($H$3,0,0,'Données projet'!$E$11+1,1))</f>
        <v>643.38601112255424</v>
      </c>
      <c r="BJ44" s="62">
        <f t="shared" si="38"/>
        <v>572.76381622085694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13.040000000000001</v>
      </c>
      <c r="BY44" s="13">
        <f>IF('Données projet'!$A$114&gt;35,BY43+BX44-CG43,IF(A44&lt;'Données projet'!$A$114,$BV$205^A44,IF(A44='Données projet'!$A$114,'Données projet'!$B$114,BY43+BX44-CG43)))</f>
        <v>457.0500000000003</v>
      </c>
      <c r="BZ44" s="14">
        <f>BY44*VLOOKUP('Données projet'!$B$12,Paramètres!$A$1:$I$89,3,0)*VLOOKUP('Données projet'!$B$12,Paramètres!$A$1:$I$89,5,0)</f>
        <v>306.58914000000021</v>
      </c>
      <c r="CA44" s="14">
        <f t="shared" si="39"/>
        <v>72.556048824781087</v>
      </c>
      <c r="CB44" s="22">
        <f t="shared" si="10"/>
        <v>660.34453720316071</v>
      </c>
      <c r="CC44" s="62">
        <f t="shared" si="11"/>
        <v>953.67787053649408</v>
      </c>
      <c r="CD44" s="62">
        <f ca="1">AVERAGE(OFFSET($CC$3,0,0,'Données projet'!$E$12+1,1))-AVERAGE(OFFSET($H$3,0,0,'Données projet'!$E$12+1,1))</f>
        <v>323.41415875740768</v>
      </c>
      <c r="CE44" s="62">
        <f t="shared" si="40"/>
        <v>496.54020068152101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10.4</v>
      </c>
      <c r="CT44" s="13">
        <f>IF('Données projet'!$A$140&gt;35,CT43+CS44-DB43,IF(A44&lt;'Données projet'!$A$140,$CQ$205^A44,IF(A44='Données projet'!$A$140,'Données projet'!$B$140,CT43+CS44-DB43)))</f>
        <v>364.5199999999997</v>
      </c>
      <c r="CU44" s="18">
        <f>CT44*VLOOKUP('Données projet'!$B$13,Paramètres!$A$1:$I$89,3,0)*VLOOKUP('Données projet'!$B$13,Paramètres!$A$1:$I$89,5,0)</f>
        <v>392.36932799999965</v>
      </c>
      <c r="CV44" s="14">
        <f t="shared" si="41"/>
        <v>90.227933681453564</v>
      </c>
      <c r="CW44" s="22">
        <f t="shared" si="13"/>
        <v>840.52356409519768</v>
      </c>
      <c r="CX44" s="62">
        <f t="shared" si="14"/>
        <v>1133.8568974285311</v>
      </c>
      <c r="CY44" s="62">
        <f ca="1">AVERAGE(OFFSET($CX$3,0,0,'Données projet'!$E$13+1,1))-AVERAGE(OFFSET($H$3,0,0,'Données projet'!$E$13+1,1))</f>
        <v>720.47588458554264</v>
      </c>
      <c r="CZ44" s="62">
        <f t="shared" si="42"/>
        <v>638.59686934821627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17.599999999999994</v>
      </c>
      <c r="N45" s="14">
        <f>IF('Données projet'!$A$36&gt;35,N44+M45-V44,IF(A45&lt;'Données projet'!$A$36,$K$205^A45,IF(A45='Données projet'!$A$36,'Données projet'!$B$36,N44+M45-V44)))</f>
        <v>358.1400000000001</v>
      </c>
      <c r="O45" s="14">
        <f>N45*VLOOKUP('Données projet'!$B$9,Paramètres!$A$1:$I$89,3,0)*VLOOKUP('Données projet'!$B$9,Paramètres!$A$1:$I$89,5,0)</f>
        <v>167.60952000000003</v>
      </c>
      <c r="P45" s="14">
        <f t="shared" si="33"/>
        <v>42.554195121147814</v>
      </c>
      <c r="Q45" s="22">
        <f t="shared" si="53"/>
        <v>366.03513716933247</v>
      </c>
      <c r="R45" s="62">
        <f t="shared" si="0"/>
        <v>659.36847050266579</v>
      </c>
      <c r="S45" s="62">
        <f ca="1">AVERAGE(OFFSET($R$3,0,0,'Données projet'!$E$9+1,1))-AVERAGE(OFFSET($H$3,0,0,'Données projet'!$E$9+1,1))</f>
        <v>309.95417097673084</v>
      </c>
      <c r="T45" s="62">
        <f t="shared" si="34"/>
        <v>170.83243426024433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4.811268944523265</v>
      </c>
      <c r="AB45" s="23">
        <f>EXP(-LN(2)/2)*AB44+(1-EXP(-LN(2)/2))/(LN(2)/2)*V45*Y45*VLOOKUP('Données projet'!$B$9,Paramètres!$A$1:$I$89,3,0)*0.475*44/12</f>
        <v>0</v>
      </c>
      <c r="AC45" s="24">
        <f t="shared" si="3"/>
        <v>4.811268944523265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4.4491666666666658</v>
      </c>
      <c r="AI45" s="14">
        <f>IF('Données projet'!$A$62&gt;35,AI44+AH45-AQ44,IF(A45&lt;'Données projet'!$A$62,$AF$205^A45,IF(A45='Données projet'!$A$62,'Données projet'!$B$62,AI44+AH45-AQ44)))</f>
        <v>160.42583333333323</v>
      </c>
      <c r="AJ45" s="14">
        <f>AI45*VLOOKUP('Données projet'!$B$10,Paramètres!$A$1:$I$89,3,0)*VLOOKUP('Données projet'!$B$10,Paramètres!$A$1:$I$89,5,0)</f>
        <v>162.67179499999989</v>
      </c>
      <c r="AK45" s="14">
        <f t="shared" si="35"/>
        <v>41.444564158408596</v>
      </c>
      <c r="AL45" s="22">
        <f t="shared" si="4"/>
        <v>355.50265886756142</v>
      </c>
      <c r="AM45" s="62">
        <f t="shared" si="5"/>
        <v>648.83599220089468</v>
      </c>
      <c r="AN45" s="62">
        <f ca="1">AVERAGE(OFFSET($AM$3,0,0,'Données projet'!$E$10+1,1))-AVERAGE(OFFSET($H$3,0,0,'Données projet'!$E$10+1,1))</f>
        <v>408.65944152905672</v>
      </c>
      <c r="AO45" s="62">
        <f t="shared" si="36"/>
        <v>248.55239719988651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10.4</v>
      </c>
      <c r="BD45" s="13">
        <f>IF('Données projet'!$A$88&gt;35,BD44+BC45-BL44,IF(A45&lt;'Données projet'!$A$88,$BA$205^A45,IF(A45='Données projet'!$A$88,'Données projet'!$B$88,BD44+BC45-BL44)))</f>
        <v>374.91999999999967</v>
      </c>
      <c r="BE45" s="14">
        <f>BD45*VLOOKUP('Données projet'!$B$11,Paramètres!$A$1:$I$89,3,0)*VLOOKUP('Données projet'!$B$11,Paramètres!$A$1:$I$89,5,0)</f>
        <v>362.62262399999969</v>
      </c>
      <c r="BF45" s="14">
        <f t="shared" si="37"/>
        <v>84.156256988836688</v>
      </c>
      <c r="BG45" s="22">
        <f t="shared" si="7"/>
        <v>778.13988438888998</v>
      </c>
      <c r="BH45" s="62">
        <f t="shared" si="8"/>
        <v>1071.4732177222234</v>
      </c>
      <c r="BI45" s="62">
        <f ca="1">AVERAGE(OFFSET($BH$3,0,0,'Données projet'!$E$11+1,1))-AVERAGE(OFFSET($H$3,0,0,'Données projet'!$E$11+1,1))</f>
        <v>643.38601112255424</v>
      </c>
      <c r="BJ45" s="62">
        <f t="shared" si="38"/>
        <v>572.76381622085694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13.040000000000001</v>
      </c>
      <c r="BY45" s="13">
        <f>IF('Données projet'!$A$114&gt;35,BY44+BX45-CG44,IF(A45&lt;'Données projet'!$A$114,$BV$205^A45,IF(A45='Données projet'!$A$114,'Données projet'!$B$114,BY44+BX45-CG44)))</f>
        <v>470.09000000000032</v>
      </c>
      <c r="BZ45" s="14">
        <f>BY45*VLOOKUP('Données projet'!$B$12,Paramètres!$A$1:$I$89,3,0)*VLOOKUP('Données projet'!$B$12,Paramètres!$A$1:$I$89,5,0)</f>
        <v>315.33637200000021</v>
      </c>
      <c r="CA45" s="14">
        <f t="shared" si="39"/>
        <v>74.382167606110286</v>
      </c>
      <c r="CB45" s="22">
        <f t="shared" si="10"/>
        <v>678.75978981397577</v>
      </c>
      <c r="CC45" s="62">
        <f t="shared" si="11"/>
        <v>972.09312314730914</v>
      </c>
      <c r="CD45" s="62">
        <f ca="1">AVERAGE(OFFSET($CC$3,0,0,'Données projet'!$E$12+1,1))-AVERAGE(OFFSET($H$3,0,0,'Données projet'!$E$12+1,1))</f>
        <v>323.41415875740768</v>
      </c>
      <c r="CE45" s="62">
        <f t="shared" si="40"/>
        <v>496.54020068152101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10.4</v>
      </c>
      <c r="CT45" s="13">
        <f>IF('Données projet'!$A$140&gt;35,CT44+CS45-DB44,IF(A45&lt;'Données projet'!$A$140,$CQ$205^A45,IF(A45='Données projet'!$A$140,'Données projet'!$B$140,CT44+CS45-DB44)))</f>
        <v>374.91999999999967</v>
      </c>
      <c r="CU45" s="18">
        <f>CT45*VLOOKUP('Données projet'!$B$13,Paramètres!$A$1:$I$89,3,0)*VLOOKUP('Données projet'!$B$13,Paramètres!$A$1:$I$89,5,0)</f>
        <v>403.56388799999962</v>
      </c>
      <c r="CV45" s="14">
        <f t="shared" si="41"/>
        <v>92.498815394841998</v>
      </c>
      <c r="CW45" s="22">
        <f t="shared" si="13"/>
        <v>863.97587507934907</v>
      </c>
      <c r="CX45" s="62">
        <f t="shared" si="14"/>
        <v>1157.3092084126824</v>
      </c>
      <c r="CY45" s="62">
        <f ca="1">AVERAGE(OFFSET($CX$3,0,0,'Données projet'!$E$13+1,1))-AVERAGE(OFFSET($H$3,0,0,'Données projet'!$E$13+1,1))</f>
        <v>720.47588458554264</v>
      </c>
      <c r="CZ45" s="62">
        <f t="shared" si="42"/>
        <v>638.59686934821627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17.599999999999994</v>
      </c>
      <c r="N46" s="14">
        <f>IF('Données projet'!$A$36&gt;35,N45+M46-V45,IF(A46&lt;'Données projet'!$A$36,$K$205^A46,IF(A46='Données projet'!$A$36,'Données projet'!$B$36,N45+M46-V45)))</f>
        <v>375.74000000000012</v>
      </c>
      <c r="O46" s="14">
        <f>N46*VLOOKUP('Données projet'!$B$9,Paramètres!$A$1:$I$89,3,0)*VLOOKUP('Données projet'!$B$9,Paramètres!$A$1:$I$89,5,0)</f>
        <v>175.84632000000005</v>
      </c>
      <c r="P46" s="14">
        <f t="shared" si="33"/>
        <v>44.396816992758644</v>
      </c>
      <c r="Q46" s="22">
        <f t="shared" si="53"/>
        <v>383.59013026238807</v>
      </c>
      <c r="R46" s="62">
        <f t="shared" si="0"/>
        <v>676.92346359572139</v>
      </c>
      <c r="S46" s="62">
        <f ca="1">AVERAGE(OFFSET($R$3,0,0,'Données projet'!$E$9+1,1))-AVERAGE(OFFSET($H$3,0,0,'Données projet'!$E$9+1,1))</f>
        <v>309.95417097673084</v>
      </c>
      <c r="T46" s="62">
        <f t="shared" si="34"/>
        <v>170.83243426024433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4.6797045422216392</v>
      </c>
      <c r="AB46" s="23">
        <f>EXP(-LN(2)/2)*AB45+(1-EXP(-LN(2)/2))/(LN(2)/2)*V46*Y46*VLOOKUP('Données projet'!$B$9,Paramètres!$A$1:$I$89,3,0)*0.475*44/12</f>
        <v>0</v>
      </c>
      <c r="AC46" s="24">
        <f t="shared" si="3"/>
        <v>4.6797045422216392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4.4491666666666658</v>
      </c>
      <c r="AI46" s="14">
        <f>IF('Données projet'!$A$62&gt;35,AI45+AH46-AQ45,IF(A46&lt;'Données projet'!$A$62,$AF$205^A46,IF(A46='Données projet'!$A$62,'Données projet'!$B$62,AI45+AH46-AQ45)))</f>
        <v>164.87499999999989</v>
      </c>
      <c r="AJ46" s="14">
        <f>AI46*VLOOKUP('Données projet'!$B$10,Paramètres!$A$1:$I$89,3,0)*VLOOKUP('Données projet'!$B$10,Paramètres!$A$1:$I$89,5,0)</f>
        <v>167.1832499999999</v>
      </c>
      <c r="AK46" s="14">
        <f t="shared" si="35"/>
        <v>42.458553151107232</v>
      </c>
      <c r="AL46" s="22">
        <f t="shared" si="4"/>
        <v>365.12614048817818</v>
      </c>
      <c r="AM46" s="62">
        <f t="shared" si="5"/>
        <v>658.45947382151144</v>
      </c>
      <c r="AN46" s="62">
        <f ca="1">AVERAGE(OFFSET($AM$3,0,0,'Données projet'!$E$10+1,1))-AVERAGE(OFFSET($H$3,0,0,'Données projet'!$E$10+1,1))</f>
        <v>408.65944152905672</v>
      </c>
      <c r="AO46" s="62">
        <f t="shared" si="36"/>
        <v>248.55239719988651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10.4</v>
      </c>
      <c r="BD46" s="13">
        <f>IF('Données projet'!$A$88&gt;35,BD45+BC46-BL45,IF(A46&lt;'Données projet'!$A$88,$BA$205^A46,IF(A46='Données projet'!$A$88,'Données projet'!$B$88,BD45+BC46-BL45)))</f>
        <v>385.31999999999965</v>
      </c>
      <c r="BE46" s="14">
        <f>BD46*VLOOKUP('Données projet'!$B$11,Paramètres!$A$1:$I$89,3,0)*VLOOKUP('Données projet'!$B$11,Paramètres!$A$1:$I$89,5,0)</f>
        <v>372.68150399999968</v>
      </c>
      <c r="BF46" s="14">
        <f t="shared" si="37"/>
        <v>86.215664497118922</v>
      </c>
      <c r="BG46" s="22">
        <f t="shared" si="7"/>
        <v>799.24590179914821</v>
      </c>
      <c r="BH46" s="62">
        <f t="shared" si="8"/>
        <v>1092.5792351324815</v>
      </c>
      <c r="BI46" s="62">
        <f ca="1">AVERAGE(OFFSET($BH$3,0,0,'Données projet'!$E$11+1,1))-AVERAGE(OFFSET($H$3,0,0,'Données projet'!$E$11+1,1))</f>
        <v>643.38601112255424</v>
      </c>
      <c r="BJ46" s="62">
        <f t="shared" si="38"/>
        <v>572.76381622085694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13.040000000000001</v>
      </c>
      <c r="BY46" s="13">
        <f>IF('Données projet'!$A$114&gt;35,BY45+BX46-CG45,IF(A46&lt;'Données projet'!$A$114,$BV$205^A46,IF(A46='Données projet'!$A$114,'Données projet'!$B$114,BY45+BX46-CG45)))</f>
        <v>483.13000000000034</v>
      </c>
      <c r="BZ46" s="14">
        <f>BY46*VLOOKUP('Données projet'!$B$12,Paramètres!$A$1:$I$89,3,0)*VLOOKUP('Données projet'!$B$12,Paramètres!$A$1:$I$89,5,0)</f>
        <v>324.08360400000026</v>
      </c>
      <c r="CA46" s="14">
        <f t="shared" si="39"/>
        <v>76.202398811933506</v>
      </c>
      <c r="CB46" s="22">
        <f t="shared" si="10"/>
        <v>697.16478823078467</v>
      </c>
      <c r="CC46" s="62">
        <f t="shared" si="11"/>
        <v>990.49812156411804</v>
      </c>
      <c r="CD46" s="62">
        <f ca="1">AVERAGE(OFFSET($CC$3,0,0,'Données projet'!$E$12+1,1))-AVERAGE(OFFSET($H$3,0,0,'Données projet'!$E$12+1,1))</f>
        <v>323.41415875740768</v>
      </c>
      <c r="CE46" s="62">
        <f t="shared" si="40"/>
        <v>496.54020068152101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10.4</v>
      </c>
      <c r="CT46" s="13">
        <f>IF('Données projet'!$A$140&gt;35,CT45+CS46-DB45,IF(A46&lt;'Données projet'!$A$140,$CQ$205^A46,IF(A46='Données projet'!$A$140,'Données projet'!$B$140,CT45+CS46-DB45)))</f>
        <v>385.31999999999965</v>
      </c>
      <c r="CU46" s="18">
        <f>CT46*VLOOKUP('Données projet'!$B$13,Paramètres!$A$1:$I$89,3,0)*VLOOKUP('Données projet'!$B$13,Paramètres!$A$1:$I$89,5,0)</f>
        <v>414.75844799999965</v>
      </c>
      <c r="CV46" s="14">
        <f t="shared" si="41"/>
        <v>94.762375607086369</v>
      </c>
      <c r="CW46" s="22">
        <f t="shared" si="13"/>
        <v>887.41543444900799</v>
      </c>
      <c r="CX46" s="62">
        <f t="shared" si="14"/>
        <v>1180.7487677823412</v>
      </c>
      <c r="CY46" s="62">
        <f ca="1">AVERAGE(OFFSET($CX$3,0,0,'Données projet'!$E$13+1,1))-AVERAGE(OFFSET($H$3,0,0,'Données projet'!$E$13+1,1))</f>
        <v>720.47588458554264</v>
      </c>
      <c r="CZ46" s="62">
        <f t="shared" si="42"/>
        <v>638.59686934821627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17.599999999999994</v>
      </c>
      <c r="N47" s="14">
        <f>IF('Données projet'!$A$36&gt;35,N46+M47-V46,IF(A47&lt;'Données projet'!$A$36,$K$205^A47,IF(A47='Données projet'!$A$36,'Données projet'!$B$36,N46+M47-V46)))</f>
        <v>393.34000000000015</v>
      </c>
      <c r="O47" s="14">
        <f>N47*VLOOKUP('Données projet'!$B$9,Paramètres!$A$1:$I$89,3,0)*VLOOKUP('Données projet'!$B$9,Paramètres!$A$1:$I$89,5,0)</f>
        <v>184.08312000000006</v>
      </c>
      <c r="P47" s="14">
        <f t="shared" si="33"/>
        <v>46.229415840884222</v>
      </c>
      <c r="Q47" s="22">
        <f t="shared" si="53"/>
        <v>401.12766658954007</v>
      </c>
      <c r="R47" s="62">
        <f t="shared" si="0"/>
        <v>694.46099992287338</v>
      </c>
      <c r="S47" s="62">
        <f ca="1">AVERAGE(OFFSET($R$3,0,0,'Données projet'!$E$9+1,1))-AVERAGE(OFFSET($H$3,0,0,'Données projet'!$E$9+1,1))</f>
        <v>309.95417097673084</v>
      </c>
      <c r="T47" s="62">
        <f t="shared" si="34"/>
        <v>170.83243426024433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4.551737775419622</v>
      </c>
      <c r="AB47" s="23">
        <f>EXP(-LN(2)/2)*AB46+(1-EXP(-LN(2)/2))/(LN(2)/2)*V47*Y47*VLOOKUP('Données projet'!$B$9,Paramètres!$A$1:$I$89,3,0)*0.475*44/12</f>
        <v>0</v>
      </c>
      <c r="AC47" s="24">
        <f t="shared" si="3"/>
        <v>4.551737775419622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4.4491666666666658</v>
      </c>
      <c r="AI47" s="14">
        <f>IF('Données projet'!$A$62&gt;35,AI46+AH47-AQ46,IF(A47&lt;'Données projet'!$A$62,$AF$205^A47,IF(A47='Données projet'!$A$62,'Données projet'!$B$62,AI46+AH47-AQ46)))</f>
        <v>169.32416666666654</v>
      </c>
      <c r="AJ47" s="14">
        <f>AI47*VLOOKUP('Données projet'!$B$10,Paramètres!$A$1:$I$89,3,0)*VLOOKUP('Données projet'!$B$10,Paramètres!$A$1:$I$89,5,0)</f>
        <v>171.69470499999989</v>
      </c>
      <c r="AK47" s="14">
        <f t="shared" si="35"/>
        <v>43.469361728065394</v>
      </c>
      <c r="AL47" s="22">
        <f t="shared" si="4"/>
        <v>374.74408288471363</v>
      </c>
      <c r="AM47" s="62">
        <f t="shared" si="5"/>
        <v>668.07741621804689</v>
      </c>
      <c r="AN47" s="62">
        <f ca="1">AVERAGE(OFFSET($AM$3,0,0,'Données projet'!$E$10+1,1))-AVERAGE(OFFSET($H$3,0,0,'Données projet'!$E$10+1,1))</f>
        <v>408.65944152905672</v>
      </c>
      <c r="AO47" s="62">
        <f t="shared" si="36"/>
        <v>248.55239719988651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10.4</v>
      </c>
      <c r="BD47" s="13">
        <f>IF('Données projet'!$A$88&gt;35,BD46+BC47-BL46,IF(A47&lt;'Données projet'!$A$88,$BA$205^A47,IF(A47='Données projet'!$A$88,'Données projet'!$B$88,BD46+BC47-BL46)))</f>
        <v>395.71999999999963</v>
      </c>
      <c r="BE47" s="14">
        <f>BD47*VLOOKUP('Données projet'!$B$11,Paramètres!$A$1:$I$89,3,0)*VLOOKUP('Données projet'!$B$11,Paramètres!$A$1:$I$89,5,0)</f>
        <v>382.74038399999966</v>
      </c>
      <c r="BF47" s="14">
        <f t="shared" si="37"/>
        <v>88.268611287904292</v>
      </c>
      <c r="BG47" s="22">
        <f t="shared" si="7"/>
        <v>820.34066679309944</v>
      </c>
      <c r="BH47" s="62">
        <f t="shared" si="8"/>
        <v>1113.6740001264327</v>
      </c>
      <c r="BI47" s="62">
        <f ca="1">AVERAGE(OFFSET($BH$3,0,0,'Données projet'!$E$11+1,1))-AVERAGE(OFFSET($H$3,0,0,'Données projet'!$E$11+1,1))</f>
        <v>643.38601112255424</v>
      </c>
      <c r="BJ47" s="62">
        <f t="shared" si="38"/>
        <v>572.76381622085694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13.040000000000001</v>
      </c>
      <c r="BY47" s="13">
        <f>IF('Données projet'!$A$114&gt;35,BY46+BX47-CG46,IF(A47&lt;'Données projet'!$A$114,$BV$205^A47,IF(A47='Données projet'!$A$114,'Données projet'!$B$114,BY46+BX47-CG46)))</f>
        <v>496.17000000000036</v>
      </c>
      <c r="BZ47" s="14">
        <f>BY47*VLOOKUP('Données projet'!$B$12,Paramètres!$A$1:$I$89,3,0)*VLOOKUP('Données projet'!$B$12,Paramètres!$A$1:$I$89,5,0)</f>
        <v>332.83083600000026</v>
      </c>
      <c r="CA47" s="14">
        <f t="shared" si="39"/>
        <v>78.016919614074737</v>
      </c>
      <c r="CB47" s="22">
        <f t="shared" si="10"/>
        <v>715.55984102784726</v>
      </c>
      <c r="CC47" s="62">
        <f t="shared" si="11"/>
        <v>1008.8931743611806</v>
      </c>
      <c r="CD47" s="62">
        <f ca="1">AVERAGE(OFFSET($CC$3,0,0,'Données projet'!$E$12+1,1))-AVERAGE(OFFSET($H$3,0,0,'Données projet'!$E$12+1,1))</f>
        <v>323.41415875740768</v>
      </c>
      <c r="CE47" s="62">
        <f t="shared" si="40"/>
        <v>496.54020068152101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10.4</v>
      </c>
      <c r="CT47" s="13">
        <f>IF('Données projet'!$A$140&gt;35,CT46+CS47-DB46,IF(A47&lt;'Données projet'!$A$140,$CQ$205^A47,IF(A47='Données projet'!$A$140,'Données projet'!$B$140,CT46+CS47-DB46)))</f>
        <v>395.71999999999963</v>
      </c>
      <c r="CU47" s="18">
        <f>CT47*VLOOKUP('Données projet'!$B$13,Paramètres!$A$1:$I$89,3,0)*VLOOKUP('Données projet'!$B$13,Paramètres!$A$1:$I$89,5,0)</f>
        <v>425.95300799999961</v>
      </c>
      <c r="CV47" s="14">
        <f t="shared" si="41"/>
        <v>97.018834639496589</v>
      </c>
      <c r="CW47" s="22">
        <f t="shared" si="13"/>
        <v>910.84262593045594</v>
      </c>
      <c r="CX47" s="62">
        <f t="shared" si="14"/>
        <v>1204.1759592637893</v>
      </c>
      <c r="CY47" s="62">
        <f ca="1">AVERAGE(OFFSET($CX$3,0,0,'Données projet'!$E$13+1,1))-AVERAGE(OFFSET($H$3,0,0,'Données projet'!$E$13+1,1))</f>
        <v>720.47588458554264</v>
      </c>
      <c r="CZ47" s="62">
        <f t="shared" si="42"/>
        <v>638.59686934821627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17.599999999999994</v>
      </c>
      <c r="N48" s="14">
        <f>IF('Données projet'!$A$36&gt;35,N47+M48-V47,IF(A48&lt;'Données projet'!$A$36,$K$205^A48,IF(A48='Données projet'!$A$36,'Données projet'!$B$36,N47+M48-V47)))</f>
        <v>410.94000000000017</v>
      </c>
      <c r="O48" s="14">
        <f>N48*VLOOKUP('Données projet'!$B$9,Paramètres!$A$1:$I$89,3,0)*VLOOKUP('Données projet'!$B$9,Paramètres!$A$1:$I$89,5,0)</f>
        <v>192.31992000000008</v>
      </c>
      <c r="P48" s="14">
        <f t="shared" si="33"/>
        <v>48.052491387876429</v>
      </c>
      <c r="Q48" s="22">
        <f t="shared" si="53"/>
        <v>418.64861650055155</v>
      </c>
      <c r="R48" s="62">
        <f t="shared" si="0"/>
        <v>711.98194983388487</v>
      </c>
      <c r="S48" s="62">
        <f ca="1">AVERAGE(OFFSET($R$3,0,0,'Données projet'!$E$9+1,1))-AVERAGE(OFFSET($H$3,0,0,'Données projet'!$E$9+1,1))</f>
        <v>309.95417097673084</v>
      </c>
      <c r="T48" s="62">
        <f t="shared" si="34"/>
        <v>170.83243426024433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4.4272702665852863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4.4272702665852863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4.4491666666666658</v>
      </c>
      <c r="AI48" s="14">
        <f>IF('Données projet'!$A$62&gt;35,AI47+AH48-AQ47,IF(A48&lt;'Données projet'!$A$62,$AF$205^A48,IF(A48='Données projet'!$A$62,'Données projet'!$B$62,AI47+AH48-AQ47)))</f>
        <v>173.7733333333332</v>
      </c>
      <c r="AJ48" s="14">
        <f>AI48*VLOOKUP('Données projet'!$B$10,Paramètres!$A$1:$I$89,3,0)*VLOOKUP('Données projet'!$B$10,Paramètres!$A$1:$I$89,5,0)</f>
        <v>176.20615999999987</v>
      </c>
      <c r="AK48" s="14">
        <f t="shared" si="35"/>
        <v>44.477083064549106</v>
      </c>
      <c r="AL48" s="22">
        <f t="shared" si="4"/>
        <v>384.35664833742277</v>
      </c>
      <c r="AM48" s="62">
        <f t="shared" si="5"/>
        <v>677.68998167075608</v>
      </c>
      <c r="AN48" s="62">
        <f ca="1">AVERAGE(OFFSET($AM$3,0,0,'Données projet'!$E$10+1,1))-AVERAGE(OFFSET($H$3,0,0,'Données projet'!$E$10+1,1))</f>
        <v>408.65944152905672</v>
      </c>
      <c r="AO48" s="62">
        <f t="shared" si="36"/>
        <v>248.55239719988651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10.4</v>
      </c>
      <c r="BD48" s="13">
        <f>IF('Données projet'!$A$88&gt;35,BD47+BC48-BL47,IF(A48&lt;'Données projet'!$A$88,$BA$205^A48,IF(A48='Données projet'!$A$88,'Données projet'!$B$88,BD47+BC48-BL47)))</f>
        <v>406.11999999999961</v>
      </c>
      <c r="BE48" s="14">
        <f>BD48*VLOOKUP('Données projet'!$B$11,Paramètres!$A$1:$I$89,3,0)*VLOOKUP('Données projet'!$B$11,Paramètres!$A$1:$I$89,5,0)</f>
        <v>392.7992639999996</v>
      </c>
      <c r="BF48" s="14">
        <f t="shared" si="37"/>
        <v>90.315286675318248</v>
      </c>
      <c r="BG48" s="22">
        <f t="shared" si="7"/>
        <v>841.42450909284526</v>
      </c>
      <c r="BH48" s="62">
        <f t="shared" si="8"/>
        <v>1134.7578424261785</v>
      </c>
      <c r="BI48" s="62">
        <f ca="1">AVERAGE(OFFSET($BH$3,0,0,'Données projet'!$E$11+1,1))-AVERAGE(OFFSET($H$3,0,0,'Données projet'!$E$11+1,1))</f>
        <v>643.38601112255424</v>
      </c>
      <c r="BJ48" s="62">
        <f t="shared" si="38"/>
        <v>572.76381622085694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13.040000000000001</v>
      </c>
      <c r="BY48" s="13">
        <f>IF('Données projet'!$A$114&gt;35,BY47+BX48-CG47,IF(A48&lt;'Données projet'!$A$114,$BV$205^A48,IF(A48='Données projet'!$A$114,'Données projet'!$B$114,BY47+BX48-CG47)))</f>
        <v>509.21000000000038</v>
      </c>
      <c r="BZ48" s="14">
        <f>BY48*VLOOKUP('Données projet'!$B$12,Paramètres!$A$1:$I$89,3,0)*VLOOKUP('Données projet'!$B$12,Paramètres!$A$1:$I$89,5,0)</f>
        <v>341.57806800000026</v>
      </c>
      <c r="CA48" s="14">
        <f t="shared" si="39"/>
        <v>79.825897341384064</v>
      </c>
      <c r="CB48" s="22">
        <f t="shared" si="10"/>
        <v>733.94523963624431</v>
      </c>
      <c r="CC48" s="62">
        <f t="shared" si="11"/>
        <v>1027.2785729695777</v>
      </c>
      <c r="CD48" s="62">
        <f ca="1">AVERAGE(OFFSET($CC$3,0,0,'Données projet'!$E$12+1,1))-AVERAGE(OFFSET($H$3,0,0,'Données projet'!$E$12+1,1))</f>
        <v>323.41415875740768</v>
      </c>
      <c r="CE48" s="62">
        <f t="shared" si="40"/>
        <v>496.54020068152101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10.4</v>
      </c>
      <c r="CT48" s="13">
        <f>IF('Données projet'!$A$140&gt;35,CT47+CS48-DB47,IF(A48&lt;'Données projet'!$A$140,$CQ$205^A48,IF(A48='Données projet'!$A$140,'Données projet'!$B$140,CT47+CS48-DB47)))</f>
        <v>406.11999999999961</v>
      </c>
      <c r="CU48" s="18">
        <f>CT48*VLOOKUP('Données projet'!$B$13,Paramètres!$A$1:$I$89,3,0)*VLOOKUP('Données projet'!$B$13,Paramètres!$A$1:$I$89,5,0)</f>
        <v>437.14756799999958</v>
      </c>
      <c r="CV48" s="14">
        <f t="shared" si="41"/>
        <v>99.268400573241436</v>
      </c>
      <c r="CW48" s="22">
        <f t="shared" si="13"/>
        <v>934.25781193172804</v>
      </c>
      <c r="CX48" s="62">
        <f t="shared" si="14"/>
        <v>1227.5911452650614</v>
      </c>
      <c r="CY48" s="62">
        <f ca="1">AVERAGE(OFFSET($CX$3,0,0,'Données projet'!$E$13+1,1))-AVERAGE(OFFSET($H$3,0,0,'Données projet'!$E$13+1,1))</f>
        <v>720.47588458554264</v>
      </c>
      <c r="CZ48" s="62">
        <f t="shared" si="42"/>
        <v>638.59686934821627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17.599999999999994</v>
      </c>
      <c r="N49" s="14">
        <f>IF('Données projet'!$A$36&gt;35,N48+M49-V48,IF(A49&lt;'Données projet'!$A$36,$K$205^A49,IF(A49='Données projet'!$A$36,'Données projet'!$B$36,N48+M49-V48)))</f>
        <v>428.54000000000019</v>
      </c>
      <c r="O49" s="14">
        <f>N49*VLOOKUP('Données projet'!$B$9,Paramètres!$A$1:$I$89,3,0)*VLOOKUP('Données projet'!$B$9,Paramètres!$A$1:$I$89,5,0)</f>
        <v>200.5567200000001</v>
      </c>
      <c r="P49" s="14">
        <f t="shared" si="33"/>
        <v>49.866498130238455</v>
      </c>
      <c r="Q49" s="22">
        <f t="shared" si="53"/>
        <v>436.15377157683207</v>
      </c>
      <c r="R49" s="62">
        <f t="shared" si="0"/>
        <v>729.48710491016539</v>
      </c>
      <c r="S49" s="62">
        <f ca="1">AVERAGE(OFFSET($R$3,0,0,'Données projet'!$E$9+1,1))-AVERAGE(OFFSET($H$3,0,0,'Données projet'!$E$9+1,1))</f>
        <v>309.95417097673084</v>
      </c>
      <c r="T49" s="62">
        <f t="shared" si="34"/>
        <v>170.83243426024433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4.3062063283254872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4.3062063283254872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4.4491666666666658</v>
      </c>
      <c r="AI49" s="14">
        <f>IF('Données projet'!$A$62&gt;35,AI48+AH49-AQ48,IF(A49&lt;'Données projet'!$A$62,$AF$205^A49,IF(A49='Données projet'!$A$62,'Données projet'!$B$62,AI48+AH49-AQ48)))</f>
        <v>178.22249999999985</v>
      </c>
      <c r="AJ49" s="14">
        <f>AI49*VLOOKUP('Données projet'!$B$10,Paramètres!$A$1:$I$89,3,0)*VLOOKUP('Données projet'!$B$10,Paramètres!$A$1:$I$89,5,0)</f>
        <v>180.71761499999985</v>
      </c>
      <c r="AK49" s="14">
        <f t="shared" si="35"/>
        <v>45.481805292811231</v>
      </c>
      <c r="AL49" s="22">
        <f t="shared" si="4"/>
        <v>393.96399034331262</v>
      </c>
      <c r="AM49" s="62">
        <f t="shared" si="5"/>
        <v>687.29732367664587</v>
      </c>
      <c r="AN49" s="62">
        <f ca="1">AVERAGE(OFFSET($AM$3,0,0,'Données projet'!$E$10+1,1))-AVERAGE(OFFSET($H$3,0,0,'Données projet'!$E$10+1,1))</f>
        <v>408.65944152905672</v>
      </c>
      <c r="AO49" s="62">
        <f t="shared" si="36"/>
        <v>248.55239719988651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10.4</v>
      </c>
      <c r="BD49" s="13">
        <f>IF('Données projet'!$A$88&gt;35,BD48+BC49-BL48,IF(A49&lt;'Données projet'!$A$88,$BA$205^A49,IF(A49='Données projet'!$A$88,'Données projet'!$B$88,BD48+BC49-BL48)))</f>
        <v>416.51999999999958</v>
      </c>
      <c r="BE49" s="14">
        <f>BD49*VLOOKUP('Données projet'!$B$11,Paramètres!$A$1:$I$89,3,0)*VLOOKUP('Données projet'!$B$11,Paramètres!$A$1:$I$89,5,0)</f>
        <v>402.85814399999964</v>
      </c>
      <c r="BF49" s="14">
        <f t="shared" si="37"/>
        <v>92.35586972509131</v>
      </c>
      <c r="BG49" s="22">
        <f t="shared" si="7"/>
        <v>862.4977405712001</v>
      </c>
      <c r="BH49" s="62">
        <f t="shared" si="8"/>
        <v>1155.8310739045335</v>
      </c>
      <c r="BI49" s="62">
        <f ca="1">AVERAGE(OFFSET($BH$3,0,0,'Données projet'!$E$11+1,1))-AVERAGE(OFFSET($H$3,0,0,'Données projet'!$E$11+1,1))</f>
        <v>643.38601112255424</v>
      </c>
      <c r="BJ49" s="62">
        <f t="shared" si="38"/>
        <v>572.76381622085694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13.040000000000001</v>
      </c>
      <c r="BY49" s="13">
        <f>IF('Données projet'!$A$114&gt;35,BY48+BX49-CG48,IF(A49&lt;'Données projet'!$A$114,$BV$205^A49,IF(A49='Données projet'!$A$114,'Données projet'!$B$114,BY48+BX49-CG48)))</f>
        <v>522.25000000000034</v>
      </c>
      <c r="BZ49" s="14">
        <f>BY49*VLOOKUP('Données projet'!$B$12,Paramètres!$A$1:$I$89,3,0)*VLOOKUP('Données projet'!$B$12,Paramètres!$A$1:$I$89,5,0)</f>
        <v>350.32530000000025</v>
      </c>
      <c r="CA49" s="14">
        <f t="shared" si="39"/>
        <v>81.62949026444015</v>
      </c>
      <c r="CB49" s="22">
        <f t="shared" si="10"/>
        <v>752.32125971056701</v>
      </c>
      <c r="CC49" s="62">
        <f t="shared" si="11"/>
        <v>1045.6545930439004</v>
      </c>
      <c r="CD49" s="62">
        <f ca="1">AVERAGE(OFFSET($CC$3,0,0,'Données projet'!$E$12+1,1))-AVERAGE(OFFSET($H$3,0,0,'Données projet'!$E$12+1,1))</f>
        <v>323.41415875740768</v>
      </c>
      <c r="CE49" s="62">
        <f t="shared" si="40"/>
        <v>496.54020068152101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10.4</v>
      </c>
      <c r="CT49" s="13">
        <f>IF('Données projet'!$A$140&gt;35,CT48+CS49-DB48,IF(A49&lt;'Données projet'!$A$140,$CQ$205^A49,IF(A49='Données projet'!$A$140,'Données projet'!$B$140,CT48+CS49-DB48)))</f>
        <v>416.51999999999958</v>
      </c>
      <c r="CU49" s="18">
        <f>CT49*VLOOKUP('Données projet'!$B$13,Paramètres!$A$1:$I$89,3,0)*VLOOKUP('Données projet'!$B$13,Paramètres!$A$1:$I$89,5,0)</f>
        <v>448.34212799999955</v>
      </c>
      <c r="CV49" s="14">
        <f t="shared" si="41"/>
        <v>101.51127022515392</v>
      </c>
      <c r="CW49" s="22">
        <f t="shared" si="13"/>
        <v>957.66133524214217</v>
      </c>
      <c r="CX49" s="62">
        <f t="shared" si="14"/>
        <v>1250.9946685754755</v>
      </c>
      <c r="CY49" s="62">
        <f ca="1">AVERAGE(OFFSET($CX$3,0,0,'Données projet'!$E$13+1,1))-AVERAGE(OFFSET($H$3,0,0,'Données projet'!$E$13+1,1))</f>
        <v>720.47588458554264</v>
      </c>
      <c r="CZ49" s="62">
        <f t="shared" si="42"/>
        <v>638.59686934821627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17.599999999999994</v>
      </c>
      <c r="N50" s="14">
        <f>IF('Données projet'!$A$36&gt;35,N49+M50-V49,IF(A50&lt;'Données projet'!$A$36,$K$205^A50,IF(A50='Données projet'!$A$36,'Données projet'!$B$36,N49+M50-V49)))</f>
        <v>446.14000000000021</v>
      </c>
      <c r="O50" s="14">
        <f>N50*VLOOKUP('Données projet'!$B$9,Paramètres!$A$1:$I$89,3,0)*VLOOKUP('Données projet'!$B$9,Paramètres!$A$1:$I$89,5,0)</f>
        <v>208.79352000000011</v>
      </c>
      <c r="P50" s="14">
        <f t="shared" si="33"/>
        <v>51.671851119976957</v>
      </c>
      <c r="Q50" s="22">
        <f t="shared" si="53"/>
        <v>453.64385470062672</v>
      </c>
      <c r="R50" s="62">
        <f t="shared" si="0"/>
        <v>746.97718803396003</v>
      </c>
      <c r="S50" s="62">
        <f ca="1">AVERAGE(OFFSET($R$3,0,0,'Données projet'!$E$9+1,1))-AVERAGE(OFFSET($H$3,0,0,'Données projet'!$E$9+1,1))</f>
        <v>309.95417097673084</v>
      </c>
      <c r="T50" s="62">
        <f t="shared" si="34"/>
        <v>170.83243426024433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4.1884528898238775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4.1884528898238775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4.4491666666666658</v>
      </c>
      <c r="AI50" s="14">
        <f>IF('Données projet'!$A$62&gt;35,AI49+AH50-AQ49,IF(A50&lt;'Données projet'!$A$62,$AF$205^A50,IF(A50='Données projet'!$A$62,'Données projet'!$B$62,AI49+AH50-AQ49)))</f>
        <v>182.67166666666651</v>
      </c>
      <c r="AJ50" s="14">
        <f>AI50*VLOOKUP('Données projet'!$B$10,Paramètres!$A$1:$I$89,3,0)*VLOOKUP('Données projet'!$B$10,Paramètres!$A$1:$I$89,5,0)</f>
        <v>185.22906999999984</v>
      </c>
      <c r="AK50" s="14">
        <f t="shared" si="35"/>
        <v>46.483611894023184</v>
      </c>
      <c r="AL50" s="22">
        <f t="shared" si="4"/>
        <v>403.56625429875675</v>
      </c>
      <c r="AM50" s="62">
        <f t="shared" si="5"/>
        <v>696.89958763209006</v>
      </c>
      <c r="AN50" s="62">
        <f ca="1">AVERAGE(OFFSET($AM$3,0,0,'Données projet'!$E$10+1,1))-AVERAGE(OFFSET($H$3,0,0,'Données projet'!$E$10+1,1))</f>
        <v>408.65944152905672</v>
      </c>
      <c r="AO50" s="62">
        <f t="shared" si="36"/>
        <v>248.55239719988651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10.4</v>
      </c>
      <c r="BD50" s="13">
        <f>IF('Données projet'!$A$88&gt;35,BD49+BC50-BL49,IF(A50&lt;'Données projet'!$A$88,$BA$205^A50,IF(A50='Données projet'!$A$88,'Données projet'!$B$88,BD49+BC50-BL49)))</f>
        <v>426.91999999999956</v>
      </c>
      <c r="BE50" s="14">
        <f>BD50*VLOOKUP('Données projet'!$B$11,Paramètres!$A$1:$I$89,3,0)*VLOOKUP('Données projet'!$B$11,Paramètres!$A$1:$I$89,5,0)</f>
        <v>412.91702399999957</v>
      </c>
      <c r="BF50" s="14">
        <f t="shared" si="37"/>
        <v>94.390530051191504</v>
      </c>
      <c r="BG50" s="22">
        <f t="shared" si="7"/>
        <v>883.56065663915786</v>
      </c>
      <c r="BH50" s="62">
        <f t="shared" si="8"/>
        <v>1176.8939899724912</v>
      </c>
      <c r="BI50" s="62">
        <f ca="1">AVERAGE(OFFSET($BH$3,0,0,'Données projet'!$E$11+1,1))-AVERAGE(OFFSET($H$3,0,0,'Données projet'!$E$11+1,1))</f>
        <v>643.38601112255424</v>
      </c>
      <c r="BJ50" s="62">
        <f t="shared" si="38"/>
        <v>572.76381622085694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13.040000000000001</v>
      </c>
      <c r="BY50" s="13">
        <f>IF('Données projet'!$A$114&gt;35,BY49+BX50-CG49,IF(A50&lt;'Données projet'!$A$114,$BV$205^A50,IF(A50='Données projet'!$A$114,'Données projet'!$B$114,BY49+BX50-CG49)))</f>
        <v>535.2900000000003</v>
      </c>
      <c r="BZ50" s="14">
        <f>BY50*VLOOKUP('Données projet'!$B$12,Paramètres!$A$1:$I$89,3,0)*VLOOKUP('Données projet'!$B$12,Paramètres!$A$1:$I$89,5,0)</f>
        <v>359.07253200000019</v>
      </c>
      <c r="CA50" s="14">
        <f t="shared" si="39"/>
        <v>83.427848299672917</v>
      </c>
      <c r="CB50" s="22">
        <f t="shared" si="10"/>
        <v>770.68816235526401</v>
      </c>
      <c r="CC50" s="62">
        <f t="shared" si="11"/>
        <v>1064.0214956885973</v>
      </c>
      <c r="CD50" s="62">
        <f ca="1">AVERAGE(OFFSET($CC$3,0,0,'Données projet'!$E$12+1,1))-AVERAGE(OFFSET($H$3,0,0,'Données projet'!$E$12+1,1))</f>
        <v>323.41415875740768</v>
      </c>
      <c r="CE50" s="62">
        <f t="shared" si="40"/>
        <v>496.54020068152101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10.4</v>
      </c>
      <c r="CT50" s="13">
        <f>IF('Données projet'!$A$140&gt;35,CT49+CS50-DB49,IF(A50&lt;'Données projet'!$A$140,$CQ$205^A50,IF(A50='Données projet'!$A$140,'Données projet'!$B$140,CT49+CS50-DB49)))</f>
        <v>426.91999999999956</v>
      </c>
      <c r="CU50" s="18">
        <f>CT50*VLOOKUP('Données projet'!$B$13,Paramètres!$A$1:$I$89,3,0)*VLOOKUP('Données projet'!$B$13,Paramètres!$A$1:$I$89,5,0)</f>
        <v>459.53668799999957</v>
      </c>
      <c r="CV50" s="14">
        <f t="shared" si="41"/>
        <v>103.74763002333395</v>
      </c>
      <c r="CW50" s="22">
        <f t="shared" si="13"/>
        <v>981.05352055730589</v>
      </c>
      <c r="CX50" s="62">
        <f t="shared" si="14"/>
        <v>1274.3868538906393</v>
      </c>
      <c r="CY50" s="62">
        <f ca="1">AVERAGE(OFFSET($CX$3,0,0,'Données projet'!$E$13+1,1))-AVERAGE(OFFSET($H$3,0,0,'Données projet'!$E$13+1,1))</f>
        <v>720.47588458554264</v>
      </c>
      <c r="CZ50" s="62">
        <f t="shared" si="42"/>
        <v>638.59686934821627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17.599999999999994</v>
      </c>
      <c r="N51" s="14">
        <f>IF('Données projet'!$A$36&gt;35,N50+M51-V50,IF(A51&lt;'Données projet'!$A$36,$K$205^A51,IF(A51='Données projet'!$A$36,'Données projet'!$B$36,N50+M51-V50)))</f>
        <v>463.74000000000024</v>
      </c>
      <c r="O51" s="14">
        <f>N51*VLOOKUP('Données projet'!$B$9,Paramètres!$A$1:$I$89,3,0)*VLOOKUP('Données projet'!$B$9,Paramètres!$A$1:$I$89,5,0)</f>
        <v>217.0303200000001</v>
      </c>
      <c r="P51" s="14">
        <f t="shared" si="33"/>
        <v>53.468930807996429</v>
      </c>
      <c r="Q51" s="22">
        <f t="shared" si="53"/>
        <v>471.11952849059395</v>
      </c>
      <c r="R51" s="62">
        <f t="shared" si="0"/>
        <v>764.45286182392726</v>
      </c>
      <c r="S51" s="62">
        <f ca="1">AVERAGE(OFFSET($R$3,0,0,'Données projet'!$E$9+1,1))-AVERAGE(OFFSET($H$3,0,0,'Données projet'!$E$9+1,1))</f>
        <v>309.95417097673084</v>
      </c>
      <c r="T51" s="62">
        <f t="shared" si="34"/>
        <v>170.83243426024433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4.0739194252904793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4.0739194252904793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4.4491666666666658</v>
      </c>
      <c r="AI51" s="14">
        <f>IF('Données projet'!$A$62&gt;35,AI50+AH51-AQ50,IF(A51&lt;'Données projet'!$A$62,$AF$205^A51,IF(A51='Données projet'!$A$62,'Données projet'!$B$62,AI50+AH51-AQ50)))</f>
        <v>187.12083333333317</v>
      </c>
      <c r="AJ51" s="14">
        <f>AI51*VLOOKUP('Données projet'!$B$10,Paramètres!$A$1:$I$89,3,0)*VLOOKUP('Données projet'!$B$10,Paramètres!$A$1:$I$89,5,0)</f>
        <v>189.74052499999985</v>
      </c>
      <c r="AK51" s="14">
        <f t="shared" si="35"/>
        <v>47.482582050948096</v>
      </c>
      <c r="AL51" s="22">
        <f t="shared" si="4"/>
        <v>413.16357811373427</v>
      </c>
      <c r="AM51" s="62">
        <f t="shared" si="5"/>
        <v>706.49691144706753</v>
      </c>
      <c r="AN51" s="62">
        <f ca="1">AVERAGE(OFFSET($AM$3,0,0,'Données projet'!$E$10+1,1))-AVERAGE(OFFSET($H$3,0,0,'Données projet'!$E$10+1,1))</f>
        <v>408.65944152905672</v>
      </c>
      <c r="AO51" s="62">
        <f t="shared" si="36"/>
        <v>248.55239719988651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10.4</v>
      </c>
      <c r="BD51" s="13">
        <f>IF('Données projet'!$A$88&gt;35,BD50+BC51-BL50,IF(A51&lt;'Données projet'!$A$88,$BA$205^A51,IF(A51='Données projet'!$A$88,'Données projet'!$B$88,BD50+BC51-BL50)))</f>
        <v>437.31999999999954</v>
      </c>
      <c r="BE51" s="14">
        <f>BD51*VLOOKUP('Données projet'!$B$11,Paramètres!$A$1:$I$89,3,0)*VLOOKUP('Données projet'!$B$11,Paramètres!$A$1:$I$89,5,0)</f>
        <v>422.97590399999956</v>
      </c>
      <c r="BF51" s="14">
        <f t="shared" si="37"/>
        <v>96.419428532644176</v>
      </c>
      <c r="BG51" s="22">
        <f t="shared" si="7"/>
        <v>904.61353749435432</v>
      </c>
      <c r="BH51" s="62">
        <f t="shared" si="8"/>
        <v>1197.9468708276877</v>
      </c>
      <c r="BI51" s="62">
        <f ca="1">AVERAGE(OFFSET($BH$3,0,0,'Données projet'!$E$11+1,1))-AVERAGE(OFFSET($H$3,0,0,'Données projet'!$E$11+1,1))</f>
        <v>643.38601112255424</v>
      </c>
      <c r="BJ51" s="62">
        <f t="shared" si="38"/>
        <v>572.76381622085694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13.040000000000001</v>
      </c>
      <c r="BY51" s="13">
        <f>IF('Données projet'!$A$114&gt;35,BY50+BX51-CG50,IF(A51&lt;'Données projet'!$A$114,$BV$205^A51,IF(A51='Données projet'!$A$114,'Données projet'!$B$114,BY50+BX51-CG50)))</f>
        <v>548.33000000000027</v>
      </c>
      <c r="BZ51" s="14">
        <f>BY51*VLOOKUP('Données projet'!$B$12,Paramètres!$A$1:$I$89,3,0)*VLOOKUP('Données projet'!$B$12,Paramètres!$A$1:$I$89,5,0)</f>
        <v>367.81976400000019</v>
      </c>
      <c r="CA51" s="14">
        <f t="shared" si="39"/>
        <v>85.221113642943962</v>
      </c>
      <c r="CB51" s="22">
        <f t="shared" si="10"/>
        <v>789.04619522812766</v>
      </c>
      <c r="CC51" s="62">
        <f t="shared" si="11"/>
        <v>1082.379528561461</v>
      </c>
      <c r="CD51" s="62">
        <f ca="1">AVERAGE(OFFSET($CC$3,0,0,'Données projet'!$E$12+1,1))-AVERAGE(OFFSET($H$3,0,0,'Données projet'!$E$12+1,1))</f>
        <v>323.41415875740768</v>
      </c>
      <c r="CE51" s="62">
        <f t="shared" si="40"/>
        <v>496.54020068152101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10.4</v>
      </c>
      <c r="CT51" s="13">
        <f>IF('Données projet'!$A$140&gt;35,CT50+CS51-DB50,IF(A51&lt;'Données projet'!$A$140,$CQ$205^A51,IF(A51='Données projet'!$A$140,'Données projet'!$B$140,CT50+CS51-DB50)))</f>
        <v>437.31999999999954</v>
      </c>
      <c r="CU51" s="18">
        <f>CT51*VLOOKUP('Données projet'!$B$13,Paramètres!$A$1:$I$89,3,0)*VLOOKUP('Données projet'!$B$13,Paramètres!$A$1:$I$89,5,0)</f>
        <v>470.73124799999954</v>
      </c>
      <c r="CV51" s="14">
        <f t="shared" si="41"/>
        <v>105.97765679502925</v>
      </c>
      <c r="CW51" s="22">
        <f t="shared" si="13"/>
        <v>1004.4346758513416</v>
      </c>
      <c r="CX51" s="62">
        <f t="shared" si="14"/>
        <v>1297.7680091846748</v>
      </c>
      <c r="CY51" s="62">
        <f ca="1">AVERAGE(OFFSET($CX$3,0,0,'Données projet'!$E$13+1,1))-AVERAGE(OFFSET($H$3,0,0,'Données projet'!$E$13+1,1))</f>
        <v>720.47588458554264</v>
      </c>
      <c r="CZ51" s="62">
        <f t="shared" si="42"/>
        <v>638.59686934821627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481.34</v>
      </c>
      <c r="L52" s="13">
        <f>VLOOKUP(A52,'Données projet'!$A$35:$I$55,9,0)</f>
        <v>17.599999999999994</v>
      </c>
      <c r="M52" s="13">
        <f t="array" ref="M52">INDEX(L:L,MIN(IF(ISNUMBER(L52:L248),ROW(L52:L248),"")))</f>
        <v>17.599999999999994</v>
      </c>
      <c r="N52" s="14">
        <f>IF('Données projet'!$A$36&gt;35,N51+M52-V51,IF(A52&lt;'Données projet'!$A$36,$K$205^A52,IF(A52='Données projet'!$A$36,'Données projet'!$B$36,N51+M52-V51)))</f>
        <v>481.34000000000026</v>
      </c>
      <c r="O52" s="14">
        <f>N52*VLOOKUP('Données projet'!$B$9,Paramètres!$A$1:$I$89,3,0)*VLOOKUP('Données projet'!$B$9,Paramètres!$A$1:$I$89,5,0)</f>
        <v>225.26712000000012</v>
      </c>
      <c r="P52" s="14">
        <f t="shared" si="33"/>
        <v>55.258087131544585</v>
      </c>
      <c r="Q52" s="22">
        <f t="shared" si="53"/>
        <v>488.5814024207736</v>
      </c>
      <c r="R52" s="62">
        <f t="shared" si="0"/>
        <v>781.91473575410691</v>
      </c>
      <c r="S52" s="62">
        <f ca="1">AVERAGE(OFFSET($R$3,0,0,'Données projet'!$E$9+1,1))-AVERAGE(OFFSET($H$3,0,0,'Données projet'!$E$9+1,1))</f>
        <v>309.95417097673084</v>
      </c>
      <c r="T52" s="62">
        <f t="shared" si="34"/>
        <v>170.83243426024433</v>
      </c>
      <c r="U52" s="16">
        <f>IF(ISNA(VLOOKUP(A52,'Données projet'!$A$35:$I$55,3,0)),0,VLOOKUP(A52,'Données projet'!$A$35:$I$55,3,0))</f>
        <v>7</v>
      </c>
      <c r="V52" s="16">
        <f>IF(ISNA(VLOOKUP(A52,'Données projet'!$A$35:$I$55,4,0)),0,VLOOKUP(A52,'Données projet'!$A$35:$I$55,4,0))</f>
        <v>48.13</v>
      </c>
      <c r="W52" s="17">
        <f>IF(ISNA(VLOOKUP(A52,'Données projet'!$A$35:$I$55,5,0)),0%,VLOOKUP(A52,'Données projet'!$A$35:$I$55,5,0)*VLOOKUP('Données projet'!$B$9,Paramètres!$A$1:$I$89,7,0))</f>
        <v>3.8500000000000006E-2</v>
      </c>
      <c r="X52" s="17">
        <f>IF(ISNA(VLOOKUP(A52,'Données projet'!$A$35:$I$55,6,0)),0%,VLOOKUP(A52,'Données projet'!$A$35:$I$55,6,0)*VLOOKUP('Données projet'!$B$9,Paramètres!$A$1:$I$89,7,0))</f>
        <v>0.28050000000000003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1.1504051061758169</v>
      </c>
      <c r="AA52" s="23">
        <f>EXP(-LN(2)/25)*AA51+(1-EXP(-LN(2)/25))/(LN(2)/25)*Calculateur!V52*Calculateur!X52*VLOOKUP('Données projet'!$B$9,Paramètres!$A$1:$I$89,3,0)*0.475*44/12</f>
        <v>12.311039551459043</v>
      </c>
      <c r="AB52" s="23">
        <f>EXP(-LN(2)/2)*AB51+(1-EXP(-LN(2)/2))/(LN(2)/2)*V52*Y52*VLOOKUP('Données projet'!$B$9,Paramètres!$A$1:$I$89,3,0)*0.475*44/12</f>
        <v>0</v>
      </c>
      <c r="AC52" s="24">
        <f t="shared" si="3"/>
        <v>13.461444657634861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191.57</v>
      </c>
      <c r="AG52" s="13">
        <f>VLOOKUP(A52,'Données projet'!$A$61:$I$81,9,0)</f>
        <v>4.4491666666666658</v>
      </c>
      <c r="AH52" s="13">
        <f t="array" ref="AH52">INDEX(AG:AG,MIN(IF(ISNUMBER(AG52:AG248),ROW(AG52:AG248),"")))</f>
        <v>4.4491666666666658</v>
      </c>
      <c r="AI52" s="14">
        <f>IF('Données projet'!$A$62&gt;35,AI51+AH52-AQ51,IF(A52&lt;'Données projet'!$A$62,$AF$205^A52,IF(A52='Données projet'!$A$62,'Données projet'!$B$62,AI51+AH52-AQ51)))</f>
        <v>191.56999999999982</v>
      </c>
      <c r="AJ52" s="14">
        <f>AI52*VLOOKUP('Données projet'!$B$10,Paramètres!$A$1:$I$89,3,0)*VLOOKUP('Données projet'!$B$10,Paramètres!$A$1:$I$89,5,0)</f>
        <v>194.25197999999983</v>
      </c>
      <c r="AK52" s="14">
        <f t="shared" si="35"/>
        <v>48.47879096612683</v>
      </c>
      <c r="AL52" s="22">
        <f t="shared" si="4"/>
        <v>422.75609276600397</v>
      </c>
      <c r="AM52" s="62">
        <f t="shared" si="5"/>
        <v>716.08942609933729</v>
      </c>
      <c r="AN52" s="62">
        <f ca="1">AVERAGE(OFFSET($AM$3,0,0,'Données projet'!$E$10+1,1))-AVERAGE(OFFSET($H$3,0,0,'Données projet'!$E$10+1,1))</f>
        <v>408.65944152905672</v>
      </c>
      <c r="AO52" s="62">
        <f t="shared" si="36"/>
        <v>248.55239719988651</v>
      </c>
      <c r="AP52" s="16">
        <f>IF(ISNA(VLOOKUP(A52,'Données projet'!$A$61:$I$81,3,0)),0,VLOOKUP(A52,'Données projet'!$A$61:$I$81,3,0))</f>
        <v>4</v>
      </c>
      <c r="AQ52" s="16">
        <f>IF(ISNA(VLOOKUP(A52,'Données projet'!$A$61:$I$81,4,0)),0,VLOOKUP(A52,'Données projet'!$A$61:$I$81,4,0))</f>
        <v>19.16</v>
      </c>
      <c r="AR52" s="17">
        <f>IF(ISNA(VLOOKUP(A52,'Données projet'!$A$61:$I$81,5,0)),0%,VLOOKUP(A52,'Données projet'!$A$61:$I$81,5,0)*VLOOKUP('Données projet'!$B$10,Paramètres!$A$1:$I$89,7,0))</f>
        <v>5.16E-2</v>
      </c>
      <c r="AS52" s="17">
        <f>IF(ISNA(VLOOKUP(A52,'Données projet'!$A$61:$I$81,6,0)),0%,VLOOKUP(A52,'Données projet'!$A$61:$I$81,6,0)*VLOOKUP('Données projet'!$B$10,Paramètres!$A$1:$I$89,7,0))</f>
        <v>2.58E-2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1.1082309424771939</v>
      </c>
      <c r="AV52" s="23">
        <f>EXP(-LN(2)/25)*AV51+(1-EXP(-LN(2)/25))/(LN(2)/25)*Calculateur!AQ52*Calculateur!AS52*VLOOKUP('Données projet'!$B$10,Paramètres!$A$1:$I$89,3,0)*0.475*44/12</f>
        <v>0.55193370749378334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1.6601646499709772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447.72</v>
      </c>
      <c r="BB52" s="13">
        <f>VLOOKUP(A52,'Données projet'!$A$87:$I$107,9,0)</f>
        <v>10.4</v>
      </c>
      <c r="BC52" s="13">
        <f t="array" ref="BC52">INDEX(BB:BB,MIN(IF(ISNUMBER(BB52:BB248),ROW(BB52:BB248),"")))</f>
        <v>10.4</v>
      </c>
      <c r="BD52" s="13">
        <f>IF('Données projet'!$A$88&gt;35,BD51+BC52-BL51,IF(A52&lt;'Données projet'!$A$88,$BA$205^A52,IF(A52='Données projet'!$A$88,'Données projet'!$B$88,BD51+BC52-BL51)))</f>
        <v>447.71999999999952</v>
      </c>
      <c r="BE52" s="14">
        <f>BD52*VLOOKUP('Données projet'!$B$11,Paramètres!$A$1:$I$89,3,0)*VLOOKUP('Données projet'!$B$11,Paramètres!$A$1:$I$89,5,0)</f>
        <v>433.03478399999955</v>
      </c>
      <c r="BF52" s="14">
        <f t="shared" si="37"/>
        <v>98.442717960244934</v>
      </c>
      <c r="BG52" s="22">
        <f t="shared" si="7"/>
        <v>925.65664924742578</v>
      </c>
      <c r="BH52" s="62">
        <f t="shared" si="8"/>
        <v>1218.989982580759</v>
      </c>
      <c r="BI52" s="62">
        <f ca="1">AVERAGE(OFFSET($BH$3,0,0,'Données projet'!$E$11+1,1))-AVERAGE(OFFSET($H$3,0,0,'Données projet'!$E$11+1,1))</f>
        <v>643.38601112255424</v>
      </c>
      <c r="BJ52" s="62">
        <f t="shared" si="38"/>
        <v>572.76381622085694</v>
      </c>
      <c r="BK52" s="16">
        <f>IF(ISNA(VLOOKUP(A52,'Données projet'!$A$87:$I$107,3,0)),0,VLOOKUP(A52,'Données projet'!$A$87:$I$107,3,0))</f>
        <v>4</v>
      </c>
      <c r="BL52" s="16">
        <f>IF(ISNA(VLOOKUP(A52,'Données projet'!$A$87:$I$107,4,0)),0,VLOOKUP(A52,'Données projet'!$A$87:$I$107,4,0))</f>
        <v>44.77</v>
      </c>
      <c r="BM52" s="17">
        <f>IF(ISNA(VLOOKUP(A52,'Données projet'!$A$87:$I$107,5,0)),0%,VLOOKUP(A52,'Données projet'!$A$87:$I$107,5,0)*VLOOKUP('Données projet'!$B$11,Paramètres!$A$1:$I$89,7,0))</f>
        <v>1.72E-2</v>
      </c>
      <c r="BN52" s="17">
        <f>IF(ISNA(VLOOKUP(A52,'Données projet'!$A$87:$I$107,6,0)),0%,VLOOKUP(A52,'Données projet'!$A$87:$I$107,6,0)*VLOOKUP('Données projet'!$B$11,Paramètres!$A$1:$I$89,7,0))</f>
        <v>1.29E-2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0.8233394776167352</v>
      </c>
      <c r="BQ52" s="23">
        <f>EXP(-LN(2)/25)*BQ51+(1-EXP(-LN(2)/25))/(LN(2)/25)*Calculateur!BL52*Calculateur!BN52*VLOOKUP('Données projet'!$B$11,Paramètres!$A$1:$I$89,3,0)*0.475*44/12</f>
        <v>0.61507325728231654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1.4384127348990519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>
        <f>VLOOKUP(A52,'Données projet'!$A$113:$I$133,2,0)</f>
        <v>561.37</v>
      </c>
      <c r="BW52" s="13">
        <f>VLOOKUP(A52,'Données projet'!$A$113:$I$133,9,0)</f>
        <v>13.040000000000001</v>
      </c>
      <c r="BX52" s="13">
        <f t="array" ref="BX52">INDEX(BW:BW,MIN(IF(ISNUMBER(BW52:BW248),ROW(BW52:BW248),"")))</f>
        <v>13.040000000000001</v>
      </c>
      <c r="BY52" s="13">
        <f>IF('Données projet'!$A$114&gt;35,BY51+BX52-CG51,IF(A52&lt;'Données projet'!$A$114,$BV$205^A52,IF(A52='Données projet'!$A$114,'Données projet'!$B$114,BY51+BX52-CG51)))</f>
        <v>561.37000000000023</v>
      </c>
      <c r="BZ52" s="14">
        <f>BY52*VLOOKUP('Données projet'!$B$12,Paramètres!$A$1:$I$89,3,0)*VLOOKUP('Données projet'!$B$12,Paramètres!$A$1:$I$89,5,0)</f>
        <v>376.56699600000019</v>
      </c>
      <c r="CA52" s="14">
        <f t="shared" si="39"/>
        <v>87.009421341158955</v>
      </c>
      <c r="CB52" s="22">
        <f t="shared" si="10"/>
        <v>807.39559353585207</v>
      </c>
      <c r="CC52" s="62">
        <f t="shared" si="11"/>
        <v>1100.7289268691854</v>
      </c>
      <c r="CD52" s="62">
        <f ca="1">AVERAGE(OFFSET($CC$3,0,0,'Données projet'!$E$12+1,1))-AVERAGE(OFFSET($H$3,0,0,'Données projet'!$E$12+1,1))</f>
        <v>323.41415875740768</v>
      </c>
      <c r="CE52" s="62">
        <f t="shared" si="40"/>
        <v>496.54020068152101</v>
      </c>
      <c r="CF52" s="16">
        <f>IF(ISNA(VLOOKUP(A52,'Données projet'!$A$113:$I$133,3,0)),0,VLOOKUP(A52,'Données projet'!$A$113:$I$133,3,0))</f>
        <v>4</v>
      </c>
      <c r="CG52" s="16">
        <f>IF(ISNA(VLOOKUP(A52,'Données projet'!$A$113:$I$133,4,0)),0,VLOOKUP(A52,'Données projet'!$A$113:$I$133,4,0))</f>
        <v>56.14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>
        <f>VLOOKUP(A52,'Données projet'!$A$139:$I$159,2,0)</f>
        <v>447.72</v>
      </c>
      <c r="CR52" s="13">
        <f>VLOOKUP(A52,'Données projet'!$A$139:$I$159,9,0)</f>
        <v>10.4</v>
      </c>
      <c r="CS52" s="13">
        <f t="array" ref="CS52">INDEX(CR:CR,MIN(IF(ISNUMBER(CR52:CR248),ROW(CR52:CR248),"")))</f>
        <v>10.4</v>
      </c>
      <c r="CT52" s="13">
        <f>IF('Données projet'!$A$140&gt;35,CT51+CS52-DB51,IF(A52&lt;'Données projet'!$A$140,$CQ$205^A52,IF(A52='Données projet'!$A$140,'Données projet'!$B$140,CT51+CS52-DB51)))</f>
        <v>447.71999999999952</v>
      </c>
      <c r="CU52" s="18">
        <f>CT52*VLOOKUP('Données projet'!$B$13,Paramètres!$A$1:$I$89,3,0)*VLOOKUP('Données projet'!$B$13,Paramètres!$A$1:$I$89,5,0)</f>
        <v>481.92580799999939</v>
      </c>
      <c r="CV52" s="14">
        <f t="shared" si="41"/>
        <v>108.20151847745635</v>
      </c>
      <c r="CW52" s="22">
        <f t="shared" si="13"/>
        <v>1027.805093614902</v>
      </c>
      <c r="CX52" s="62">
        <f t="shared" si="14"/>
        <v>1321.1384269482353</v>
      </c>
      <c r="CY52" s="62">
        <f ca="1">AVERAGE(OFFSET($CX$3,0,0,'Données projet'!$E$13+1,1))-AVERAGE(OFFSET($H$3,0,0,'Données projet'!$E$13+1,1))</f>
        <v>720.47588458554264</v>
      </c>
      <c r="CZ52" s="62">
        <f t="shared" si="42"/>
        <v>638.59686934821627</v>
      </c>
      <c r="DA52" s="16">
        <f>IF(ISNA(VLOOKUP(A52,'Données projet'!$A$139:$I$159,3,0)),0,VLOOKUP(A52,'Données projet'!$A$139:$I$159,3,0))</f>
        <v>4</v>
      </c>
      <c r="DB52" s="16">
        <f>IF(ISNA(VLOOKUP(A52,'Données projet'!$A$139:$I$159,4,0)),0,VLOOKUP(A52,'Données projet'!$A$139:$I$159,4,0))</f>
        <v>44.77</v>
      </c>
      <c r="DC52" s="17">
        <f>IF(ISNA(VLOOKUP(A52,'Données projet'!$A$139:$I$159,5,0)),0%,VLOOKUP(A52,'Données projet'!$A$139:$I$159,5,0)*VLOOKUP('Données projet'!$B$13,Paramètres!$A$1:$I$89,7,0))</f>
        <v>1.72E-2</v>
      </c>
      <c r="DD52" s="17">
        <f>IF(ISNA(VLOOKUP(A52,'Données projet'!$A$139:$I$159,6,0)),0%,VLOOKUP(A52,'Données projet'!$A$139:$I$159,6,0)*VLOOKUP('Données projet'!$B$13,Paramètres!$A$1:$I$89,7,0))</f>
        <v>1.29E-2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0.91629716057346322</v>
      </c>
      <c r="DG52" s="23">
        <f>EXP(-LN(2)/25)*DG51+(1-EXP(-LN(2)/25))/(LN(2)/25)*Calculateur!DB52*Calculateur!DD52*VLOOKUP('Données projet'!$B$13,Paramètres!$A$1:$I$89,3,0)*0.475*44/12</f>
        <v>0.68451701213677163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1.6008141727102347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14.816666666666668</v>
      </c>
      <c r="N53" s="14">
        <f>IF('Données projet'!$A$36&gt;35,N52+M53-V52,IF(A53&lt;'Données projet'!$A$36,$K$205^A53,IF(A53='Données projet'!$A$36,'Données projet'!$B$36,N52+M53-V52)))</f>
        <v>448.02666666666693</v>
      </c>
      <c r="O53" s="14">
        <f>N53*VLOOKUP('Données projet'!$B$9,Paramètres!$A$1:$I$89,3,0)*VLOOKUP('Données projet'!$B$9,Paramètres!$A$1:$I$89,5,0)</f>
        <v>209.67648000000014</v>
      </c>
      <c r="P53" s="14">
        <f t="shared" si="33"/>
        <v>51.864882096214188</v>
      </c>
      <c r="Q53" s="22">
        <f t="shared" si="53"/>
        <v>455.51787231757334</v>
      </c>
      <c r="R53" s="62">
        <f t="shared" si="0"/>
        <v>748.85120565090665</v>
      </c>
      <c r="S53" s="62">
        <f ca="1">AVERAGE(OFFSET($R$3,0,0,'Données projet'!$E$9+1,1))-AVERAGE(OFFSET($H$3,0,0,'Données projet'!$E$9+1,1))</f>
        <v>309.95417097673084</v>
      </c>
      <c r="T53" s="62">
        <f t="shared" si="34"/>
        <v>170.83243426024433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1.127846363721539</v>
      </c>
      <c r="AA53" s="23">
        <f>EXP(-LN(2)/25)*AA52+(1-EXP(-LN(2)/25))/(LN(2)/25)*Calculateur!V53*Calculateur!X53*VLOOKUP('Données projet'!$B$9,Paramètres!$A$1:$I$89,3,0)*0.475*44/12</f>
        <v>11.974393527514962</v>
      </c>
      <c r="AB53" s="23">
        <f>EXP(-LN(2)/2)*AB52+(1-EXP(-LN(2)/2))/(LN(2)/2)*V53*Y53*VLOOKUP('Données projet'!$B$9,Paramètres!$A$1:$I$89,3,0)*0.475*44/12</f>
        <v>0</v>
      </c>
      <c r="AC53" s="24">
        <f t="shared" si="3"/>
        <v>13.102239891236501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4.4508333333333328</v>
      </c>
      <c r="AI53" s="14">
        <f>IF('Données projet'!$A$62&gt;35,AI52+AH53-AQ52,IF(A53&lt;'Données projet'!$A$62,$AF$205^A53,IF(A53='Données projet'!$A$62,'Données projet'!$B$62,AI52+AH53-AQ52)))</f>
        <v>176.86083333333315</v>
      </c>
      <c r="AJ53" s="14">
        <f>AI53*VLOOKUP('Données projet'!$B$10,Paramètres!$A$1:$I$89,3,0)*VLOOKUP('Données projet'!$B$10,Paramètres!$A$1:$I$89,5,0)</f>
        <v>179.33688499999982</v>
      </c>
      <c r="AK53" s="14">
        <f t="shared" si="35"/>
        <v>45.174623621105056</v>
      </c>
      <c r="AL53" s="22">
        <f t="shared" si="4"/>
        <v>391.02421084842427</v>
      </c>
      <c r="AM53" s="62">
        <f t="shared" si="5"/>
        <v>684.35754418175759</v>
      </c>
      <c r="AN53" s="62">
        <f ca="1">AVERAGE(OFFSET($AM$3,0,0,'Données projet'!$E$10+1,1))-AVERAGE(OFFSET($H$3,0,0,'Données projet'!$E$10+1,1))</f>
        <v>408.65944152905672</v>
      </c>
      <c r="AO53" s="62">
        <f t="shared" si="36"/>
        <v>248.55239719988651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1.0864992096493462</v>
      </c>
      <c r="AV53" s="23">
        <f>EXP(-LN(2)/25)*AV52+(1-EXP(-LN(2)/25))/(LN(2)/25)*Calculateur!AQ53*Calculateur!AS53*VLOOKUP('Données projet'!$B$10,Paramètres!$A$1:$I$89,3,0)*0.475*44/12</f>
        <v>0.53684105123743364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1.62334026088678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10.399999999999997</v>
      </c>
      <c r="BD53" s="13">
        <f>IF('Données projet'!$A$88&gt;35,BD52+BC53-BL52,IF(A53&lt;'Données projet'!$A$88,$BA$205^A53,IF(A53='Données projet'!$A$88,'Données projet'!$B$88,BD52+BC53-BL52)))</f>
        <v>413.34999999999951</v>
      </c>
      <c r="BE53" s="14">
        <f>BD53*VLOOKUP('Données projet'!$B$11,Paramètres!$A$1:$I$89,3,0)*VLOOKUP('Données projet'!$B$11,Paramètres!$A$1:$I$89,5,0)</f>
        <v>399.79211999999956</v>
      </c>
      <c r="BF53" s="14">
        <f t="shared" si="37"/>
        <v>91.734519466510164</v>
      </c>
      <c r="BG53" s="22">
        <f t="shared" si="7"/>
        <v>856.07556373750447</v>
      </c>
      <c r="BH53" s="62">
        <f t="shared" si="8"/>
        <v>1149.4088970708378</v>
      </c>
      <c r="BI53" s="62">
        <f ca="1">AVERAGE(OFFSET($BH$3,0,0,'Données projet'!$E$11+1,1))-AVERAGE(OFFSET($H$3,0,0,'Données projet'!$E$11+1,1))</f>
        <v>643.38601112255424</v>
      </c>
      <c r="BJ53" s="62">
        <f t="shared" si="38"/>
        <v>572.76381622085694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0.80719429264816545</v>
      </c>
      <c r="BQ53" s="23">
        <f>EXP(-LN(2)/25)*BQ52+(1-EXP(-LN(2)/25))/(LN(2)/25)*Calculateur!BL53*Calculateur!BN53*VLOOKUP('Données projet'!$B$11,Paramètres!$A$1:$I$89,3,0)*0.475*44/12</f>
        <v>0.59825404671663474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1.4054483393648001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505.23000000000025</v>
      </c>
      <c r="BZ53" s="14">
        <f>BY53*VLOOKUP('Données projet'!$B$12,Paramètres!$A$1:$I$89,3,0)*VLOOKUP('Données projet'!$B$12,Paramètres!$A$1:$I$89,5,0)</f>
        <v>338.90828400000015</v>
      </c>
      <c r="CA53" s="14">
        <f t="shared" si="39"/>
        <v>79.274348782791407</v>
      </c>
      <c r="CB53" s="22">
        <f t="shared" si="10"/>
        <v>728.33475209669507</v>
      </c>
      <c r="CC53" s="62">
        <f t="shared" si="11"/>
        <v>1021.6680854300284</v>
      </c>
      <c r="CD53" s="62">
        <f ca="1">AVERAGE(OFFSET($CC$3,0,0,'Données projet'!$E$12+1,1))-AVERAGE(OFFSET($H$3,0,0,'Données projet'!$E$12+1,1))</f>
        <v>323.41415875740768</v>
      </c>
      <c r="CE53" s="62">
        <f t="shared" si="40"/>
        <v>496.54020068152101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10.399999999999997</v>
      </c>
      <c r="CT53" s="13">
        <f>IF('Données projet'!$A$140&gt;35,CT52+CS53-DB52,IF(A53&lt;'Données projet'!$A$140,$CQ$205^A53,IF(A53='Données projet'!$A$140,'Données projet'!$B$140,CT52+CS53-DB52)))</f>
        <v>413.34999999999951</v>
      </c>
      <c r="CU53" s="18">
        <f>CT53*VLOOKUP('Données projet'!$B$13,Paramètres!$A$1:$I$89,3,0)*VLOOKUP('Données projet'!$B$13,Paramètres!$A$1:$I$89,5,0)</f>
        <v>444.92993999999948</v>
      </c>
      <c r="CV53" s="14">
        <f t="shared" si="41"/>
        <v>100.82832441790791</v>
      </c>
      <c r="CW53" s="22">
        <f t="shared" si="13"/>
        <v>950.5289771945221</v>
      </c>
      <c r="CX53" s="62">
        <f t="shared" si="14"/>
        <v>1243.8623105278555</v>
      </c>
      <c r="CY53" s="62">
        <f ca="1">AVERAGE(OFFSET($CX$3,0,0,'Données projet'!$E$13+1,1))-AVERAGE(OFFSET($H$3,0,0,'Données projet'!$E$13+1,1))</f>
        <v>720.47588458554264</v>
      </c>
      <c r="CZ53" s="62">
        <f t="shared" si="42"/>
        <v>638.59686934821627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0.89832913214070009</v>
      </c>
      <c r="DG53" s="23">
        <f>EXP(-LN(2)/25)*DG52+(1-EXP(-LN(2)/25))/(LN(2)/25)*Calculateur!DB53*Calculateur!DD53*VLOOKUP('Données projet'!$B$13,Paramètres!$A$1:$I$89,3,0)*0.475*44/12</f>
        <v>0.66579885844270648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1.5641279905834065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14.816666666666668</v>
      </c>
      <c r="N54" s="14">
        <f>IF('Données projet'!$A$36&gt;35,N53+M54-V53,IF(A54&lt;'Données projet'!$A$36,$K$205^A54,IF(A54='Données projet'!$A$36,'Données projet'!$B$36,N53+M54-V53)))</f>
        <v>462.84333333333359</v>
      </c>
      <c r="O54" s="14">
        <f>N54*VLOOKUP('Données projet'!$B$9,Paramètres!$A$1:$I$89,3,0)*VLOOKUP('Données projet'!$B$9,Paramètres!$A$1:$I$89,5,0)</f>
        <v>216.61068000000014</v>
      </c>
      <c r="P54" s="14">
        <f t="shared" si="33"/>
        <v>53.377569443023312</v>
      </c>
      <c r="Q54" s="22">
        <f t="shared" si="53"/>
        <v>470.22953444659919</v>
      </c>
      <c r="R54" s="62">
        <f t="shared" si="0"/>
        <v>763.5628677799325</v>
      </c>
      <c r="S54" s="62">
        <f ca="1">AVERAGE(OFFSET($R$3,0,0,'Données projet'!$E$9+1,1))-AVERAGE(OFFSET($H$3,0,0,'Données projet'!$E$9+1,1))</f>
        <v>309.95417097673084</v>
      </c>
      <c r="T54" s="62">
        <f t="shared" si="34"/>
        <v>170.83243426024433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1.1057299844473152</v>
      </c>
      <c r="AA54" s="23">
        <f>EXP(-LN(2)/25)*AA53+(1-EXP(-LN(2)/25))/(LN(2)/25)*Calculateur!V54*Calculateur!X54*VLOOKUP('Données projet'!$B$9,Paramètres!$A$1:$I$89,3,0)*0.475*44/12</f>
        <v>11.646953106799078</v>
      </c>
      <c r="AB54" s="23">
        <f>EXP(-LN(2)/2)*AB53+(1-EXP(-LN(2)/2))/(LN(2)/2)*V54*Y54*VLOOKUP('Données projet'!$B$9,Paramètres!$A$1:$I$89,3,0)*0.475*44/12</f>
        <v>0</v>
      </c>
      <c r="AC54" s="24">
        <f t="shared" si="3"/>
        <v>12.752683091246393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4.4508333333333328</v>
      </c>
      <c r="AI54" s="14">
        <f>IF('Données projet'!$A$62&gt;35,AI53+AH54-AQ53,IF(A54&lt;'Données projet'!$A$62,$AF$205^A54,IF(A54='Données projet'!$A$62,'Données projet'!$B$62,AI53+AH54-AQ53)))</f>
        <v>181.31166666666647</v>
      </c>
      <c r="AJ54" s="14">
        <f>AI54*VLOOKUP('Données projet'!$B$10,Paramètres!$A$1:$I$89,3,0)*VLOOKUP('Données projet'!$B$10,Paramètres!$A$1:$I$89,5,0)</f>
        <v>183.85002999999983</v>
      </c>
      <c r="AK54" s="14">
        <f t="shared" si="35"/>
        <v>46.177689017681132</v>
      </c>
      <c r="AL54" s="22">
        <f t="shared" si="4"/>
        <v>400.63161062246098</v>
      </c>
      <c r="AM54" s="62">
        <f t="shared" si="5"/>
        <v>693.9649439557943</v>
      </c>
      <c r="AN54" s="62">
        <f ca="1">AVERAGE(OFFSET($AM$3,0,0,'Données projet'!$E$10+1,1))-AVERAGE(OFFSET($H$3,0,0,'Données projet'!$E$10+1,1))</f>
        <v>408.65944152905672</v>
      </c>
      <c r="AO54" s="62">
        <f t="shared" si="36"/>
        <v>248.55239719988651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1.0651936228472043</v>
      </c>
      <c r="AV54" s="23">
        <f>EXP(-LN(2)/25)*AV53+(1-EXP(-LN(2)/25))/(LN(2)/25)*Calculateur!AQ54*Calculateur!AS54*VLOOKUP('Données projet'!$B$10,Paramètres!$A$1:$I$89,3,0)*0.475*44/12</f>
        <v>0.52216110446010211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1.5873547273073063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10.399999999999997</v>
      </c>
      <c r="BD54" s="13">
        <f>IF('Données projet'!$A$88&gt;35,BD53+BC54-BL53,IF(A54&lt;'Données projet'!$A$88,$BA$205^A54,IF(A54='Données projet'!$A$88,'Données projet'!$B$88,BD53+BC54-BL53)))</f>
        <v>423.74999999999949</v>
      </c>
      <c r="BE54" s="14">
        <f>BD54*VLOOKUP('Données projet'!$B$11,Paramètres!$A$1:$I$89,3,0)*VLOOKUP('Données projet'!$B$11,Paramètres!$A$1:$I$89,5,0)</f>
        <v>409.85099999999954</v>
      </c>
      <c r="BF54" s="14">
        <f t="shared" si="37"/>
        <v>93.770967649921403</v>
      </c>
      <c r="BG54" s="22">
        <f t="shared" si="7"/>
        <v>877.14159365694559</v>
      </c>
      <c r="BH54" s="62">
        <f t="shared" si="8"/>
        <v>1170.4749269902788</v>
      </c>
      <c r="BI54" s="62">
        <f ca="1">AVERAGE(OFFSET($BH$3,0,0,'Données projet'!$E$11+1,1))-AVERAGE(OFFSET($H$3,0,0,'Données projet'!$E$11+1,1))</f>
        <v>643.38601112255424</v>
      </c>
      <c r="BJ54" s="62">
        <f t="shared" si="38"/>
        <v>572.76381622085694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0.79136570490923885</v>
      </c>
      <c r="BQ54" s="23">
        <f>EXP(-LN(2)/25)*BQ53+(1-EXP(-LN(2)/25))/(LN(2)/25)*Calculateur!BL54*Calculateur!BN54*VLOOKUP('Données projet'!$B$11,Paramètres!$A$1:$I$89,3,0)*0.475*44/12</f>
        <v>0.58189475834835536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1.3732604632575942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505.23000000000025</v>
      </c>
      <c r="BZ54" s="14">
        <f>BY54*VLOOKUP('Données projet'!$B$12,Paramètres!$A$1:$I$89,3,0)*VLOOKUP('Données projet'!$B$12,Paramètres!$A$1:$I$89,5,0)</f>
        <v>338.90828400000015</v>
      </c>
      <c r="CA54" s="14">
        <f t="shared" si="39"/>
        <v>79.274348782791407</v>
      </c>
      <c r="CB54" s="22">
        <f t="shared" si="10"/>
        <v>728.33475209669507</v>
      </c>
      <c r="CC54" s="62">
        <f t="shared" si="11"/>
        <v>1021.6680854300284</v>
      </c>
      <c r="CD54" s="62">
        <f ca="1">AVERAGE(OFFSET($CC$3,0,0,'Données projet'!$E$12+1,1))-AVERAGE(OFFSET($H$3,0,0,'Données projet'!$E$12+1,1))</f>
        <v>323.41415875740768</v>
      </c>
      <c r="CE54" s="62">
        <f t="shared" si="40"/>
        <v>496.54020068152101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10.399999999999997</v>
      </c>
      <c r="CT54" s="13">
        <f>IF('Données projet'!$A$140&gt;35,CT53+CS54-DB53,IF(A54&lt;'Données projet'!$A$140,$CQ$205^A54,IF(A54='Données projet'!$A$140,'Données projet'!$B$140,CT53+CS54-DB53)))</f>
        <v>423.74999999999949</v>
      </c>
      <c r="CU54" s="18">
        <f>CT54*VLOOKUP('Données projet'!$B$13,Paramètres!$A$1:$I$89,3,0)*VLOOKUP('Données projet'!$B$13,Paramètres!$A$1:$I$89,5,0)</f>
        <v>456.12449999999944</v>
      </c>
      <c r="CV54" s="14">
        <f t="shared" si="41"/>
        <v>103.06664930685244</v>
      </c>
      <c r="CW54" s="22">
        <f t="shared" si="13"/>
        <v>973.92458504276692</v>
      </c>
      <c r="CX54" s="62">
        <f t="shared" si="14"/>
        <v>1267.2579183761002</v>
      </c>
      <c r="CY54" s="62">
        <f ca="1">AVERAGE(OFFSET($CX$3,0,0,'Données projet'!$E$13+1,1))-AVERAGE(OFFSET($H$3,0,0,'Données projet'!$E$13+1,1))</f>
        <v>720.47588458554264</v>
      </c>
      <c r="CZ54" s="62">
        <f t="shared" si="42"/>
        <v>638.59686934821627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0.88071344578608834</v>
      </c>
      <c r="DG54" s="23">
        <f>EXP(-LN(2)/25)*DG53+(1-EXP(-LN(2)/25))/(LN(2)/25)*Calculateur!DB54*Calculateur!DD54*VLOOKUP('Données projet'!$B$13,Paramètres!$A$1:$I$89,3,0)*0.475*44/12</f>
        <v>0.64759255364575041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1.5283059994318386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14.816666666666668</v>
      </c>
      <c r="N55" s="14">
        <f>IF('Données projet'!$A$36&gt;35,N54+M55-V54,IF(A55&lt;'Données projet'!$A$36,$K$205^A55,IF(A55='Données projet'!$A$36,'Données projet'!$B$36,N54+M55-V54)))</f>
        <v>477.66000000000025</v>
      </c>
      <c r="O55" s="14">
        <f>N55*VLOOKUP('Données projet'!$B$9,Paramètres!$A$1:$I$89,3,0)*VLOOKUP('Données projet'!$B$9,Paramètres!$A$1:$I$89,5,0)</f>
        <v>223.54488000000009</v>
      </c>
      <c r="P55" s="14">
        <f t="shared" si="33"/>
        <v>54.884629644428543</v>
      </c>
      <c r="Q55" s="22">
        <f t="shared" si="53"/>
        <v>484.93139596404654</v>
      </c>
      <c r="R55" s="62">
        <f t="shared" si="0"/>
        <v>778.26472929737986</v>
      </c>
      <c r="S55" s="62">
        <f ca="1">AVERAGE(OFFSET($R$3,0,0,'Données projet'!$E$9+1,1))-AVERAGE(OFFSET($H$3,0,0,'Données projet'!$E$9+1,1))</f>
        <v>309.95417097673084</v>
      </c>
      <c r="T55" s="62">
        <f t="shared" si="34"/>
        <v>170.83243426024433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1.0840472938809995</v>
      </c>
      <c r="AA55" s="23">
        <f>EXP(-LN(2)/25)*AA54+(1-EXP(-LN(2)/25))/(LN(2)/25)*Calculateur!V55*Calculateur!X55*VLOOKUP('Données projet'!$B$9,Paramètres!$A$1:$I$89,3,0)*0.475*44/12</f>
        <v>11.328466561607012</v>
      </c>
      <c r="AB55" s="23">
        <f>EXP(-LN(2)/2)*AB54+(1-EXP(-LN(2)/2))/(LN(2)/2)*V55*Y55*VLOOKUP('Données projet'!$B$9,Paramètres!$A$1:$I$89,3,0)*0.475*44/12</f>
        <v>0</v>
      </c>
      <c r="AC55" s="24">
        <f t="shared" si="3"/>
        <v>12.412513855488012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4.4508333333333328</v>
      </c>
      <c r="AI55" s="14">
        <f>IF('Données projet'!$A$62&gt;35,AI54+AH55-AQ54,IF(A55&lt;'Données projet'!$A$62,$AF$205^A55,IF(A55='Données projet'!$A$62,'Données projet'!$B$62,AI54+AH55-AQ54)))</f>
        <v>185.76249999999979</v>
      </c>
      <c r="AJ55" s="14">
        <f>AI55*VLOOKUP('Données projet'!$B$10,Paramètres!$A$1:$I$89,3,0)*VLOOKUP('Données projet'!$B$10,Paramètres!$A$1:$I$89,5,0)</f>
        <v>188.36317499999979</v>
      </c>
      <c r="AK55" s="14">
        <f t="shared" si="35"/>
        <v>47.177892058667162</v>
      </c>
      <c r="AL55" s="22">
        <f t="shared" si="4"/>
        <v>410.23402512717826</v>
      </c>
      <c r="AM55" s="62">
        <f t="shared" si="5"/>
        <v>703.56735846051151</v>
      </c>
      <c r="AN55" s="62">
        <f ca="1">AVERAGE(OFFSET($AM$3,0,0,'Données projet'!$E$10+1,1))-AVERAGE(OFFSET($H$3,0,0,'Données projet'!$E$10+1,1))</f>
        <v>408.65944152905672</v>
      </c>
      <c r="AO55" s="62">
        <f t="shared" si="36"/>
        <v>248.55239719988651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1.0443058256071276</v>
      </c>
      <c r="AV55" s="23">
        <f>EXP(-LN(2)/25)*AV54+(1-EXP(-LN(2)/25))/(LN(2)/25)*Calculateur!AQ55*Calculateur!AS55*VLOOKUP('Données projet'!$B$10,Paramètres!$A$1:$I$89,3,0)*0.475*44/12</f>
        <v>0.5078825815993816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1.5521884072065091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10.399999999999997</v>
      </c>
      <c r="BD55" s="13">
        <f>IF('Données projet'!$A$88&gt;35,BD54+BC55-BL54,IF(A55&lt;'Données projet'!$A$88,$BA$205^A55,IF(A55='Données projet'!$A$88,'Données projet'!$B$88,BD54+BC55-BL54)))</f>
        <v>434.14999999999947</v>
      </c>
      <c r="BE55" s="14">
        <f>BD55*VLOOKUP('Données projet'!$B$11,Paramètres!$A$1:$I$89,3,0)*VLOOKUP('Données projet'!$B$11,Paramètres!$A$1:$I$89,5,0)</f>
        <v>419.90987999999948</v>
      </c>
      <c r="BF55" s="14">
        <f t="shared" si="37"/>
        <v>95.80160583699363</v>
      </c>
      <c r="BG55" s="22">
        <f t="shared" si="7"/>
        <v>898.19750449942967</v>
      </c>
      <c r="BH55" s="62">
        <f t="shared" si="8"/>
        <v>1191.5308378327629</v>
      </c>
      <c r="BI55" s="62">
        <f ca="1">AVERAGE(OFFSET($BH$3,0,0,'Données projet'!$E$11+1,1))-AVERAGE(OFFSET($H$3,0,0,'Données projet'!$E$11+1,1))</f>
        <v>643.38601112255424</v>
      </c>
      <c r="BJ55" s="62">
        <f t="shared" si="38"/>
        <v>572.76381622085694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0.77584750612138742</v>
      </c>
      <c r="BQ55" s="23">
        <f>EXP(-LN(2)/25)*BQ54+(1-EXP(-LN(2)/25))/(LN(2)/25)*Calculateur!BL55*Calculateur!BN55*VLOOKUP('Données projet'!$B$11,Paramètres!$A$1:$I$89,3,0)*0.475*44/12</f>
        <v>0.56598281558080421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1.3418303217021916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505.23000000000025</v>
      </c>
      <c r="BZ55" s="14">
        <f>BY55*VLOOKUP('Données projet'!$B$12,Paramètres!$A$1:$I$89,3,0)*VLOOKUP('Données projet'!$B$12,Paramètres!$A$1:$I$89,5,0)</f>
        <v>338.90828400000015</v>
      </c>
      <c r="CA55" s="14">
        <f t="shared" si="39"/>
        <v>79.274348782791407</v>
      </c>
      <c r="CB55" s="22">
        <f t="shared" si="10"/>
        <v>728.33475209669507</v>
      </c>
      <c r="CC55" s="62">
        <f t="shared" si="11"/>
        <v>1021.6680854300284</v>
      </c>
      <c r="CD55" s="62">
        <f ca="1">AVERAGE(OFFSET($CC$3,0,0,'Données projet'!$E$12+1,1))-AVERAGE(OFFSET($H$3,0,0,'Données projet'!$E$12+1,1))</f>
        <v>323.41415875740768</v>
      </c>
      <c r="CE55" s="62">
        <f t="shared" si="40"/>
        <v>496.54020068152101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10.399999999999997</v>
      </c>
      <c r="CT55" s="13">
        <f>IF('Données projet'!$A$140&gt;35,CT54+CS55-DB54,IF(A55&lt;'Données projet'!$A$140,$CQ$205^A55,IF(A55='Données projet'!$A$140,'Données projet'!$B$140,CT54+CS55-DB54)))</f>
        <v>434.14999999999947</v>
      </c>
      <c r="CU55" s="18">
        <f>CT55*VLOOKUP('Données projet'!$B$13,Paramètres!$A$1:$I$89,3,0)*VLOOKUP('Données projet'!$B$13,Paramètres!$A$1:$I$89,5,0)</f>
        <v>467.31905999999947</v>
      </c>
      <c r="CV55" s="14">
        <f t="shared" si="41"/>
        <v>105.29858824425811</v>
      </c>
      <c r="CW55" s="22">
        <f t="shared" si="13"/>
        <v>997.30907069208172</v>
      </c>
      <c r="CX55" s="62">
        <f t="shared" si="14"/>
        <v>1290.6424040254151</v>
      </c>
      <c r="CY55" s="62">
        <f ca="1">AVERAGE(OFFSET($CX$3,0,0,'Données projet'!$E$13+1,1))-AVERAGE(OFFSET($H$3,0,0,'Données projet'!$E$13+1,1))</f>
        <v>720.47588458554264</v>
      </c>
      <c r="CZ55" s="62">
        <f t="shared" si="42"/>
        <v>638.59686934821627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0.86344319229638278</v>
      </c>
      <c r="DG55" s="23">
        <f>EXP(-LN(2)/25)*DG54+(1-EXP(-LN(2)/25))/(LN(2)/25)*Calculateur!DB55*Calculateur!DD55*VLOOKUP('Données projet'!$B$13,Paramètres!$A$1:$I$89,3,0)*0.475*44/12</f>
        <v>0.62988410121089511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1.4933272935072779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14.816666666666668</v>
      </c>
      <c r="N56" s="14">
        <f>IF('Données projet'!$A$36&gt;35,N55+M56-V55,IF(A56&lt;'Données projet'!$A$36,$K$205^A56,IF(A56='Données projet'!$A$36,'Données projet'!$B$36,N55+M56-V55)))</f>
        <v>492.47666666666692</v>
      </c>
      <c r="O56" s="14">
        <f>N56*VLOOKUP('Données projet'!$B$9,Paramètres!$A$1:$I$89,3,0)*VLOOKUP('Données projet'!$B$9,Paramètres!$A$1:$I$89,5,0)</f>
        <v>230.4790800000001</v>
      </c>
      <c r="P56" s="14">
        <f t="shared" si="33"/>
        <v>56.386257279947401</v>
      </c>
      <c r="Q56" s="22">
        <f t="shared" si="53"/>
        <v>499.62379576257518</v>
      </c>
      <c r="R56" s="62">
        <f t="shared" si="0"/>
        <v>792.9571290959085</v>
      </c>
      <c r="S56" s="62">
        <f ca="1">AVERAGE(OFFSET($R$3,0,0,'Données projet'!$E$9+1,1))-AVERAGE(OFFSET($H$3,0,0,'Données projet'!$E$9+1,1))</f>
        <v>309.95417097673084</v>
      </c>
      <c r="T56" s="62">
        <f t="shared" si="34"/>
        <v>170.83243426024433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1.062789787651554</v>
      </c>
      <c r="AA56" s="23">
        <f>EXP(-LN(2)/25)*AA55+(1-EXP(-LN(2)/25))/(LN(2)/25)*Calculateur!V56*Calculateur!X56*VLOOKUP('Données projet'!$B$9,Paramètres!$A$1:$I$89,3,0)*0.475*44/12</f>
        <v>11.018689047741704</v>
      </c>
      <c r="AB56" s="23">
        <f>EXP(-LN(2)/2)*AB55+(1-EXP(-LN(2)/2))/(LN(2)/2)*V56*Y56*VLOOKUP('Données projet'!$B$9,Paramètres!$A$1:$I$89,3,0)*0.475*44/12</f>
        <v>0</v>
      </c>
      <c r="AC56" s="24">
        <f t="shared" si="3"/>
        <v>12.081478835393257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4.4508333333333328</v>
      </c>
      <c r="AI56" s="14">
        <f>IF('Données projet'!$A$62&gt;35,AI55+AH56-AQ55,IF(A56&lt;'Données projet'!$A$62,$AF$205^A56,IF(A56='Données projet'!$A$62,'Données projet'!$B$62,AI55+AH56-AQ55)))</f>
        <v>190.21333333333311</v>
      </c>
      <c r="AJ56" s="14">
        <f>AI56*VLOOKUP('Données projet'!$B$10,Paramètres!$A$1:$I$89,3,0)*VLOOKUP('Données projet'!$B$10,Paramètres!$A$1:$I$89,5,0)</f>
        <v>192.87631999999979</v>
      </c>
      <c r="AK56" s="14">
        <f t="shared" si="35"/>
        <v>48.175309216558276</v>
      </c>
      <c r="AL56" s="22">
        <f t="shared" si="4"/>
        <v>419.83158755217192</v>
      </c>
      <c r="AM56" s="62">
        <f t="shared" si="5"/>
        <v>713.16492088550524</v>
      </c>
      <c r="AN56" s="62">
        <f ca="1">AVERAGE(OFFSET($AM$3,0,0,'Données projet'!$E$10+1,1))-AVERAGE(OFFSET($H$3,0,0,'Données projet'!$E$10+1,1))</f>
        <v>408.65944152905672</v>
      </c>
      <c r="AO56" s="62">
        <f t="shared" si="36"/>
        <v>248.55239719988651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1.0238276253306304</v>
      </c>
      <c r="AV56" s="23">
        <f>EXP(-LN(2)/25)*AV55+(1-EXP(-LN(2)/25))/(LN(2)/25)*Calculateur!AQ56*Calculateur!AS56*VLOOKUP('Données projet'!$B$10,Paramètres!$A$1:$I$89,3,0)*0.475*44/12</f>
        <v>0.4939945056971623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1.5178221310277928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10.399999999999997</v>
      </c>
      <c r="BD56" s="13">
        <f>IF('Données projet'!$A$88&gt;35,BD55+BC56-BL55,IF(A56&lt;'Données projet'!$A$88,$BA$205^A56,IF(A56='Données projet'!$A$88,'Données projet'!$B$88,BD55+BC56-BL55)))</f>
        <v>444.54999999999944</v>
      </c>
      <c r="BE56" s="14">
        <f>BD56*VLOOKUP('Données projet'!$B$11,Paramètres!$A$1:$I$89,3,0)*VLOOKUP('Données projet'!$B$11,Paramètres!$A$1:$I$89,5,0)</f>
        <v>429.96875999999946</v>
      </c>
      <c r="BF56" s="14">
        <f t="shared" si="37"/>
        <v>97.826589219206127</v>
      </c>
      <c r="BG56" s="22">
        <f t="shared" si="7"/>
        <v>919.24356655678309</v>
      </c>
      <c r="BH56" s="62">
        <f t="shared" si="8"/>
        <v>1212.5768998901165</v>
      </c>
      <c r="BI56" s="62">
        <f ca="1">AVERAGE(OFFSET($BH$3,0,0,'Données projet'!$E$11+1,1))-AVERAGE(OFFSET($H$3,0,0,'Données projet'!$E$11+1,1))</f>
        <v>643.38601112255424</v>
      </c>
      <c r="BJ56" s="62">
        <f t="shared" si="38"/>
        <v>572.76381622085694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0.7606336097465991</v>
      </c>
      <c r="BQ56" s="23">
        <f>EXP(-LN(2)/25)*BQ55+(1-EXP(-LN(2)/25))/(LN(2)/25)*Calculateur!BL56*Calculateur!BN56*VLOOKUP('Données projet'!$B$11,Paramètres!$A$1:$I$89,3,0)*0.475*44/12</f>
        <v>0.55050598572500442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1.3111395954716034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505.23000000000025</v>
      </c>
      <c r="BZ56" s="14">
        <f>BY56*VLOOKUP('Données projet'!$B$12,Paramètres!$A$1:$I$89,3,0)*VLOOKUP('Données projet'!$B$12,Paramètres!$A$1:$I$89,5,0)</f>
        <v>338.90828400000015</v>
      </c>
      <c r="CA56" s="14">
        <f t="shared" si="39"/>
        <v>79.274348782791407</v>
      </c>
      <c r="CB56" s="22">
        <f t="shared" si="10"/>
        <v>728.33475209669507</v>
      </c>
      <c r="CC56" s="62">
        <f t="shared" si="11"/>
        <v>1021.6680854300284</v>
      </c>
      <c r="CD56" s="62">
        <f ca="1">AVERAGE(OFFSET($CC$3,0,0,'Données projet'!$E$12+1,1))-AVERAGE(OFFSET($H$3,0,0,'Données projet'!$E$12+1,1))</f>
        <v>323.41415875740768</v>
      </c>
      <c r="CE56" s="62">
        <f t="shared" si="40"/>
        <v>496.54020068152101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10.399999999999997</v>
      </c>
      <c r="CT56" s="13">
        <f>IF('Données projet'!$A$140&gt;35,CT55+CS56-DB55,IF(A56&lt;'Données projet'!$A$140,$CQ$205^A56,IF(A56='Données projet'!$A$140,'Données projet'!$B$140,CT55+CS56-DB55)))</f>
        <v>444.54999999999944</v>
      </c>
      <c r="CU56" s="18">
        <f>CT56*VLOOKUP('Données projet'!$B$13,Paramètres!$A$1:$I$89,3,0)*VLOOKUP('Données projet'!$B$13,Paramètres!$A$1:$I$89,5,0)</f>
        <v>478.51361999999932</v>
      </c>
      <c r="CV56" s="14">
        <f t="shared" si="41"/>
        <v>107.52431180600995</v>
      </c>
      <c r="CW56" s="22">
        <f t="shared" si="13"/>
        <v>1020.6827312287993</v>
      </c>
      <c r="CX56" s="62">
        <f t="shared" si="14"/>
        <v>1314.0160645621327</v>
      </c>
      <c r="CY56" s="62">
        <f ca="1">AVERAGE(OFFSET($CX$3,0,0,'Données projet'!$E$13+1,1))-AVERAGE(OFFSET($H$3,0,0,'Données projet'!$E$13+1,1))</f>
        <v>720.47588458554264</v>
      </c>
      <c r="CZ56" s="62">
        <f t="shared" si="42"/>
        <v>638.59686934821627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0.84651159794379582</v>
      </c>
      <c r="DG56" s="23">
        <f>EXP(-LN(2)/25)*DG55+(1-EXP(-LN(2)/25))/(LN(2)/25)*Calculateur!DB56*Calculateur!DD56*VLOOKUP('Données projet'!$B$13,Paramètres!$A$1:$I$89,3,0)*0.475*44/12</f>
        <v>0.61265988733911791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1.4591714852829138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14.816666666666668</v>
      </c>
      <c r="N57" s="14">
        <f>IF('Données projet'!$A$36&gt;35,N56+M57-V56,IF(A57&lt;'Données projet'!$A$36,$K$205^A57,IF(A57='Données projet'!$A$36,'Données projet'!$B$36,N56+M57-V56)))</f>
        <v>507.29333333333358</v>
      </c>
      <c r="O57" s="14">
        <f>N57*VLOOKUP('Données projet'!$B$9,Paramètres!$A$1:$I$89,3,0)*VLOOKUP('Données projet'!$B$9,Paramètres!$A$1:$I$89,5,0)</f>
        <v>237.4132800000001</v>
      </c>
      <c r="P57" s="14">
        <f t="shared" si="33"/>
        <v>57.88263455543963</v>
      </c>
      <c r="Q57" s="22">
        <f t="shared" si="53"/>
        <v>514.3070511840574</v>
      </c>
      <c r="R57" s="62">
        <f t="shared" si="0"/>
        <v>807.64038451739066</v>
      </c>
      <c r="S57" s="62">
        <f ca="1">AVERAGE(OFFSET($R$3,0,0,'Données projet'!$E$9+1,1))-AVERAGE(OFFSET($H$3,0,0,'Données projet'!$E$9+1,1))</f>
        <v>309.95417097673084</v>
      </c>
      <c r="T57" s="62">
        <f t="shared" si="34"/>
        <v>170.83243426024433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1.0419491281534692</v>
      </c>
      <c r="AA57" s="23">
        <f>EXP(-LN(2)/25)*AA56+(1-EXP(-LN(2)/25))/(LN(2)/25)*Calculateur!V57*Calculateur!X57*VLOOKUP('Données projet'!$B$9,Paramètres!$A$1:$I$89,3,0)*0.475*44/12</f>
        <v>10.717382416283534</v>
      </c>
      <c r="AB57" s="23">
        <f>EXP(-LN(2)/2)*AB56+(1-EXP(-LN(2)/2))/(LN(2)/2)*V57*Y57*VLOOKUP('Données projet'!$B$9,Paramètres!$A$1:$I$89,3,0)*0.475*44/12</f>
        <v>0</v>
      </c>
      <c r="AC57" s="24">
        <f t="shared" si="3"/>
        <v>11.759331544437003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4.4508333333333328</v>
      </c>
      <c r="AI57" s="14">
        <f>IF('Données projet'!$A$62&gt;35,AI56+AH57-AQ56,IF(A57&lt;'Données projet'!$A$62,$AF$205^A57,IF(A57='Données projet'!$A$62,'Données projet'!$B$62,AI56+AH57-AQ56)))</f>
        <v>194.66416666666643</v>
      </c>
      <c r="AJ57" s="14">
        <f>AI57*VLOOKUP('Données projet'!$B$10,Paramètres!$A$1:$I$89,3,0)*VLOOKUP('Données projet'!$B$10,Paramètres!$A$1:$I$89,5,0)</f>
        <v>197.38946499999977</v>
      </c>
      <c r="AK57" s="14">
        <f t="shared" si="35"/>
        <v>49.17001318089283</v>
      </c>
      <c r="AL57" s="22">
        <f t="shared" si="4"/>
        <v>429.42442449838791</v>
      </c>
      <c r="AM57" s="62">
        <f t="shared" si="5"/>
        <v>722.75775783172116</v>
      </c>
      <c r="AN57" s="62">
        <f ca="1">AVERAGE(OFFSET($AM$3,0,0,'Données projet'!$E$10+1,1))-AVERAGE(OFFSET($H$3,0,0,'Données projet'!$E$10+1,1))</f>
        <v>408.65944152905672</v>
      </c>
      <c r="AO57" s="62">
        <f t="shared" si="36"/>
        <v>248.55239719988651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1.0037509900710866</v>
      </c>
      <c r="AV57" s="23">
        <f>EXP(-LN(2)/25)*AV56+(1-EXP(-LN(2)/25))/(LN(2)/25)*Calculateur!AQ57*Calculateur!AS57*VLOOKUP('Données projet'!$B$10,Paramètres!$A$1:$I$89,3,0)*0.475*44/12</f>
        <v>0.48048619996083136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1.484237190031918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10.399999999999997</v>
      </c>
      <c r="BD57" s="13">
        <f>IF('Données projet'!$A$88&gt;35,BD56+BC57-BL56,IF(A57&lt;'Données projet'!$A$88,$BA$205^A57,IF(A57='Données projet'!$A$88,'Données projet'!$B$88,BD56+BC57-BL56)))</f>
        <v>454.94999999999942</v>
      </c>
      <c r="BE57" s="14">
        <f>BD57*VLOOKUP('Données projet'!$B$11,Paramètres!$A$1:$I$89,3,0)*VLOOKUP('Données projet'!$B$11,Paramètres!$A$1:$I$89,5,0)</f>
        <v>440.02763999999939</v>
      </c>
      <c r="BF57" s="14">
        <f t="shared" si="37"/>
        <v>99.846065312543075</v>
      </c>
      <c r="BG57" s="22">
        <f t="shared" si="7"/>
        <v>940.28003675267803</v>
      </c>
      <c r="BH57" s="62">
        <f t="shared" si="8"/>
        <v>1233.6133700860114</v>
      </c>
      <c r="BI57" s="62">
        <f ca="1">AVERAGE(OFFSET($BH$3,0,0,'Données projet'!$E$11+1,1))-AVERAGE(OFFSET($H$3,0,0,'Données projet'!$E$11+1,1))</f>
        <v>643.38601112255424</v>
      </c>
      <c r="BJ57" s="62">
        <f t="shared" si="38"/>
        <v>572.76381622085694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0.74571804860015989</v>
      </c>
      <c r="BQ57" s="23">
        <f>EXP(-LN(2)/25)*BQ56+(1-EXP(-LN(2)/25))/(LN(2)/25)*Calculateur!BL57*Calculateur!BN57*VLOOKUP('Données projet'!$B$11,Paramètres!$A$1:$I$89,3,0)*0.475*44/12</f>
        <v>0.53545237059550255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1.2811704191956625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505.23000000000025</v>
      </c>
      <c r="BZ57" s="14">
        <f>BY57*VLOOKUP('Données projet'!$B$12,Paramètres!$A$1:$I$89,3,0)*VLOOKUP('Données projet'!$B$12,Paramètres!$A$1:$I$89,5,0)</f>
        <v>338.90828400000015</v>
      </c>
      <c r="CA57" s="14">
        <f t="shared" si="39"/>
        <v>79.274348782791407</v>
      </c>
      <c r="CB57" s="22">
        <f t="shared" si="10"/>
        <v>728.33475209669507</v>
      </c>
      <c r="CC57" s="62">
        <f t="shared" si="11"/>
        <v>1021.6680854300284</v>
      </c>
      <c r="CD57" s="62">
        <f ca="1">AVERAGE(OFFSET($CC$3,0,0,'Données projet'!$E$12+1,1))-AVERAGE(OFFSET($H$3,0,0,'Données projet'!$E$12+1,1))</f>
        <v>323.41415875740768</v>
      </c>
      <c r="CE57" s="62">
        <f t="shared" si="40"/>
        <v>496.54020068152101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10.399999999999997</v>
      </c>
      <c r="CT57" s="13">
        <f>IF('Données projet'!$A$140&gt;35,CT56+CS57-DB56,IF(A57&lt;'Données projet'!$A$140,$CQ$205^A57,IF(A57='Données projet'!$A$140,'Données projet'!$B$140,CT56+CS57-DB56)))</f>
        <v>454.94999999999942</v>
      </c>
      <c r="CU57" s="18">
        <f>CT57*VLOOKUP('Données projet'!$B$13,Paramètres!$A$1:$I$89,3,0)*VLOOKUP('Données projet'!$B$13,Paramètres!$A$1:$I$89,5,0)</f>
        <v>489.70817999999935</v>
      </c>
      <c r="CV57" s="14">
        <f t="shared" si="41"/>
        <v>109.74398213161221</v>
      </c>
      <c r="CW57" s="22">
        <f t="shared" si="13"/>
        <v>1044.04584904589</v>
      </c>
      <c r="CX57" s="62">
        <f t="shared" si="14"/>
        <v>1337.3791823792233</v>
      </c>
      <c r="CY57" s="62">
        <f ca="1">AVERAGE(OFFSET($CX$3,0,0,'Données projet'!$E$13+1,1))-AVERAGE(OFFSET($H$3,0,0,'Données projet'!$E$13+1,1))</f>
        <v>720.47588458554264</v>
      </c>
      <c r="CZ57" s="62">
        <f t="shared" si="42"/>
        <v>638.59686934821627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0.82991202182921031</v>
      </c>
      <c r="DG57" s="23">
        <f>EXP(-LN(2)/25)*DG56+(1-EXP(-LN(2)/25))/(LN(2)/25)*Calculateur!DB57*Calculateur!DD57*VLOOKUP('Données projet'!$B$13,Paramètres!$A$1:$I$89,3,0)*0.475*44/12</f>
        <v>0.59590667050144652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1.4258186923306568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14.816666666666668</v>
      </c>
      <c r="N58" s="14">
        <f>IF('Données projet'!$A$36&gt;35,N57+M58-V57,IF(A58&lt;'Données projet'!$A$36,$K$205^A58,IF(A58='Données projet'!$A$36,'Données projet'!$B$36,N57+M58-V57)))</f>
        <v>522.11000000000024</v>
      </c>
      <c r="O58" s="14">
        <f>N58*VLOOKUP('Données projet'!$B$9,Paramètres!$A$1:$I$89,3,0)*VLOOKUP('Données projet'!$B$9,Paramètres!$A$1:$I$89,5,0)</f>
        <v>244.3474800000001</v>
      </c>
      <c r="P58" s="14">
        <f t="shared" si="33"/>
        <v>59.373932428114905</v>
      </c>
      <c r="Q58" s="22">
        <f t="shared" si="53"/>
        <v>528.981459978967</v>
      </c>
      <c r="R58" s="62">
        <f t="shared" si="0"/>
        <v>822.31479331230025</v>
      </c>
      <c r="S58" s="62">
        <f ca="1">AVERAGE(OFFSET($R$3,0,0,'Données projet'!$E$9+1,1))-AVERAGE(OFFSET($H$3,0,0,'Données projet'!$E$9+1,1))</f>
        <v>309.95417097673084</v>
      </c>
      <c r="T58" s="62">
        <f t="shared" si="34"/>
        <v>170.83243426024433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1.0215171412765949</v>
      </c>
      <c r="AA58" s="23">
        <f>EXP(-LN(2)/25)*AA57+(1-EXP(-LN(2)/25))/(LN(2)/25)*Calculateur!V58*Calculateur!X58*VLOOKUP('Données projet'!$B$9,Paramètres!$A$1:$I$89,3,0)*0.475*44/12</f>
        <v>10.424315030507614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11.445832171784209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4.4508333333333328</v>
      </c>
      <c r="AI58" s="14">
        <f>IF('Données projet'!$A$62&gt;35,AI57+AH58-AQ57,IF(A58&lt;'Données projet'!$A$62,$AF$205^A58,IF(A58='Données projet'!$A$62,'Données projet'!$B$62,AI57+AH58-AQ57)))</f>
        <v>199.11499999999975</v>
      </c>
      <c r="AJ58" s="14">
        <f>AI58*VLOOKUP('Données projet'!$B$10,Paramètres!$A$1:$I$89,3,0)*VLOOKUP('Données projet'!$B$10,Paramètres!$A$1:$I$89,5,0)</f>
        <v>201.90260999999975</v>
      </c>
      <c r="AK58" s="14">
        <f t="shared" si="35"/>
        <v>50.162073127538505</v>
      </c>
      <c r="AL58" s="22">
        <f t="shared" si="4"/>
        <v>439.01265644712913</v>
      </c>
      <c r="AM58" s="62">
        <f t="shared" si="5"/>
        <v>732.34598978046245</v>
      </c>
      <c r="AN58" s="62">
        <f ca="1">AVERAGE(OFFSET($AM$3,0,0,'Données projet'!$E$10+1,1))-AVERAGE(OFFSET($H$3,0,0,'Données projet'!$E$10+1,1))</f>
        <v>408.65944152905672</v>
      </c>
      <c r="AO58" s="62">
        <f t="shared" si="36"/>
        <v>248.55239719988651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0.98406804538344406</v>
      </c>
      <c r="AV58" s="23">
        <f>EXP(-LN(2)/25)*AV57+(1-EXP(-LN(2)/25))/(LN(2)/25)*Calculateur!AQ58*Calculateur!AS58*VLOOKUP('Données projet'!$B$10,Paramètres!$A$1:$I$89,3,0)*0.475*44/12</f>
        <v>0.46734727955523137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1.4514153249386754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10.399999999999997</v>
      </c>
      <c r="BD58" s="13">
        <f>IF('Données projet'!$A$88&gt;35,BD57+BC58-BL57,IF(A58&lt;'Données projet'!$A$88,$BA$205^A58,IF(A58='Données projet'!$A$88,'Données projet'!$B$88,BD57+BC58-BL57)))</f>
        <v>465.3499999999994</v>
      </c>
      <c r="BE58" s="14">
        <f>BD58*VLOOKUP('Données projet'!$B$11,Paramètres!$A$1:$I$89,3,0)*VLOOKUP('Données projet'!$B$11,Paramètres!$A$1:$I$89,5,0)</f>
        <v>450.08651999999938</v>
      </c>
      <c r="BF58" s="14">
        <f t="shared" si="37"/>
        <v>101.86017450375834</v>
      </c>
      <c r="BG58" s="22">
        <f t="shared" si="7"/>
        <v>961.30715959404461</v>
      </c>
      <c r="BH58" s="62">
        <f t="shared" si="8"/>
        <v>1254.6404929273779</v>
      </c>
      <c r="BI58" s="62">
        <f ca="1">AVERAGE(OFFSET($BH$3,0,0,'Données projet'!$E$11+1,1))-AVERAGE(OFFSET($H$3,0,0,'Données projet'!$E$11+1,1))</f>
        <v>643.38601112255424</v>
      </c>
      <c r="BJ58" s="62">
        <f t="shared" si="38"/>
        <v>572.76381622085694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0.73109497251020839</v>
      </c>
      <c r="BQ58" s="23">
        <f>EXP(-LN(2)/25)*BQ57+(1-EXP(-LN(2)/25))/(LN(2)/25)*Calculateur!BL58*Calculateur!BN58*VLOOKUP('Données projet'!$B$11,Paramètres!$A$1:$I$89,3,0)*0.475*44/12</f>
        <v>0.52081039736335211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1.2519053698735605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505.23000000000025</v>
      </c>
      <c r="BZ58" s="14">
        <f>BY58*VLOOKUP('Données projet'!$B$12,Paramètres!$A$1:$I$89,3,0)*VLOOKUP('Données projet'!$B$12,Paramètres!$A$1:$I$89,5,0)</f>
        <v>338.90828400000015</v>
      </c>
      <c r="CA58" s="14">
        <f t="shared" si="39"/>
        <v>79.274348782791407</v>
      </c>
      <c r="CB58" s="22">
        <f t="shared" si="10"/>
        <v>728.33475209669507</v>
      </c>
      <c r="CC58" s="62">
        <f t="shared" si="11"/>
        <v>1021.6680854300284</v>
      </c>
      <c r="CD58" s="62">
        <f ca="1">AVERAGE(OFFSET($CC$3,0,0,'Données projet'!$E$12+1,1))-AVERAGE(OFFSET($H$3,0,0,'Données projet'!$E$12+1,1))</f>
        <v>323.41415875740768</v>
      </c>
      <c r="CE58" s="62">
        <f t="shared" si="40"/>
        <v>496.54020068152101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10.399999999999997</v>
      </c>
      <c r="CT58" s="13">
        <f>IF('Données projet'!$A$140&gt;35,CT57+CS58-DB57,IF(A58&lt;'Données projet'!$A$140,$CQ$205^A58,IF(A58='Données projet'!$A$140,'Données projet'!$B$140,CT57+CS58-DB57)))</f>
        <v>465.3499999999994</v>
      </c>
      <c r="CU58" s="18">
        <f>CT58*VLOOKUP('Données projet'!$B$13,Paramètres!$A$1:$I$89,3,0)*VLOOKUP('Données projet'!$B$13,Paramètres!$A$1:$I$89,5,0)</f>
        <v>500.90273999999931</v>
      </c>
      <c r="CV58" s="14">
        <f t="shared" si="41"/>
        <v>111.95775352460548</v>
      </c>
      <c r="CW58" s="22">
        <f t="shared" si="13"/>
        <v>1067.3986928886864</v>
      </c>
      <c r="CX58" s="62">
        <f t="shared" si="14"/>
        <v>1360.7320262220196</v>
      </c>
      <c r="CY58" s="62">
        <f ca="1">AVERAGE(OFFSET($CX$3,0,0,'Données projet'!$E$13+1,1))-AVERAGE(OFFSET($H$3,0,0,'Données projet'!$E$13+1,1))</f>
        <v>720.47588458554264</v>
      </c>
      <c r="CZ58" s="62">
        <f t="shared" si="42"/>
        <v>638.59686934821627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0.81363795327749011</v>
      </c>
      <c r="DG58" s="23">
        <f>EXP(-LN(2)/25)*DG57+(1-EXP(-LN(2)/25))/(LN(2)/25)*Calculateur!DB58*Calculateur!DD58*VLOOKUP('Données projet'!$B$13,Paramètres!$A$1:$I$89,3,0)*0.475*44/12</f>
        <v>0.57961157125921459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1.3932495245367047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14.816666666666668</v>
      </c>
      <c r="N59" s="14">
        <f>IF('Données projet'!$A$36&gt;35,N58+M59-V58,IF(A59&lt;'Données projet'!$A$36,$K$205^A59,IF(A59='Données projet'!$A$36,'Données projet'!$B$36,N58+M59-V58)))</f>
        <v>536.92666666666696</v>
      </c>
      <c r="O59" s="14">
        <f>N59*VLOOKUP('Données projet'!$B$9,Paramètres!$A$1:$I$89,3,0)*VLOOKUP('Données projet'!$B$9,Paramètres!$A$1:$I$89,5,0)</f>
        <v>251.28168000000016</v>
      </c>
      <c r="P59" s="14">
        <f t="shared" si="33"/>
        <v>60.860311600246767</v>
      </c>
      <c r="Q59" s="22">
        <f t="shared" si="53"/>
        <v>543.64730203709667</v>
      </c>
      <c r="R59" s="62">
        <f t="shared" si="0"/>
        <v>836.98063537043004</v>
      </c>
      <c r="S59" s="62">
        <f ca="1">AVERAGE(OFFSET($R$3,0,0,'Données projet'!$E$9+1,1))-AVERAGE(OFFSET($H$3,0,0,'Données projet'!$E$9+1,1))</f>
        <v>309.95417097673084</v>
      </c>
      <c r="T59" s="62">
        <f t="shared" si="34"/>
        <v>170.83243426024433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1.0014858132000946</v>
      </c>
      <c r="AA59" s="23">
        <f>EXP(-LN(2)/25)*AA58+(1-EXP(-LN(2)/25))/(LN(2)/25)*Calculateur!V59*Calculateur!X59*VLOOKUP('Données projet'!$B$9,Paramètres!$A$1:$I$89,3,0)*0.475*44/12</f>
        <v>10.13926158780748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11.140747401007575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4.4508333333333328</v>
      </c>
      <c r="AI59" s="14">
        <f>IF('Données projet'!$A$62&gt;35,AI58+AH59-AQ58,IF(A59&lt;'Données projet'!$A$62,$AF$205^A59,IF(A59='Données projet'!$A$62,'Données projet'!$B$62,AI58+AH59-AQ58)))</f>
        <v>203.56583333333307</v>
      </c>
      <c r="AJ59" s="14">
        <f>AI59*VLOOKUP('Données projet'!$B$10,Paramètres!$A$1:$I$89,3,0)*VLOOKUP('Données projet'!$B$10,Paramètres!$A$1:$I$89,5,0)</f>
        <v>206.41575499999973</v>
      </c>
      <c r="AK59" s="14">
        <f t="shared" si="35"/>
        <v>51.151554963222402</v>
      </c>
      <c r="AL59" s="22">
        <f t="shared" si="4"/>
        <v>448.59639818594525</v>
      </c>
      <c r="AM59" s="62">
        <f t="shared" si="5"/>
        <v>741.92973151927856</v>
      </c>
      <c r="AN59" s="62">
        <f ca="1">AVERAGE(OFFSET($AM$3,0,0,'Données projet'!$E$10+1,1))-AVERAGE(OFFSET($H$3,0,0,'Données projet'!$E$10+1,1))</f>
        <v>408.65944152905672</v>
      </c>
      <c r="AO59" s="62">
        <f t="shared" si="36"/>
        <v>248.55239719988651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0.96477107123571537</v>
      </c>
      <c r="AV59" s="23">
        <f>EXP(-LN(2)/25)*AV58+(1-EXP(-LN(2)/25))/(LN(2)/25)*Calculateur!AQ59*Calculateur!AS59*VLOOKUP('Données projet'!$B$10,Paramètres!$A$1:$I$89,3,0)*0.475*44/12</f>
        <v>0.45456764361906826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1.4193387148547836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10.399999999999997</v>
      </c>
      <c r="BD59" s="13">
        <f>IF('Données projet'!$A$88&gt;35,BD58+BC59-BL58,IF(A59&lt;'Données projet'!$A$88,$BA$205^A59,IF(A59='Données projet'!$A$88,'Données projet'!$B$88,BD58+BC59-BL58)))</f>
        <v>475.74999999999937</v>
      </c>
      <c r="BE59" s="14">
        <f>BD59*VLOOKUP('Données projet'!$B$11,Paramètres!$A$1:$I$89,3,0)*VLOOKUP('Données projet'!$B$11,Paramètres!$A$1:$I$89,5,0)</f>
        <v>460.14539999999943</v>
      </c>
      <c r="BF59" s="14">
        <f t="shared" si="37"/>
        <v>103.86905054643123</v>
      </c>
      <c r="BG59" s="22">
        <f t="shared" si="7"/>
        <v>982.32516803503347</v>
      </c>
      <c r="BH59" s="62">
        <f t="shared" si="8"/>
        <v>1275.6585013683668</v>
      </c>
      <c r="BI59" s="62">
        <f ca="1">AVERAGE(OFFSET($BH$3,0,0,'Données projet'!$E$11+1,1))-AVERAGE(OFFSET($H$3,0,0,'Données projet'!$E$11+1,1))</f>
        <v>643.38601112255424</v>
      </c>
      <c r="BJ59" s="62">
        <f t="shared" si="38"/>
        <v>572.76381622085694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0.71675864602318506</v>
      </c>
      <c r="BQ59" s="23">
        <f>EXP(-LN(2)/25)*BQ58+(1-EXP(-LN(2)/25))/(LN(2)/25)*Calculateur!BL59*Calculateur!BN59*VLOOKUP('Données projet'!$B$11,Paramètres!$A$1:$I$89,3,0)*0.475*44/12</f>
        <v>0.5065688096592228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1.2233274556824079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505.23000000000025</v>
      </c>
      <c r="BZ59" s="14">
        <f>BY59*VLOOKUP('Données projet'!$B$12,Paramètres!$A$1:$I$89,3,0)*VLOOKUP('Données projet'!$B$12,Paramètres!$A$1:$I$89,5,0)</f>
        <v>338.90828400000015</v>
      </c>
      <c r="CA59" s="14">
        <f t="shared" si="39"/>
        <v>79.274348782791407</v>
      </c>
      <c r="CB59" s="22">
        <f t="shared" si="10"/>
        <v>728.33475209669507</v>
      </c>
      <c r="CC59" s="62">
        <f t="shared" si="11"/>
        <v>1021.6680854300284</v>
      </c>
      <c r="CD59" s="62">
        <f ca="1">AVERAGE(OFFSET($CC$3,0,0,'Données projet'!$E$12+1,1))-AVERAGE(OFFSET($H$3,0,0,'Données projet'!$E$12+1,1))</f>
        <v>323.41415875740768</v>
      </c>
      <c r="CE59" s="62">
        <f t="shared" si="40"/>
        <v>496.54020068152101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10.399999999999997</v>
      </c>
      <c r="CT59" s="13">
        <f>IF('Données projet'!$A$140&gt;35,CT58+CS59-DB58,IF(A59&lt;'Données projet'!$A$140,$CQ$205^A59,IF(A59='Données projet'!$A$140,'Données projet'!$B$140,CT58+CS59-DB58)))</f>
        <v>475.74999999999937</v>
      </c>
      <c r="CU59" s="18">
        <f>CT59*VLOOKUP('Données projet'!$B$13,Paramètres!$A$1:$I$89,3,0)*VLOOKUP('Données projet'!$B$13,Paramètres!$A$1:$I$89,5,0)</f>
        <v>512.09729999999934</v>
      </c>
      <c r="CV59" s="14">
        <f t="shared" si="41"/>
        <v>114.16577299779757</v>
      </c>
      <c r="CW59" s="22">
        <f t="shared" si="13"/>
        <v>1090.7415188044963</v>
      </c>
      <c r="CX59" s="62">
        <f t="shared" si="14"/>
        <v>1384.0748521378296</v>
      </c>
      <c r="CY59" s="62">
        <f ca="1">AVERAGE(OFFSET($CX$3,0,0,'Données projet'!$E$13+1,1))-AVERAGE(OFFSET($H$3,0,0,'Données projet'!$E$13+1,1))</f>
        <v>720.47588458554264</v>
      </c>
      <c r="CZ59" s="62">
        <f t="shared" si="42"/>
        <v>638.59686934821627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0.79768300928386737</v>
      </c>
      <c r="DG59" s="23">
        <f>EXP(-LN(2)/25)*DG58+(1-EXP(-LN(2)/25))/(LN(2)/25)*Calculateur!DB59*Calculateur!DD59*VLOOKUP('Données projet'!$B$13,Paramètres!$A$1:$I$89,3,0)*0.475*44/12</f>
        <v>0.56376206236268356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1.3614450716465509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14.816666666666668</v>
      </c>
      <c r="N60" s="14">
        <f>IF('Données projet'!$A$36&gt;35,N59+M60-V59,IF(A60&lt;'Données projet'!$A$36,$K$205^A60,IF(A60='Données projet'!$A$36,'Données projet'!$B$36,N59+M60-V59)))</f>
        <v>551.74333333333368</v>
      </c>
      <c r="O60" s="14">
        <f>N60*VLOOKUP('Données projet'!$B$9,Paramètres!$A$1:$I$89,3,0)*VLOOKUP('Données projet'!$B$9,Paramètres!$A$1:$I$89,5,0)</f>
        <v>258.21588000000014</v>
      </c>
      <c r="P60" s="14">
        <f t="shared" si="33"/>
        <v>62.341923400115547</v>
      </c>
      <c r="Q60" s="22">
        <f t="shared" si="53"/>
        <v>558.30484092186816</v>
      </c>
      <c r="R60" s="62">
        <f t="shared" si="0"/>
        <v>851.63817425520142</v>
      </c>
      <c r="S60" s="62">
        <f ca="1">AVERAGE(OFFSET($R$3,0,0,'Données projet'!$E$9+1,1))-AVERAGE(OFFSET($H$3,0,0,'Données projet'!$E$9+1,1))</f>
        <v>309.95417097673084</v>
      </c>
      <c r="T60" s="62">
        <f t="shared" si="34"/>
        <v>170.83243426024433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0.98184728724927073</v>
      </c>
      <c r="AA60" s="23">
        <f>EXP(-LN(2)/25)*AA59+(1-EXP(-LN(2)/25))/(LN(2)/25)*Calculateur!V60*Calculateur!X60*VLOOKUP('Données projet'!$B$9,Paramètres!$A$1:$I$89,3,0)*0.475*44/12</f>
        <v>9.8620029464882908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10.843850233737562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4.4508333333333328</v>
      </c>
      <c r="AI60" s="14">
        <f>IF('Données projet'!$A$62&gt;35,AI59+AH60-AQ59,IF(A60&lt;'Données projet'!$A$62,$AF$205^A60,IF(A60='Données projet'!$A$62,'Données projet'!$B$62,AI59+AH60-AQ59)))</f>
        <v>208.0166666666664</v>
      </c>
      <c r="AJ60" s="14">
        <f>AI60*VLOOKUP('Données projet'!$B$10,Paramètres!$A$1:$I$89,3,0)*VLOOKUP('Données projet'!$B$10,Paramètres!$A$1:$I$89,5,0)</f>
        <v>210.92889999999974</v>
      </c>
      <c r="AK60" s="14">
        <f t="shared" si="35"/>
        <v>52.138521548071935</v>
      </c>
      <c r="AL60" s="22">
        <f t="shared" si="4"/>
        <v>458.17575919622487</v>
      </c>
      <c r="AM60" s="62">
        <f t="shared" si="5"/>
        <v>751.50909252955819</v>
      </c>
      <c r="AN60" s="62">
        <f ca="1">AVERAGE(OFFSET($AM$3,0,0,'Données projet'!$E$10+1,1))-AVERAGE(OFFSET($H$3,0,0,'Données projet'!$E$10+1,1))</f>
        <v>408.65944152905672</v>
      </c>
      <c r="AO60" s="62">
        <f t="shared" si="36"/>
        <v>248.55239719988651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0.94585249898103163</v>
      </c>
      <c r="AV60" s="23">
        <f>EXP(-LN(2)/25)*AV59+(1-EXP(-LN(2)/25))/(LN(2)/25)*Calculateur!AQ60*Calculateur!AS60*VLOOKUP('Données projet'!$B$10,Paramètres!$A$1:$I$89,3,0)*0.475*44/12</f>
        <v>0.4421374674996314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1.387989966480663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10.399999999999997</v>
      </c>
      <c r="BD60" s="13">
        <f>IF('Données projet'!$A$88&gt;35,BD59+BC60-BL59,IF(A60&lt;'Données projet'!$A$88,$BA$205^A60,IF(A60='Données projet'!$A$88,'Données projet'!$B$88,BD59+BC60-BL59)))</f>
        <v>486.14999999999935</v>
      </c>
      <c r="BE60" s="14">
        <f>BD60*VLOOKUP('Données projet'!$B$11,Paramètres!$A$1:$I$89,3,0)*VLOOKUP('Données projet'!$B$11,Paramètres!$A$1:$I$89,5,0)</f>
        <v>470.20427999999941</v>
      </c>
      <c r="BF60" s="14">
        <f t="shared" si="37"/>
        <v>105.87282101242172</v>
      </c>
      <c r="BG60" s="22">
        <f t="shared" si="7"/>
        <v>1003.3342842633001</v>
      </c>
      <c r="BH60" s="62">
        <f t="shared" si="8"/>
        <v>1296.6676175966334</v>
      </c>
      <c r="BI60" s="62">
        <f ca="1">AVERAGE(OFFSET($BH$3,0,0,'Données projet'!$E$11+1,1))-AVERAGE(OFFSET($H$3,0,0,'Données projet'!$E$11+1,1))</f>
        <v>643.38601112255424</v>
      </c>
      <c r="BJ60" s="62">
        <f t="shared" si="38"/>
        <v>572.76381622085694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0.7027034461542766</v>
      </c>
      <c r="BQ60" s="23">
        <f>EXP(-LN(2)/25)*BQ59+(1-EXP(-LN(2)/25))/(LN(2)/25)*Calculateur!BL60*Calculateur!BN60*VLOOKUP('Données projet'!$B$11,Paramètres!$A$1:$I$89,3,0)*0.475*44/12</f>
        <v>0.49271665891979544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1.195420105074072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505.23000000000025</v>
      </c>
      <c r="BZ60" s="14">
        <f>BY60*VLOOKUP('Données projet'!$B$12,Paramètres!$A$1:$I$89,3,0)*VLOOKUP('Données projet'!$B$12,Paramètres!$A$1:$I$89,5,0)</f>
        <v>338.90828400000015</v>
      </c>
      <c r="CA60" s="14">
        <f t="shared" si="39"/>
        <v>79.274348782791407</v>
      </c>
      <c r="CB60" s="22">
        <f t="shared" si="10"/>
        <v>728.33475209669507</v>
      </c>
      <c r="CC60" s="62">
        <f t="shared" si="11"/>
        <v>1021.6680854300284</v>
      </c>
      <c r="CD60" s="62">
        <f ca="1">AVERAGE(OFFSET($CC$3,0,0,'Données projet'!$E$12+1,1))-AVERAGE(OFFSET($H$3,0,0,'Données projet'!$E$12+1,1))</f>
        <v>323.41415875740768</v>
      </c>
      <c r="CE60" s="62">
        <f t="shared" si="40"/>
        <v>496.54020068152101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10.399999999999997</v>
      </c>
      <c r="CT60" s="13">
        <f>IF('Données projet'!$A$140&gt;35,CT59+CS60-DB59,IF(A60&lt;'Données projet'!$A$140,$CQ$205^A60,IF(A60='Données projet'!$A$140,'Données projet'!$B$140,CT59+CS60-DB59)))</f>
        <v>486.14999999999935</v>
      </c>
      <c r="CU60" s="18">
        <f>CT60*VLOOKUP('Données projet'!$B$13,Paramètres!$A$1:$I$89,3,0)*VLOOKUP('Données projet'!$B$13,Paramètres!$A$1:$I$89,5,0)</f>
        <v>523.29185999999925</v>
      </c>
      <c r="CV60" s="14">
        <f t="shared" si="41"/>
        <v>116.36818076947257</v>
      </c>
      <c r="CW60" s="22">
        <f t="shared" si="13"/>
        <v>1114.0745710068302</v>
      </c>
      <c r="CX60" s="62">
        <f t="shared" si="14"/>
        <v>1407.4079043401634</v>
      </c>
      <c r="CY60" s="62">
        <f ca="1">AVERAGE(OFFSET($CX$3,0,0,'Données projet'!$E$13+1,1))-AVERAGE(OFFSET($H$3,0,0,'Données projet'!$E$13+1,1))</f>
        <v>720.47588458554264</v>
      </c>
      <c r="CZ60" s="62">
        <f t="shared" si="42"/>
        <v>638.59686934821627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0.7820409320104047</v>
      </c>
      <c r="DG60" s="23">
        <f>EXP(-LN(2)/25)*DG59+(1-EXP(-LN(2)/25))/(LN(2)/25)*Calculateur!DB60*Calculateur!DD60*VLOOKUP('Données projet'!$B$13,Paramètres!$A$1:$I$89,3,0)*0.475*44/12</f>
        <v>0.54834595912041761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1.3303868911308223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14.816666666666668</v>
      </c>
      <c r="N61" s="14">
        <f>IF('Données projet'!$A$36&gt;35,N60+M61-V60,IF(A61&lt;'Données projet'!$A$36,$K$205^A61,IF(A61='Données projet'!$A$36,'Données projet'!$B$36,N60+M61-V60)))</f>
        <v>566.5600000000004</v>
      </c>
      <c r="O61" s="14">
        <f>N61*VLOOKUP('Données projet'!$B$9,Paramètres!$A$1:$I$89,3,0)*VLOOKUP('Données projet'!$B$9,Paramètres!$A$1:$I$89,5,0)</f>
        <v>265.15008000000017</v>
      </c>
      <c r="P61" s="14">
        <f t="shared" si="33"/>
        <v>63.818910565661092</v>
      </c>
      <c r="Q61" s="22">
        <f t="shared" si="53"/>
        <v>572.95432523519332</v>
      </c>
      <c r="R61" s="62">
        <f t="shared" si="0"/>
        <v>866.28765856852669</v>
      </c>
      <c r="S61" s="62">
        <f ca="1">AVERAGE(OFFSET($R$3,0,0,'Données projet'!$E$9+1,1))-AVERAGE(OFFSET($H$3,0,0,'Données projet'!$E$9+1,1))</f>
        <v>309.95417097673084</v>
      </c>
      <c r="T61" s="62">
        <f t="shared" si="34"/>
        <v>170.83243426024433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0.96259386081402443</v>
      </c>
      <c r="AA61" s="23">
        <f>EXP(-LN(2)/25)*AA60+(1-EXP(-LN(2)/25))/(LN(2)/25)*Calculateur!V61*Calculateur!X61*VLOOKUP('Données projet'!$B$9,Paramètres!$A$1:$I$89,3,0)*0.475*44/12</f>
        <v>9.5923259572963726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10.554919818110397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4.4508333333333328</v>
      </c>
      <c r="AI61" s="14">
        <f>IF('Données projet'!$A$62&gt;35,AI60+AH61-AQ60,IF(A61&lt;'Données projet'!$A$62,$AF$205^A61,IF(A61='Données projet'!$A$62,'Données projet'!$B$62,AI60+AH61-AQ60)))</f>
        <v>212.46749999999972</v>
      </c>
      <c r="AJ61" s="14">
        <f>AI61*VLOOKUP('Données projet'!$B$10,Paramètres!$A$1:$I$89,3,0)*VLOOKUP('Données projet'!$B$10,Paramètres!$A$1:$I$89,5,0)</f>
        <v>215.44204499999972</v>
      </c>
      <c r="AK61" s="14">
        <f t="shared" si="35"/>
        <v>53.123032898571431</v>
      </c>
      <c r="AL61" s="22">
        <f t="shared" si="4"/>
        <v>467.75084400667805</v>
      </c>
      <c r="AM61" s="62">
        <f t="shared" si="5"/>
        <v>761.08417734001137</v>
      </c>
      <c r="AN61" s="62">
        <f ca="1">AVERAGE(OFFSET($AM$3,0,0,'Données projet'!$E$10+1,1))-AVERAGE(OFFSET($H$3,0,0,'Données projet'!$E$10+1,1))</f>
        <v>408.65944152905672</v>
      </c>
      <c r="AO61" s="62">
        <f t="shared" si="36"/>
        <v>248.55239719988651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0.92730490838907254</v>
      </c>
      <c r="AV61" s="23">
        <f>EXP(-LN(2)/25)*AV60+(1-EXP(-LN(2)/25))/(LN(2)/25)*Calculateur!AQ61*Calculateur!AS61*VLOOKUP('Données projet'!$B$10,Paramètres!$A$1:$I$89,3,0)*0.475*44/12</f>
        <v>0.43004719519985507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1.3573521035889275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10.399999999999997</v>
      </c>
      <c r="BD61" s="13">
        <f>IF('Données projet'!$A$88&gt;35,BD60+BC61-BL60,IF(A61&lt;'Données projet'!$A$88,$BA$205^A61,IF(A61='Données projet'!$A$88,'Données projet'!$B$88,BD60+BC61-BL60)))</f>
        <v>496.54999999999933</v>
      </c>
      <c r="BE61" s="14">
        <f>BD61*VLOOKUP('Données projet'!$B$11,Paramètres!$A$1:$I$89,3,0)*VLOOKUP('Données projet'!$B$11,Paramètres!$A$1:$I$89,5,0)</f>
        <v>480.2631599999994</v>
      </c>
      <c r="BF61" s="14">
        <f t="shared" si="37"/>
        <v>107.87160770360651</v>
      </c>
      <c r="BG61" s="22">
        <f t="shared" si="7"/>
        <v>1024.3347204171134</v>
      </c>
      <c r="BH61" s="62">
        <f t="shared" si="8"/>
        <v>1317.6680537504467</v>
      </c>
      <c r="BI61" s="62">
        <f ca="1">AVERAGE(OFFSET($BH$3,0,0,'Données projet'!$E$11+1,1))-AVERAGE(OFFSET($H$3,0,0,'Données projet'!$E$11+1,1))</f>
        <v>643.38601112255424</v>
      </c>
      <c r="BJ61" s="62">
        <f t="shared" si="38"/>
        <v>572.76381622085694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0.68892386018197194</v>
      </c>
      <c r="BQ61" s="23">
        <f>EXP(-LN(2)/25)*BQ60+(1-EXP(-LN(2)/25))/(LN(2)/25)*Calculateur!BL61*Calculateur!BN61*VLOOKUP('Données projet'!$B$11,Paramètres!$A$1:$I$89,3,0)*0.475*44/12</f>
        <v>0.47924329597079068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1.1681671561527627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505.23000000000025</v>
      </c>
      <c r="BZ61" s="14">
        <f>BY61*VLOOKUP('Données projet'!$B$12,Paramètres!$A$1:$I$89,3,0)*VLOOKUP('Données projet'!$B$12,Paramètres!$A$1:$I$89,5,0)</f>
        <v>338.90828400000015</v>
      </c>
      <c r="CA61" s="14">
        <f t="shared" si="39"/>
        <v>79.274348782791407</v>
      </c>
      <c r="CB61" s="22">
        <f t="shared" si="10"/>
        <v>728.33475209669507</v>
      </c>
      <c r="CC61" s="62">
        <f t="shared" si="11"/>
        <v>1021.6680854300284</v>
      </c>
      <c r="CD61" s="62">
        <f ca="1">AVERAGE(OFFSET($CC$3,0,0,'Données projet'!$E$12+1,1))-AVERAGE(OFFSET($H$3,0,0,'Données projet'!$E$12+1,1))</f>
        <v>323.41415875740768</v>
      </c>
      <c r="CE61" s="62">
        <f t="shared" si="40"/>
        <v>496.54020068152101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10.399999999999997</v>
      </c>
      <c r="CT61" s="13">
        <f>IF('Données projet'!$A$140&gt;35,CT60+CS61-DB60,IF(A61&lt;'Données projet'!$A$140,$CQ$205^A61,IF(A61='Données projet'!$A$140,'Données projet'!$B$140,CT60+CS61-DB60)))</f>
        <v>496.54999999999933</v>
      </c>
      <c r="CU61" s="18">
        <f>CT61*VLOOKUP('Données projet'!$B$13,Paramètres!$A$1:$I$89,3,0)*VLOOKUP('Données projet'!$B$13,Paramètres!$A$1:$I$89,5,0)</f>
        <v>534.48641999999927</v>
      </c>
      <c r="CV61" s="14">
        <f t="shared" si="41"/>
        <v>118.56511071594208</v>
      </c>
      <c r="CW61" s="22">
        <f t="shared" si="13"/>
        <v>1137.3980826635977</v>
      </c>
      <c r="CX61" s="62">
        <f t="shared" si="14"/>
        <v>1430.731415996931</v>
      </c>
      <c r="CY61" s="62">
        <f ca="1">AVERAGE(OFFSET($CX$3,0,0,'Données projet'!$E$13+1,1))-AVERAGE(OFFSET($H$3,0,0,'Données projet'!$E$13+1,1))</f>
        <v>720.47588458554264</v>
      </c>
      <c r="CZ61" s="62">
        <f t="shared" si="42"/>
        <v>638.59686934821627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0.76670558633154962</v>
      </c>
      <c r="DG61" s="23">
        <f>EXP(-LN(2)/25)*DG60+(1-EXP(-LN(2)/25))/(LN(2)/25)*Calculateur!DB61*Calculateur!DD61*VLOOKUP('Données projet'!$B$13,Paramètres!$A$1:$I$89,3,0)*0.475*44/12</f>
        <v>0.53335141003200903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1.3000569963635586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14.816666666666668</v>
      </c>
      <c r="N62" s="14">
        <f>IF('Données projet'!$A$36&gt;35,N61+M62-V61,IF(A62&lt;'Données projet'!$A$36,$K$205^A62,IF(A62='Données projet'!$A$36,'Données projet'!$B$36,N61+M62-V61)))</f>
        <v>581.37666666666712</v>
      </c>
      <c r="O62" s="14">
        <f>N62*VLOOKUP('Données projet'!$B$9,Paramètres!$A$1:$I$89,3,0)*VLOOKUP('Données projet'!$B$9,Paramètres!$A$1:$I$89,5,0)</f>
        <v>272.08428000000021</v>
      </c>
      <c r="P62" s="14">
        <f t="shared" si="33"/>
        <v>65.291407943853727</v>
      </c>
      <c r="Q62" s="22">
        <f t="shared" si="53"/>
        <v>587.59598983554554</v>
      </c>
      <c r="R62" s="62">
        <f t="shared" si="0"/>
        <v>880.92932316887891</v>
      </c>
      <c r="S62" s="62">
        <f ca="1">AVERAGE(OFFSET($R$3,0,0,'Données projet'!$E$9+1,1))-AVERAGE(OFFSET($H$3,0,0,'Données projet'!$E$9+1,1))</f>
        <v>309.95417097673084</v>
      </c>
      <c r="T62" s="62">
        <f t="shared" si="34"/>
        <v>170.83243426024433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0.94371798232774284</v>
      </c>
      <c r="AA62" s="23">
        <f>EXP(-LN(2)/25)*AA61+(1-EXP(-LN(2)/25))/(LN(2)/25)*Calculateur!V62*Calculateur!X62*VLOOKUP('Données projet'!$B$9,Paramètres!$A$1:$I$89,3,0)*0.475*44/12</f>
        <v>9.3300232995556041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10.273741281883346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4.4508333333333328</v>
      </c>
      <c r="AI62" s="14">
        <f>IF('Données projet'!$A$62&gt;35,AI61+AH62-AQ61,IF(A62&lt;'Données projet'!$A$62,$AF$205^A62,IF(A62='Données projet'!$A$62,'Données projet'!$B$62,AI61+AH62-AQ61)))</f>
        <v>216.91833333333304</v>
      </c>
      <c r="AJ62" s="14">
        <f>AI62*VLOOKUP('Données projet'!$B$10,Paramètres!$A$1:$I$89,3,0)*VLOOKUP('Données projet'!$B$10,Paramètres!$A$1:$I$89,5,0)</f>
        <v>219.95518999999973</v>
      </c>
      <c r="AK62" s="14">
        <f t="shared" si="35"/>
        <v>54.105146373033094</v>
      </c>
      <c r="AL62" s="22">
        <f t="shared" si="4"/>
        <v>477.32175251636551</v>
      </c>
      <c r="AM62" s="62">
        <f t="shared" si="5"/>
        <v>770.65508584969882</v>
      </c>
      <c r="AN62" s="62">
        <f ca="1">AVERAGE(OFFSET($AM$3,0,0,'Données projet'!$E$10+1,1))-AVERAGE(OFFSET($H$3,0,0,'Données projet'!$E$10+1,1))</f>
        <v>408.65944152905672</v>
      </c>
      <c r="AO62" s="62">
        <f t="shared" si="36"/>
        <v>248.55239719988651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0.90912102473570855</v>
      </c>
      <c r="AV62" s="23">
        <f>EXP(-LN(2)/25)*AV61+(1-EXP(-LN(2)/25))/(LN(2)/25)*Calculateur!AQ62*Calculateur!AS62*VLOOKUP('Données projet'!$B$10,Paramètres!$A$1:$I$89,3,0)*0.475*44/12</f>
        <v>0.41828753203191593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1.3274085567676246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10.399999999999997</v>
      </c>
      <c r="BD62" s="13">
        <f>IF('Données projet'!$A$88&gt;35,BD61+BC62-BL61,IF(A62&lt;'Données projet'!$A$88,$BA$205^A62,IF(A62='Données projet'!$A$88,'Données projet'!$B$88,BD61+BC62-BL61)))</f>
        <v>506.94999999999931</v>
      </c>
      <c r="BE62" s="14">
        <f>BD62*VLOOKUP('Données projet'!$B$11,Paramètres!$A$1:$I$89,3,0)*VLOOKUP('Données projet'!$B$11,Paramètres!$A$1:$I$89,5,0)</f>
        <v>490.32203999999933</v>
      </c>
      <c r="BF62" s="14">
        <f t="shared" si="37"/>
        <v>109.86552702814504</v>
      </c>
      <c r="BG62" s="22">
        <f t="shared" si="7"/>
        <v>1045.3266792406848</v>
      </c>
      <c r="BH62" s="62">
        <f t="shared" si="8"/>
        <v>1338.6600125740181</v>
      </c>
      <c r="BI62" s="62">
        <f ca="1">AVERAGE(OFFSET($BH$3,0,0,'Données projet'!$E$11+1,1))-AVERAGE(OFFSET($H$3,0,0,'Données projet'!$E$11+1,1))</f>
        <v>643.38601112255424</v>
      </c>
      <c r="BJ62" s="62">
        <f t="shared" si="38"/>
        <v>572.76381622085694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0.67541448348586663</v>
      </c>
      <c r="BQ62" s="23">
        <f>EXP(-LN(2)/25)*BQ61+(1-EXP(-LN(2)/25))/(LN(2)/25)*Calculateur!BL62*Calculateur!BN62*VLOOKUP('Données projet'!$B$11,Paramètres!$A$1:$I$89,3,0)*0.475*44/12</f>
        <v>0.4661383628401598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1.1415528463260265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505.23000000000025</v>
      </c>
      <c r="BZ62" s="14">
        <f>BY62*VLOOKUP('Données projet'!$B$12,Paramètres!$A$1:$I$89,3,0)*VLOOKUP('Données projet'!$B$12,Paramètres!$A$1:$I$89,5,0)</f>
        <v>338.90828400000015</v>
      </c>
      <c r="CA62" s="14">
        <f t="shared" si="39"/>
        <v>79.274348782791407</v>
      </c>
      <c r="CB62" s="22">
        <f t="shared" si="10"/>
        <v>728.33475209669507</v>
      </c>
      <c r="CC62" s="62">
        <f t="shared" si="11"/>
        <v>1021.6680854300284</v>
      </c>
      <c r="CD62" s="62">
        <f ca="1">AVERAGE(OFFSET($CC$3,0,0,'Données projet'!$E$12+1,1))-AVERAGE(OFFSET($H$3,0,0,'Données projet'!$E$12+1,1))</f>
        <v>323.41415875740768</v>
      </c>
      <c r="CE62" s="62">
        <f t="shared" si="40"/>
        <v>496.54020068152101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10.399999999999997</v>
      </c>
      <c r="CT62" s="13">
        <f>IF('Données projet'!$A$140&gt;35,CT61+CS62-DB61,IF(A62&lt;'Données projet'!$A$140,$CQ$205^A62,IF(A62='Données projet'!$A$140,'Données projet'!$B$140,CT61+CS62-DB61)))</f>
        <v>506.94999999999931</v>
      </c>
      <c r="CU62" s="18">
        <f>CT62*VLOOKUP('Données projet'!$B$13,Paramètres!$A$1:$I$89,3,0)*VLOOKUP('Données projet'!$B$13,Paramètres!$A$1:$I$89,5,0)</f>
        <v>545.68097999999918</v>
      </c>
      <c r="CV62" s="14">
        <f t="shared" si="41"/>
        <v>120.75669078511237</v>
      </c>
      <c r="CW62" s="22">
        <f t="shared" si="13"/>
        <v>1160.7122766174025</v>
      </c>
      <c r="CX62" s="62">
        <f t="shared" si="14"/>
        <v>1454.0456099507358</v>
      </c>
      <c r="CY62" s="62">
        <f ca="1">AVERAGE(OFFSET($CX$3,0,0,'Données projet'!$E$13+1,1))-AVERAGE(OFFSET($H$3,0,0,'Données projet'!$E$13+1,1))</f>
        <v>720.47588458554264</v>
      </c>
      <c r="CZ62" s="62">
        <f t="shared" si="42"/>
        <v>638.59686934821627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0.75167095742781953</v>
      </c>
      <c r="DG62" s="23">
        <f>EXP(-LN(2)/25)*DG61+(1-EXP(-LN(2)/25))/(LN(2)/25)*Calculateur!DB62*Calculateur!DD62*VLOOKUP('Données projet'!$B$13,Paramètres!$A$1:$I$89,3,0)*0.475*44/12</f>
        <v>0.51876688767695212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1.2704378451047718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14.816666666666668</v>
      </c>
      <c r="N63" s="14">
        <f>IF('Données projet'!$A$36&gt;35,N62+M63-V62,IF(A63&lt;'Données projet'!$A$36,$K$205^A63,IF(A63='Données projet'!$A$36,'Données projet'!$B$36,N62+M63-V62)))</f>
        <v>596.19333333333384</v>
      </c>
      <c r="O63" s="14">
        <f>N63*VLOOKUP('Données projet'!$B$9,Paramètres!$A$1:$I$89,3,0)*VLOOKUP('Données projet'!$B$9,Paramètres!$A$1:$I$89,5,0)</f>
        <v>279.01848000000024</v>
      </c>
      <c r="P63" s="14">
        <f t="shared" si="33"/>
        <v>66.759543116763297</v>
      </c>
      <c r="Q63" s="22">
        <f t="shared" si="53"/>
        <v>602.23005692836307</v>
      </c>
      <c r="R63" s="62">
        <f t="shared" si="0"/>
        <v>895.56339026169644</v>
      </c>
      <c r="S63" s="62">
        <f ca="1">AVERAGE(OFFSET($R$3,0,0,'Données projet'!$E$9+1,1))-AVERAGE(OFFSET($H$3,0,0,'Données projet'!$E$9+1,1))</f>
        <v>309.95417097673084</v>
      </c>
      <c r="T63" s="62">
        <f t="shared" si="34"/>
        <v>170.83243426024433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0.92521224830542814</v>
      </c>
      <c r="AA63" s="23">
        <f>EXP(-LN(2)/25)*AA62+(1-EXP(-LN(2)/25))/(LN(2)/25)*Calculateur!V63*Calculateur!X63*VLOOKUP('Données projet'!$B$9,Paramètres!$A$1:$I$89,3,0)*0.475*44/12</f>
        <v>9.0748933217846552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10.000105570090083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4.4508333333333328</v>
      </c>
      <c r="AI63" s="14">
        <f>IF('Données projet'!$A$62&gt;35,AI62+AH63-AQ62,IF(A63&lt;'Données projet'!$A$62,$AF$205^A63,IF(A63='Données projet'!$A$62,'Données projet'!$B$62,AI62+AH63-AQ62)))</f>
        <v>221.36916666666636</v>
      </c>
      <c r="AJ63" s="14">
        <f>AI63*VLOOKUP('Données projet'!$B$10,Paramètres!$A$1:$I$89,3,0)*VLOOKUP('Données projet'!$B$10,Paramètres!$A$1:$I$89,5,0)</f>
        <v>224.46833499999971</v>
      </c>
      <c r="AK63" s="14">
        <f t="shared" si="35"/>
        <v>55.084916841415307</v>
      </c>
      <c r="AL63" s="22">
        <f t="shared" si="4"/>
        <v>486.88858029046446</v>
      </c>
      <c r="AM63" s="62">
        <f t="shared" si="5"/>
        <v>780.22191362379772</v>
      </c>
      <c r="AN63" s="62">
        <f ca="1">AVERAGE(OFFSET($AM$3,0,0,'Données projet'!$E$10+1,1))-AVERAGE(OFFSET($H$3,0,0,'Données projet'!$E$10+1,1))</f>
        <v>408.65944152905672</v>
      </c>
      <c r="AO63" s="62">
        <f t="shared" si="36"/>
        <v>248.55239719988651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0.89129371594971318</v>
      </c>
      <c r="AV63" s="23">
        <f>EXP(-LN(2)/25)*AV62+(1-EXP(-LN(2)/25))/(LN(2)/25)*Calculateur!AQ63*Calculateur!AS63*VLOOKUP('Données projet'!$B$10,Paramètres!$A$1:$I$89,3,0)*0.475*44/12</f>
        <v>0.40684943747171787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1.2981431534214312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10.399999999999997</v>
      </c>
      <c r="BD63" s="13">
        <f>IF('Données projet'!$A$88&gt;35,BD62+BC63-BL62,IF(A63&lt;'Données projet'!$A$88,$BA$205^A63,IF(A63='Données projet'!$A$88,'Données projet'!$B$88,BD62+BC63-BL62)))</f>
        <v>517.34999999999934</v>
      </c>
      <c r="BE63" s="14">
        <f>BD63*VLOOKUP('Données projet'!$B$11,Paramètres!$A$1:$I$89,3,0)*VLOOKUP('Données projet'!$B$11,Paramètres!$A$1:$I$89,5,0)</f>
        <v>500.38091999999938</v>
      </c>
      <c r="BF63" s="14">
        <f t="shared" si="37"/>
        <v>111.85469034499936</v>
      </c>
      <c r="BG63" s="22">
        <f t="shared" si="7"/>
        <v>1066.310354684206</v>
      </c>
      <c r="BH63" s="62">
        <f t="shared" si="8"/>
        <v>1359.6436880175393</v>
      </c>
      <c r="BI63" s="62">
        <f ca="1">AVERAGE(OFFSET($BH$3,0,0,'Données projet'!$E$11+1,1))-AVERAGE(OFFSET($H$3,0,0,'Données projet'!$E$11+1,1))</f>
        <v>643.38601112255424</v>
      </c>
      <c r="BJ63" s="62">
        <f t="shared" si="38"/>
        <v>572.76381622085694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0.66217001742686588</v>
      </c>
      <c r="BQ63" s="23">
        <f>EXP(-LN(2)/25)*BQ62+(1-EXP(-LN(2)/25))/(LN(2)/25)*Calculateur!BL63*Calculateur!BN63*VLOOKUP('Données projet'!$B$11,Paramètres!$A$1:$I$89,3,0)*0.475*44/12</f>
        <v>0.45339178479514453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1.1155618022220104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505.23000000000025</v>
      </c>
      <c r="BZ63" s="14">
        <f>BY63*VLOOKUP('Données projet'!$B$12,Paramètres!$A$1:$I$89,3,0)*VLOOKUP('Données projet'!$B$12,Paramètres!$A$1:$I$89,5,0)</f>
        <v>338.90828400000015</v>
      </c>
      <c r="CA63" s="14">
        <f t="shared" si="39"/>
        <v>79.274348782791407</v>
      </c>
      <c r="CB63" s="22">
        <f t="shared" si="10"/>
        <v>728.33475209669507</v>
      </c>
      <c r="CC63" s="62">
        <f t="shared" si="11"/>
        <v>1021.6680854300284</v>
      </c>
      <c r="CD63" s="62">
        <f ca="1">AVERAGE(OFFSET($CC$3,0,0,'Données projet'!$E$12+1,1))-AVERAGE(OFFSET($H$3,0,0,'Données projet'!$E$12+1,1))</f>
        <v>323.41415875740768</v>
      </c>
      <c r="CE63" s="62">
        <f t="shared" si="40"/>
        <v>496.54020068152101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10.399999999999997</v>
      </c>
      <c r="CT63" s="13">
        <f>IF('Données projet'!$A$140&gt;35,CT62+CS63-DB62,IF(A63&lt;'Données projet'!$A$140,$CQ$205^A63,IF(A63='Données projet'!$A$140,'Données projet'!$B$140,CT62+CS63-DB62)))</f>
        <v>517.34999999999934</v>
      </c>
      <c r="CU63" s="18">
        <f>CT63*VLOOKUP('Données projet'!$B$13,Paramètres!$A$1:$I$89,3,0)*VLOOKUP('Données projet'!$B$13,Paramètres!$A$1:$I$89,5,0)</f>
        <v>556.87553999999932</v>
      </c>
      <c r="CV63" s="14">
        <f t="shared" si="41"/>
        <v>122.94304337515574</v>
      </c>
      <c r="CW63" s="22">
        <f t="shared" si="13"/>
        <v>1184.0173660450616</v>
      </c>
      <c r="CX63" s="62">
        <f t="shared" si="14"/>
        <v>1477.3506993783949</v>
      </c>
      <c r="CY63" s="62">
        <f ca="1">AVERAGE(OFFSET($CX$3,0,0,'Données projet'!$E$13+1,1))-AVERAGE(OFFSET($H$3,0,0,'Données projet'!$E$13+1,1))</f>
        <v>720.47588458554264</v>
      </c>
      <c r="CZ63" s="62">
        <f t="shared" si="42"/>
        <v>638.59686934821627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0.73693114842667351</v>
      </c>
      <c r="DG63" s="23">
        <f>EXP(-LN(2)/25)*DG62+(1-EXP(-LN(2)/25))/(LN(2)/25)*Calculateur!DB63*Calculateur!DD63*VLOOKUP('Données projet'!$B$13,Paramètres!$A$1:$I$89,3,0)*0.475*44/12</f>
        <v>0.50458117985266093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1.2415123282793346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>
        <f>VLOOKUP(A64,'Données projet'!$A$35:$I$55,2,0)</f>
        <v>611.01</v>
      </c>
      <c r="L64" s="13">
        <f>VLOOKUP(A64,'Données projet'!$A$35:$I$55,9,0)</f>
        <v>14.816666666666668</v>
      </c>
      <c r="M64" s="13">
        <f t="array" ref="M64">INDEX(L:L,MIN(IF(ISNUMBER(L64:L260),ROW(L64:L260),"")))</f>
        <v>14.816666666666668</v>
      </c>
      <c r="N64" s="14">
        <f>IF('Données projet'!$A$36&gt;35,N63+M64-V63,IF(A64&lt;'Données projet'!$A$36,$K$205^A64,IF(A64='Données projet'!$A$36,'Données projet'!$B$36,N63+M64-V63)))</f>
        <v>611.01000000000056</v>
      </c>
      <c r="O64" s="14">
        <f>N64*VLOOKUP('Données projet'!$B$9,Paramètres!$A$1:$I$89,3,0)*VLOOKUP('Données projet'!$B$9,Paramètres!$A$1:$I$89,5,0)</f>
        <v>285.95268000000027</v>
      </c>
      <c r="P64" s="14">
        <f t="shared" si="33"/>
        <v>68.223436963639557</v>
      </c>
      <c r="Q64" s="22">
        <f t="shared" si="53"/>
        <v>616.85673704500607</v>
      </c>
      <c r="R64" s="62">
        <f t="shared" si="0"/>
        <v>910.19007037833944</v>
      </c>
      <c r="S64" s="62">
        <f ca="1">AVERAGE(OFFSET($R$3,0,0,'Données projet'!$E$9+1,1))-AVERAGE(OFFSET($H$3,0,0,'Données projet'!$E$9+1,1))</f>
        <v>309.95417097673084</v>
      </c>
      <c r="T64" s="62">
        <f t="shared" si="34"/>
        <v>170.83243426024433</v>
      </c>
      <c r="U64" s="16">
        <f>IF(ISNA(VLOOKUP(A64,'Données projet'!$A$35:$I$55,3,0)),0,VLOOKUP(A64,'Données projet'!$A$35:$I$55,3,0))</f>
        <v>8</v>
      </c>
      <c r="V64" s="16">
        <f>IF(ISNA(VLOOKUP(A64,'Données projet'!$A$35:$I$55,4,0)),0,VLOOKUP(A64,'Données projet'!$A$35:$I$55,4,0))</f>
        <v>61.1</v>
      </c>
      <c r="W64" s="17">
        <f>IF(ISNA(VLOOKUP(A64,'Données projet'!$A$35:$I$55,5,0)),0%,VLOOKUP(A64,'Données projet'!$A$35:$I$55,5,0)*VLOOKUP('Données projet'!$B$9,Paramètres!$A$1:$I$89,7,0))</f>
        <v>4.9500000000000002E-2</v>
      </c>
      <c r="X64" s="17">
        <f>IF(ISNA(VLOOKUP(A64,'Données projet'!$A$35:$I$55,6,0)),0%,VLOOKUP(A64,'Données projet'!$A$35:$I$55,6,0)*VLOOKUP('Données projet'!$B$9,Paramètres!$A$1:$I$89,7,0))</f>
        <v>0.29700000000000004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2.7847452423148349</v>
      </c>
      <c r="AA64" s="23">
        <f>EXP(-LN(2)/25)*AA63+(1-EXP(-LN(2)/25))/(LN(2)/25)*Calculateur!V64*Calculateur!X64*VLOOKUP('Données projet'!$B$9,Paramètres!$A$1:$I$89,3,0)*0.475*44/12</f>
        <v>20.04843618648183</v>
      </c>
      <c r="AB64" s="23">
        <f>EXP(-LN(2)/2)*AB63+(1-EXP(-LN(2)/2))/(LN(2)/2)*V64*Y64*VLOOKUP('Données projet'!$B$9,Paramètres!$A$1:$I$89,3,0)*0.475*44/12</f>
        <v>0</v>
      </c>
      <c r="AC64" s="24">
        <f t="shared" si="3"/>
        <v>22.833181428796664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>
        <f>VLOOKUP(A64,'Données projet'!$A$61:$I$81,2,0)</f>
        <v>225.82</v>
      </c>
      <c r="AG64" s="13">
        <f>VLOOKUP(A64,'Données projet'!$A$61:$I$81,9,0)</f>
        <v>4.4508333333333328</v>
      </c>
      <c r="AH64" s="13">
        <f t="array" ref="AH64">INDEX(AG:AG,MIN(IF(ISNUMBER(AG64:AG260),ROW(AG64:AG260),"")))</f>
        <v>4.4508333333333328</v>
      </c>
      <c r="AI64" s="14">
        <f>IF('Données projet'!$A$62&gt;35,AI63+AH64-AQ63,IF(A64&lt;'Données projet'!$A$62,$AF$205^A64,IF(A64='Données projet'!$A$62,'Données projet'!$B$62,AI63+AH64-AQ63)))</f>
        <v>225.81999999999968</v>
      </c>
      <c r="AJ64" s="14">
        <f>AI64*VLOOKUP('Données projet'!$B$10,Paramètres!$A$1:$I$89,3,0)*VLOOKUP('Données projet'!$B$10,Paramètres!$A$1:$I$89,5,0)</f>
        <v>228.98147999999966</v>
      </c>
      <c r="AK64" s="14">
        <f t="shared" si="35"/>
        <v>56.062396841097936</v>
      </c>
      <c r="AL64" s="22">
        <f t="shared" si="4"/>
        <v>496.45141883157822</v>
      </c>
      <c r="AM64" s="62">
        <f t="shared" si="5"/>
        <v>789.78475216491154</v>
      </c>
      <c r="AN64" s="62">
        <f ca="1">AVERAGE(OFFSET($AM$3,0,0,'Données projet'!$E$10+1,1))-AVERAGE(OFFSET($H$3,0,0,'Données projet'!$E$10+1,1))</f>
        <v>408.65944152905672</v>
      </c>
      <c r="AO64" s="62">
        <f t="shared" si="36"/>
        <v>248.55239719988651</v>
      </c>
      <c r="AP64" s="16">
        <f>IF(ISNA(VLOOKUP(A64,'Données projet'!$A$61:$I$81,3,0)),0,VLOOKUP(A64,'Données projet'!$A$61:$I$81,3,0))</f>
        <v>5</v>
      </c>
      <c r="AQ64" s="16">
        <f>IF(ISNA(VLOOKUP(A64,'Données projet'!$A$61:$I$81,4,0)),0,VLOOKUP(A64,'Données projet'!$A$61:$I$81,4,0))</f>
        <v>22.58</v>
      </c>
      <c r="AR64" s="17">
        <f>IF(ISNA(VLOOKUP(A64,'Données projet'!$A$61:$I$81,5,0)),0%,VLOOKUP(A64,'Données projet'!$A$61:$I$81,5,0)*VLOOKUP('Données projet'!$B$10,Paramètres!$A$1:$I$89,7,0))</f>
        <v>6.0200000000000004E-2</v>
      </c>
      <c r="AS64" s="17">
        <f>IF(ISNA(VLOOKUP(A64,'Données projet'!$A$61:$I$81,6,0)),0%,VLOOKUP(A64,'Données projet'!$A$61:$I$81,6,0)*VLOOKUP('Données projet'!$B$10,Paramètres!$A$1:$I$89,7,0))</f>
        <v>3.44E-2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2.3975371342825911</v>
      </c>
      <c r="AV64" s="23">
        <f>EXP(-LN(2)/25)*AV63+(1-EXP(-LN(2)/25))/(LN(2)/25)*Calculateur!AQ64*Calculateur!AS64*VLOOKUP('Données projet'!$B$10,Paramètres!$A$1:$I$89,3,0)*0.475*44/12</f>
        <v>1.2629936460591287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3.6605307803417197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>
        <f>VLOOKUP(A64,'Données projet'!$A$87:$I$107,2,0)</f>
        <v>527.75</v>
      </c>
      <c r="BB64" s="13">
        <f>VLOOKUP(A64,'Données projet'!$A$87:$I$107,9,0)</f>
        <v>10.399999999999997</v>
      </c>
      <c r="BC64" s="13">
        <f t="array" ref="BC64">INDEX(BB:BB,MIN(IF(ISNUMBER(BB64:BB260),ROW(BB64:BB260),"")))</f>
        <v>10.399999999999997</v>
      </c>
      <c r="BD64" s="13">
        <f>IF('Données projet'!$A$88&gt;35,BD63+BC64-BL63,IF(A64&lt;'Données projet'!$A$88,$BA$205^A64,IF(A64='Données projet'!$A$88,'Données projet'!$B$88,BD63+BC64-BL63)))</f>
        <v>527.74999999999932</v>
      </c>
      <c r="BE64" s="14">
        <f>BD64*VLOOKUP('Données projet'!$B$11,Paramètres!$A$1:$I$89,3,0)*VLOOKUP('Données projet'!$B$11,Paramètres!$A$1:$I$89,5,0)</f>
        <v>510.43979999999937</v>
      </c>
      <c r="BF64" s="14">
        <f t="shared" si="37"/>
        <v>113.83920427996701</v>
      </c>
      <c r="BG64" s="22">
        <f t="shared" si="7"/>
        <v>1087.2859324542746</v>
      </c>
      <c r="BH64" s="62">
        <f t="shared" si="8"/>
        <v>1380.6192657876079</v>
      </c>
      <c r="BI64" s="62">
        <f ca="1">AVERAGE(OFFSET($BH$3,0,0,'Données projet'!$E$11+1,1))-AVERAGE(OFFSET($H$3,0,0,'Données projet'!$E$11+1,1))</f>
        <v>643.38601112255424</v>
      </c>
      <c r="BJ64" s="62">
        <f t="shared" si="38"/>
        <v>572.76381622085694</v>
      </c>
      <c r="BK64" s="16">
        <f>IF(ISNA(VLOOKUP(A64,'Données projet'!$A$87:$I$107,3,0)),0,VLOOKUP(A64,'Données projet'!$A$87:$I$107,3,0))</f>
        <v>5</v>
      </c>
      <c r="BL64" s="16">
        <f>IF(ISNA(VLOOKUP(A64,'Données projet'!$A$87:$I$107,4,0)),0,VLOOKUP(A64,'Données projet'!$A$87:$I$107,4,0))</f>
        <v>52.77</v>
      </c>
      <c r="BM64" s="17">
        <f>IF(ISNA(VLOOKUP(A64,'Données projet'!$A$87:$I$107,5,0)),0%,VLOOKUP(A64,'Données projet'!$A$87:$I$107,5,0)*VLOOKUP('Données projet'!$B$11,Paramètres!$A$1:$I$89,7,0))</f>
        <v>3.44E-2</v>
      </c>
      <c r="BN64" s="17">
        <f>IF(ISNA(VLOOKUP(A64,'Données projet'!$A$87:$I$107,6,0)),0%,VLOOKUP(A64,'Données projet'!$A$87:$I$107,6,0)*VLOOKUP('Données projet'!$B$11,Paramètres!$A$1:$I$89,7,0))</f>
        <v>2.58E-2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2.5901110762408166</v>
      </c>
      <c r="BQ64" s="23">
        <f>EXP(-LN(2)/25)*BQ63+(1-EXP(-LN(2)/25))/(LN(2)/25)*Calculateur!BL64*Calculateur!BN64*VLOOKUP('Données projet'!$B$11,Paramètres!$A$1:$I$89,3,0)*0.475*44/12</f>
        <v>1.8909564959805034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4.4810675722213205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505.23000000000025</v>
      </c>
      <c r="BZ64" s="14">
        <f>BY64*VLOOKUP('Données projet'!$B$12,Paramètres!$A$1:$I$89,3,0)*VLOOKUP('Données projet'!$B$12,Paramètres!$A$1:$I$89,5,0)</f>
        <v>338.90828400000015</v>
      </c>
      <c r="CA64" s="14">
        <f t="shared" si="39"/>
        <v>79.274348782791407</v>
      </c>
      <c r="CB64" s="22">
        <f t="shared" si="10"/>
        <v>728.33475209669507</v>
      </c>
      <c r="CC64" s="62">
        <f t="shared" si="11"/>
        <v>1021.6680854300284</v>
      </c>
      <c r="CD64" s="62">
        <f ca="1">AVERAGE(OFFSET($CC$3,0,0,'Données projet'!$E$12+1,1))-AVERAGE(OFFSET($H$3,0,0,'Données projet'!$E$12+1,1))</f>
        <v>323.41415875740768</v>
      </c>
      <c r="CE64" s="62">
        <f t="shared" si="40"/>
        <v>496.54020068152101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>
        <f>VLOOKUP(A64,'Données projet'!$A$139:$I$159,2,0)</f>
        <v>527.75</v>
      </c>
      <c r="CR64" s="13">
        <f>VLOOKUP(A64,'Données projet'!$A$139:$I$159,9,0)</f>
        <v>10.399999999999997</v>
      </c>
      <c r="CS64" s="13">
        <f t="array" ref="CS64">INDEX(CR:CR,MIN(IF(ISNUMBER(CR64:CR260),ROW(CR64:CR260),"")))</f>
        <v>10.399999999999997</v>
      </c>
      <c r="CT64" s="13">
        <f>IF('Données projet'!$A$140&gt;35,CT63+CS64-DB63,IF(A64&lt;'Données projet'!$A$140,$CQ$205^A64,IF(A64='Données projet'!$A$140,'Données projet'!$B$140,CT63+CS64-DB63)))</f>
        <v>527.74999999999932</v>
      </c>
      <c r="CU64" s="18">
        <f>CT64*VLOOKUP('Données projet'!$B$13,Paramètres!$A$1:$I$89,3,0)*VLOOKUP('Données projet'!$B$13,Paramètres!$A$1:$I$89,5,0)</f>
        <v>568.07009999999923</v>
      </c>
      <c r="CV64" s="14">
        <f t="shared" si="41"/>
        <v>125.12428568187363</v>
      </c>
      <c r="CW64" s="22">
        <f t="shared" si="13"/>
        <v>1207.3135550625952</v>
      </c>
      <c r="CX64" s="62">
        <f t="shared" si="14"/>
        <v>1500.6468883959285</v>
      </c>
      <c r="CY64" s="62">
        <f ca="1">AVERAGE(OFFSET($CX$3,0,0,'Données projet'!$E$13+1,1))-AVERAGE(OFFSET($H$3,0,0,'Données projet'!$E$13+1,1))</f>
        <v>720.47588458554264</v>
      </c>
      <c r="CZ64" s="62">
        <f t="shared" si="42"/>
        <v>638.59686934821627</v>
      </c>
      <c r="DA64" s="16">
        <f>IF(ISNA(VLOOKUP(A64,'Données projet'!$A$139:$I$159,3,0)),0,VLOOKUP(A64,'Données projet'!$A$139:$I$159,3,0))</f>
        <v>5</v>
      </c>
      <c r="DB64" s="16">
        <f>IF(ISNA(VLOOKUP(A64,'Données projet'!$A$139:$I$159,4,0)),0,VLOOKUP(A64,'Données projet'!$A$139:$I$159,4,0))</f>
        <v>52.77</v>
      </c>
      <c r="DC64" s="17">
        <f>IF(ISNA(VLOOKUP(A64,'Données projet'!$A$139:$I$159,5,0)),0%,VLOOKUP(A64,'Données projet'!$A$139:$I$159,5,0)*VLOOKUP('Données projet'!$B$13,Paramètres!$A$1:$I$89,7,0))</f>
        <v>3.44E-2</v>
      </c>
      <c r="DD64" s="17">
        <f>IF(ISNA(VLOOKUP(A64,'Données projet'!$A$139:$I$159,6,0)),0%,VLOOKUP(A64,'Données projet'!$A$139:$I$159,6,0)*VLOOKUP('Données projet'!$B$13,Paramètres!$A$1:$I$89,7,0))</f>
        <v>2.58E-2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2.882542971945425</v>
      </c>
      <c r="DG64" s="23">
        <f>EXP(-LN(2)/25)*DG63+(1-EXP(-LN(2)/25))/(LN(2)/25)*Calculateur!DB64*Calculateur!DD64*VLOOKUP('Données projet'!$B$13,Paramètres!$A$1:$I$89,3,0)*0.475*44/12</f>
        <v>2.1044515842363665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4.9869945561817914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14.900000000000006</v>
      </c>
      <c r="N65" s="14">
        <f>IF('Données projet'!$A$36&gt;35,N64+M65-V64,IF(A65&lt;'Données projet'!$A$36,$K$205^A65,IF(A65='Données projet'!$A$36,'Données projet'!$B$36,N64+M65-V64)))</f>
        <v>564.81000000000051</v>
      </c>
      <c r="O65" s="14">
        <f>N65*VLOOKUP('Données projet'!$B$9,Paramètres!$A$1:$I$89,3,0)*VLOOKUP('Données projet'!$B$9,Paramètres!$A$1:$I$89,5,0)</f>
        <v>264.33108000000027</v>
      </c>
      <c r="P65" s="14">
        <f t="shared" si="33"/>
        <v>63.644699640035327</v>
      </c>
      <c r="Q65" s="22">
        <f t="shared" si="53"/>
        <v>571.22448287306202</v>
      </c>
      <c r="R65" s="62">
        <f t="shared" si="0"/>
        <v>864.55781620639527</v>
      </c>
      <c r="S65" s="62">
        <f ca="1">AVERAGE(OFFSET($R$3,0,0,'Données projet'!$E$9+1,1))-AVERAGE(OFFSET($H$3,0,0,'Données projet'!$E$9+1,1))</f>
        <v>309.95417097673084</v>
      </c>
      <c r="T65" s="62">
        <f t="shared" si="34"/>
        <v>170.83243426024433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2.7301380866399234</v>
      </c>
      <c r="AA65" s="23">
        <f>EXP(-LN(2)/25)*AA64+(1-EXP(-LN(2)/25))/(LN(2)/25)*Calculateur!V65*Calculateur!X65*VLOOKUP('Données projet'!$B$9,Paramètres!$A$1:$I$89,3,0)*0.475*44/12</f>
        <v>19.500210644661045</v>
      </c>
      <c r="AB65" s="23">
        <f>EXP(-LN(2)/2)*AB64+(1-EXP(-LN(2)/2))/(LN(2)/2)*V65*Y65*VLOOKUP('Données projet'!$B$9,Paramètres!$A$1:$I$89,3,0)*0.475*44/12</f>
        <v>0</v>
      </c>
      <c r="AC65" s="24">
        <f t="shared" si="3"/>
        <v>22.230348731300968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4.4491666666666658</v>
      </c>
      <c r="AI65" s="14">
        <f>IF('Données projet'!$A$62&gt;35,AI64+AH65-AQ64,IF(A65&lt;'Données projet'!$A$62,$AF$205^A65,IF(A65='Données projet'!$A$62,'Données projet'!$B$62,AI64+AH65-AQ64)))</f>
        <v>207.68916666666632</v>
      </c>
      <c r="AJ65" s="14">
        <f>AI65*VLOOKUP('Données projet'!$B$10,Paramètres!$A$1:$I$89,3,0)*VLOOKUP('Données projet'!$B$10,Paramètres!$A$1:$I$89,5,0)</f>
        <v>210.59681499999968</v>
      </c>
      <c r="AK65" s="14">
        <f t="shared" si="35"/>
        <v>52.065983242516253</v>
      </c>
      <c r="AL65" s="22">
        <f t="shared" si="4"/>
        <v>457.47104027238191</v>
      </c>
      <c r="AM65" s="62">
        <f t="shared" si="5"/>
        <v>750.80437360571523</v>
      </c>
      <c r="AN65" s="62">
        <f ca="1">AVERAGE(OFFSET($AM$3,0,0,'Données projet'!$E$10+1,1))-AVERAGE(OFFSET($H$3,0,0,'Données projet'!$E$10+1,1))</f>
        <v>408.65944152905672</v>
      </c>
      <c r="AO65" s="62">
        <f t="shared" si="36"/>
        <v>248.55239719988651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2.3505228934325659</v>
      </c>
      <c r="AV65" s="23">
        <f>EXP(-LN(2)/25)*AV64+(1-EXP(-LN(2)/25))/(LN(2)/25)*Calculateur!AQ65*Calculateur!AS65*VLOOKUP('Données projet'!$B$10,Paramètres!$A$1:$I$89,3,0)*0.475*44/12</f>
        <v>1.2284570183896926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3.5789799118222585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10.399166666666664</v>
      </c>
      <c r="BD65" s="13">
        <f>IF('Données projet'!$A$88&gt;35,BD64+BC65-BL64,IF(A65&lt;'Données projet'!$A$88,$BA$205^A65,IF(A65='Données projet'!$A$88,'Données projet'!$B$88,BD64+BC65-BL64)))</f>
        <v>485.37916666666604</v>
      </c>
      <c r="BE65" s="14">
        <f>BD65*VLOOKUP('Données projet'!$B$11,Paramètres!$A$1:$I$89,3,0)*VLOOKUP('Données projet'!$B$11,Paramètres!$A$1:$I$89,5,0)</f>
        <v>469.45872999999943</v>
      </c>
      <c r="BF65" s="14">
        <f t="shared" si="37"/>
        <v>105.72447684072412</v>
      </c>
      <c r="BG65" s="22">
        <f t="shared" si="7"/>
        <v>1001.7774185809267</v>
      </c>
      <c r="BH65" s="62">
        <f t="shared" si="8"/>
        <v>1295.1107519142599</v>
      </c>
      <c r="BI65" s="62">
        <f ca="1">AVERAGE(OFFSET($BH$3,0,0,'Données projet'!$E$11+1,1))-AVERAGE(OFFSET($H$3,0,0,'Données projet'!$E$11+1,1))</f>
        <v>643.38601112255424</v>
      </c>
      <c r="BJ65" s="62">
        <f t="shared" si="38"/>
        <v>572.76381622085694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2.5393205778474974</v>
      </c>
      <c r="BQ65" s="23">
        <f>EXP(-LN(2)/25)*BQ64+(1-EXP(-LN(2)/25))/(LN(2)/25)*Calculateur!BL65*Calculateur!BN65*VLOOKUP('Données projet'!$B$11,Paramètres!$A$1:$I$89,3,0)*0.475*44/12</f>
        <v>1.8392481911568364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4.3785687690043336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505.23000000000025</v>
      </c>
      <c r="BZ65" s="14">
        <f>BY65*VLOOKUP('Données projet'!$B$12,Paramètres!$A$1:$I$89,3,0)*VLOOKUP('Données projet'!$B$12,Paramètres!$A$1:$I$89,5,0)</f>
        <v>338.90828400000015</v>
      </c>
      <c r="CA65" s="14">
        <f t="shared" si="39"/>
        <v>79.274348782791407</v>
      </c>
      <c r="CB65" s="22">
        <f t="shared" si="10"/>
        <v>728.33475209669507</v>
      </c>
      <c r="CC65" s="62">
        <f t="shared" si="11"/>
        <v>1021.6680854300284</v>
      </c>
      <c r="CD65" s="62">
        <f ca="1">AVERAGE(OFFSET($CC$3,0,0,'Données projet'!$E$12+1,1))-AVERAGE(OFFSET($H$3,0,0,'Données projet'!$E$12+1,1))</f>
        <v>323.41415875740768</v>
      </c>
      <c r="CE65" s="62">
        <f t="shared" si="40"/>
        <v>496.54020068152101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10.399166666666664</v>
      </c>
      <c r="CT65" s="13">
        <f>IF('Données projet'!$A$140&gt;35,CT64+CS65-DB64,IF(A65&lt;'Données projet'!$A$140,$CQ$205^A65,IF(A65='Données projet'!$A$140,'Données projet'!$B$140,CT64+CS65-DB64)))</f>
        <v>485.37916666666604</v>
      </c>
      <c r="CU65" s="18">
        <f>CT65*VLOOKUP('Données projet'!$B$13,Paramètres!$A$1:$I$89,3,0)*VLOOKUP('Données projet'!$B$13,Paramètres!$A$1:$I$89,5,0)</f>
        <v>522.46213499999931</v>
      </c>
      <c r="CV65" s="14">
        <f t="shared" si="41"/>
        <v>116.20513097800459</v>
      </c>
      <c r="CW65" s="22">
        <f t="shared" si="13"/>
        <v>1112.3454882450235</v>
      </c>
      <c r="CX65" s="62">
        <f t="shared" si="14"/>
        <v>1405.6788215783567</v>
      </c>
      <c r="CY65" s="62">
        <f ca="1">AVERAGE(OFFSET($CX$3,0,0,'Données projet'!$E$13+1,1))-AVERAGE(OFFSET($H$3,0,0,'Données projet'!$E$13+1,1))</f>
        <v>720.47588458554264</v>
      </c>
      <c r="CZ65" s="62">
        <f t="shared" si="42"/>
        <v>638.59686934821627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2.8260180624431825</v>
      </c>
      <c r="DG65" s="23">
        <f>EXP(-LN(2)/25)*DG64+(1-EXP(-LN(2)/25))/(LN(2)/25)*Calculateur!DB65*Calculateur!DD65*VLOOKUP('Données projet'!$B$13,Paramètres!$A$1:$I$89,3,0)*0.475*44/12</f>
        <v>2.0469052449971241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4.8729233074403062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14.900000000000006</v>
      </c>
      <c r="N66" s="14">
        <f>IF('Données projet'!$A$36&gt;35,N65+M66-V65,IF(A66&lt;'Données projet'!$A$36,$K$205^A66,IF(A66='Données projet'!$A$36,'Données projet'!$B$36,N65+M66-V65)))</f>
        <v>579.71000000000049</v>
      </c>
      <c r="O66" s="14">
        <f>N66*VLOOKUP('Données projet'!$B$9,Paramètres!$A$1:$I$89,3,0)*VLOOKUP('Données projet'!$B$9,Paramètres!$A$1:$I$89,5,0)</f>
        <v>271.30428000000023</v>
      </c>
      <c r="P66" s="14">
        <f t="shared" si="33"/>
        <v>65.125992739996661</v>
      </c>
      <c r="Q66" s="22">
        <f t="shared" si="53"/>
        <v>585.94939168882786</v>
      </c>
      <c r="R66" s="62">
        <f t="shared" si="0"/>
        <v>879.28272502216123</v>
      </c>
      <c r="S66" s="62">
        <f ca="1">AVERAGE(OFFSET($R$3,0,0,'Données projet'!$E$9+1,1))-AVERAGE(OFFSET($H$3,0,0,'Données projet'!$E$9+1,1))</f>
        <v>309.95417097673084</v>
      </c>
      <c r="T66" s="62">
        <f t="shared" si="34"/>
        <v>170.83243426024433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2.6766017439807204</v>
      </c>
      <c r="AA66" s="23">
        <f>EXP(-LN(2)/25)*AA65+(1-EXP(-LN(2)/25))/(LN(2)/25)*Calculateur!V66*Calculateur!X66*VLOOKUP('Données projet'!$B$9,Paramètres!$A$1:$I$89,3,0)*0.475*44/12</f>
        <v>18.966976359111278</v>
      </c>
      <c r="AB66" s="23">
        <f>EXP(-LN(2)/2)*AB65+(1-EXP(-LN(2)/2))/(LN(2)/2)*V66*Y66*VLOOKUP('Données projet'!$B$9,Paramètres!$A$1:$I$89,3,0)*0.475*44/12</f>
        <v>0</v>
      </c>
      <c r="AC66" s="24">
        <f t="shared" si="3"/>
        <v>21.643578103091997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4.4491666666666658</v>
      </c>
      <c r="AI66" s="14">
        <f>IF('Données projet'!$A$62&gt;35,AI65+AH66-AQ65,IF(A66&lt;'Données projet'!$A$62,$AF$205^A66,IF(A66='Données projet'!$A$62,'Données projet'!$B$62,AI65+AH66-AQ65)))</f>
        <v>212.13833333333298</v>
      </c>
      <c r="AJ66" s="14">
        <f>AI66*VLOOKUP('Données projet'!$B$10,Paramètres!$A$1:$I$89,3,0)*VLOOKUP('Données projet'!$B$10,Paramètres!$A$1:$I$89,5,0)</f>
        <v>215.10826999999964</v>
      </c>
      <c r="AK66" s="14">
        <f t="shared" si="35"/>
        <v>53.050304991385644</v>
      </c>
      <c r="AL66" s="22">
        <f t="shared" si="4"/>
        <v>467.04285144332943</v>
      </c>
      <c r="AM66" s="62">
        <f t="shared" si="5"/>
        <v>760.37618477666274</v>
      </c>
      <c r="AN66" s="62">
        <f ca="1">AVERAGE(OFFSET($AM$3,0,0,'Données projet'!$E$10+1,1))-AVERAGE(OFFSET($H$3,0,0,'Données projet'!$E$10+1,1))</f>
        <v>408.65944152905672</v>
      </c>
      <c r="AO66" s="62">
        <f t="shared" si="36"/>
        <v>248.55239719988651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2.3044305731697543</v>
      </c>
      <c r="AV66" s="23">
        <f>EXP(-LN(2)/25)*AV65+(1-EXP(-LN(2)/25))/(LN(2)/25)*Calculateur!AQ66*Calculateur!AS66*VLOOKUP('Données projet'!$B$10,Paramètres!$A$1:$I$89,3,0)*0.475*44/12</f>
        <v>1.1948647966200796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3.4992953697898339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10.399166666666664</v>
      </c>
      <c r="BD66" s="13">
        <f>IF('Données projet'!$A$88&gt;35,BD65+BC66-BL65,IF(A66&lt;'Données projet'!$A$88,$BA$205^A66,IF(A66='Données projet'!$A$88,'Données projet'!$B$88,BD65+BC66-BL65)))</f>
        <v>495.77833333333268</v>
      </c>
      <c r="BE66" s="14">
        <f>BD66*VLOOKUP('Données projet'!$B$11,Paramètres!$A$1:$I$89,3,0)*VLOOKUP('Données projet'!$B$11,Paramètres!$A$1:$I$89,5,0)</f>
        <v>479.51680399999941</v>
      </c>
      <c r="BF66" s="14">
        <f t="shared" si="37"/>
        <v>107.72346887225235</v>
      </c>
      <c r="BG66" s="22">
        <f t="shared" si="7"/>
        <v>1022.7768085858385</v>
      </c>
      <c r="BH66" s="62">
        <f t="shared" si="8"/>
        <v>1316.1101419191718</v>
      </c>
      <c r="BI66" s="62">
        <f ca="1">AVERAGE(OFFSET($BH$3,0,0,'Données projet'!$E$11+1,1))-AVERAGE(OFFSET($H$3,0,0,'Données projet'!$E$11+1,1))</f>
        <v>643.38601112255424</v>
      </c>
      <c r="BJ66" s="62">
        <f t="shared" si="38"/>
        <v>572.76381622085694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2.4895260501485259</v>
      </c>
      <c r="BQ66" s="23">
        <f>EXP(-LN(2)/25)*BQ65+(1-EXP(-LN(2)/25))/(LN(2)/25)*Calculateur!BL66*Calculateur!BN66*VLOOKUP('Données projet'!$B$11,Paramètres!$A$1:$I$89,3,0)*0.475*44/12</f>
        <v>1.7889538526477939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4.2784799027963203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505.23000000000025</v>
      </c>
      <c r="BZ66" s="14">
        <f>BY66*VLOOKUP('Données projet'!$B$12,Paramètres!$A$1:$I$89,3,0)*VLOOKUP('Données projet'!$B$12,Paramètres!$A$1:$I$89,5,0)</f>
        <v>338.90828400000015</v>
      </c>
      <c r="CA66" s="14">
        <f t="shared" si="39"/>
        <v>79.274348782791407</v>
      </c>
      <c r="CB66" s="22">
        <f t="shared" si="10"/>
        <v>728.33475209669507</v>
      </c>
      <c r="CC66" s="62">
        <f t="shared" si="11"/>
        <v>1021.6680854300284</v>
      </c>
      <c r="CD66" s="62">
        <f ca="1">AVERAGE(OFFSET($CC$3,0,0,'Données projet'!$E$12+1,1))-AVERAGE(OFFSET($H$3,0,0,'Données projet'!$E$12+1,1))</f>
        <v>323.41415875740768</v>
      </c>
      <c r="CE66" s="62">
        <f t="shared" si="40"/>
        <v>496.54020068152101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10.399166666666664</v>
      </c>
      <c r="CT66" s="13">
        <f>IF('Données projet'!$A$140&gt;35,CT65+CS66-DB65,IF(A66&lt;'Données projet'!$A$140,$CQ$205^A66,IF(A66='Données projet'!$A$140,'Données projet'!$B$140,CT65+CS66-DB65)))</f>
        <v>495.77833333333268</v>
      </c>
      <c r="CU66" s="18">
        <f>CT66*VLOOKUP('Données projet'!$B$13,Paramètres!$A$1:$I$89,3,0)*VLOOKUP('Données projet'!$B$13,Paramètres!$A$1:$I$89,5,0)</f>
        <v>533.65579799999932</v>
      </c>
      <c r="CV66" s="14">
        <f t="shared" si="41"/>
        <v>118.4022866205686</v>
      </c>
      <c r="CW66" s="22">
        <f t="shared" si="13"/>
        <v>1135.6678307141558</v>
      </c>
      <c r="CX66" s="62">
        <f t="shared" si="14"/>
        <v>1429.0011640474891</v>
      </c>
      <c r="CY66" s="62">
        <f ca="1">AVERAGE(OFFSET($CX$3,0,0,'Données projet'!$E$13+1,1))-AVERAGE(OFFSET($H$3,0,0,'Données projet'!$E$13+1,1))</f>
        <v>720.47588458554264</v>
      </c>
      <c r="CZ66" s="62">
        <f t="shared" si="42"/>
        <v>638.59686934821627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2.7706015719394883</v>
      </c>
      <c r="DG66" s="23">
        <f>EXP(-LN(2)/25)*DG65+(1-EXP(-LN(2)/25))/(LN(2)/25)*Calculateur!DB66*Calculateur!DD66*VLOOKUP('Données projet'!$B$13,Paramètres!$A$1:$I$89,3,0)*0.475*44/12</f>
        <v>1.9909325134306093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4.7615340853700978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14.900000000000006</v>
      </c>
      <c r="N67" s="14">
        <f>IF('Données projet'!$A$36&gt;35,N66+M67-V66,IF(A67&lt;'Données projet'!$A$36,$K$205^A67,IF(A67='Données projet'!$A$36,'Données projet'!$B$36,N66+M67-V66)))</f>
        <v>594.61000000000047</v>
      </c>
      <c r="O67" s="14">
        <f>N67*VLOOKUP('Données projet'!$B$9,Paramètres!$A$1:$I$89,3,0)*VLOOKUP('Données projet'!$B$9,Paramètres!$A$1:$I$89,5,0)</f>
        <v>278.2774800000002</v>
      </c>
      <c r="P67" s="14">
        <f t="shared" si="33"/>
        <v>66.602860256867245</v>
      </c>
      <c r="Q67" s="22">
        <f t="shared" ref="Q67:Q98" si="54">(O67+P67)*0.475*44/12</f>
        <v>600.66659261404402</v>
      </c>
      <c r="R67" s="62">
        <f t="shared" ref="R67:R130" si="55">Q67+(I67+J67)*44/12</f>
        <v>893.99992594737728</v>
      </c>
      <c r="S67" s="62">
        <f ca="1">AVERAGE(OFFSET($R$3,0,0,'Données projet'!$E$9+1,1))-AVERAGE(OFFSET($H$3,0,0,'Données projet'!$E$9+1,1))</f>
        <v>309.95417097673084</v>
      </c>
      <c r="T67" s="62">
        <f t="shared" si="34"/>
        <v>170.83243426024433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2.62411521634712</v>
      </c>
      <c r="AA67" s="23">
        <f>EXP(-LN(2)/25)*AA66+(1-EXP(-LN(2)/25))/(LN(2)/25)*Calculateur!V67*Calculateur!X67*VLOOKUP('Données projet'!$B$9,Paramètres!$A$1:$I$89,3,0)*0.475*44/12</f>
        <v>18.448323393141443</v>
      </c>
      <c r="AB67" s="23">
        <f>EXP(-LN(2)/2)*AB66+(1-EXP(-LN(2)/2))/(LN(2)/2)*V67*Y67*VLOOKUP('Données projet'!$B$9,Paramètres!$A$1:$I$89,3,0)*0.475*44/12</f>
        <v>0</v>
      </c>
      <c r="AC67" s="24">
        <f t="shared" si="3"/>
        <v>21.072438609488565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4.4491666666666658</v>
      </c>
      <c r="AI67" s="14">
        <f>IF('Données projet'!$A$62&gt;35,AI66+AH67-AQ66,IF(A67&lt;'Données projet'!$A$62,$AF$205^A67,IF(A67='Données projet'!$A$62,'Données projet'!$B$62,AI66+AH67-AQ66)))</f>
        <v>216.58749999999964</v>
      </c>
      <c r="AJ67" s="14">
        <f>AI67*VLOOKUP('Données projet'!$B$10,Paramètres!$A$1:$I$89,3,0)*VLOOKUP('Données projet'!$B$10,Paramètres!$A$1:$I$89,5,0)</f>
        <v>219.61972499999962</v>
      </c>
      <c r="AK67" s="14">
        <f t="shared" si="35"/>
        <v>54.032226508175974</v>
      </c>
      <c r="AL67" s="22">
        <f t="shared" si="4"/>
        <v>476.61048221007246</v>
      </c>
      <c r="AM67" s="62">
        <f t="shared" si="5"/>
        <v>769.94381554340578</v>
      </c>
      <c r="AN67" s="62">
        <f ca="1">AVERAGE(OFFSET($AM$3,0,0,'Données projet'!$E$10+1,1))-AVERAGE(OFFSET($H$3,0,0,'Données projet'!$E$10+1,1))</f>
        <v>408.65944152905672</v>
      </c>
      <c r="AO67" s="62">
        <f t="shared" si="36"/>
        <v>248.55239719988651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2.2592420951937573</v>
      </c>
      <c r="AV67" s="23">
        <f>EXP(-LN(2)/25)*AV66+(1-EXP(-LN(2)/25))/(LN(2)/25)*Calculateur!AQ67*Calculateur!AS67*VLOOKUP('Données projet'!$B$10,Paramètres!$A$1:$I$89,3,0)*0.475*44/12</f>
        <v>1.1621911559212947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3.4214332511150518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10.399166666666664</v>
      </c>
      <c r="BD67" s="13">
        <f>IF('Données projet'!$A$88&gt;35,BD66+BC67-BL66,IF(A67&lt;'Données projet'!$A$88,$BA$205^A67,IF(A67='Données projet'!$A$88,'Données projet'!$B$88,BD66+BC67-BL66)))</f>
        <v>506.17749999999933</v>
      </c>
      <c r="BE67" s="14">
        <f>BD67*VLOOKUP('Données projet'!$B$11,Paramètres!$A$1:$I$89,3,0)*VLOOKUP('Données projet'!$B$11,Paramètres!$A$1:$I$89,5,0)</f>
        <v>489.57487799999933</v>
      </c>
      <c r="BF67" s="14">
        <f t="shared" si="37"/>
        <v>109.71758585870097</v>
      </c>
      <c r="BG67" s="22">
        <f t="shared" si="7"/>
        <v>1043.7677078872364</v>
      </c>
      <c r="BH67" s="62">
        <f t="shared" si="8"/>
        <v>1337.1010412205696</v>
      </c>
      <c r="BI67" s="62">
        <f ca="1">AVERAGE(OFFSET($BH$3,0,0,'Données projet'!$E$11+1,1))-AVERAGE(OFFSET($H$3,0,0,'Données projet'!$E$11+1,1))</f>
        <v>643.38601112255424</v>
      </c>
      <c r="BJ67" s="62">
        <f t="shared" si="38"/>
        <v>572.76381622085694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2.4407079627660684</v>
      </c>
      <c r="BQ67" s="23">
        <f>EXP(-LN(2)/25)*BQ66+(1-EXP(-LN(2)/25))/(LN(2)/25)*Calculateur!BL67*Calculateur!BN67*VLOOKUP('Données projet'!$B$11,Paramètres!$A$1:$I$89,3,0)*0.475*44/12</f>
        <v>1.7400348154701457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4.1807427782362137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505.23000000000025</v>
      </c>
      <c r="BZ67" s="14">
        <f>BY67*VLOOKUP('Données projet'!$B$12,Paramètres!$A$1:$I$89,3,0)*VLOOKUP('Données projet'!$B$12,Paramètres!$A$1:$I$89,5,0)</f>
        <v>338.90828400000015</v>
      </c>
      <c r="CA67" s="14">
        <f t="shared" si="39"/>
        <v>79.274348782791407</v>
      </c>
      <c r="CB67" s="22">
        <f t="shared" si="10"/>
        <v>728.33475209669507</v>
      </c>
      <c r="CC67" s="62">
        <f t="shared" si="11"/>
        <v>1021.6680854300284</v>
      </c>
      <c r="CD67" s="62">
        <f ca="1">AVERAGE(OFFSET($CC$3,0,0,'Données projet'!$E$12+1,1))-AVERAGE(OFFSET($H$3,0,0,'Données projet'!$E$12+1,1))</f>
        <v>323.41415875740768</v>
      </c>
      <c r="CE67" s="62">
        <f t="shared" si="40"/>
        <v>496.54020068152101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10.399166666666664</v>
      </c>
      <c r="CT67" s="13">
        <f>IF('Données projet'!$A$140&gt;35,CT66+CS67-DB66,IF(A67&lt;'Données projet'!$A$140,$CQ$205^A67,IF(A67='Données projet'!$A$140,'Données projet'!$B$140,CT66+CS67-DB66)))</f>
        <v>506.17749999999933</v>
      </c>
      <c r="CU67" s="18">
        <f>CT67*VLOOKUP('Données projet'!$B$13,Paramètres!$A$1:$I$89,3,0)*VLOOKUP('Données projet'!$B$13,Paramètres!$A$1:$I$89,5,0)</f>
        <v>544.84946099999922</v>
      </c>
      <c r="CV67" s="14">
        <f t="shared" si="41"/>
        <v>120.59408394622314</v>
      </c>
      <c r="CW67" s="22">
        <f t="shared" si="13"/>
        <v>1158.9808407813373</v>
      </c>
      <c r="CX67" s="62">
        <f t="shared" si="14"/>
        <v>1452.3141741146705</v>
      </c>
      <c r="CY67" s="62">
        <f ca="1">AVERAGE(OFFSET($CX$3,0,0,'Données projet'!$E$13+1,1))-AVERAGE(OFFSET($H$3,0,0,'Données projet'!$E$13+1,1))</f>
        <v>720.47588458554264</v>
      </c>
      <c r="CZ67" s="62">
        <f t="shared" si="42"/>
        <v>638.59686934821627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2.7162717650138499</v>
      </c>
      <c r="DG67" s="23">
        <f>EXP(-LN(2)/25)*DG66+(1-EXP(-LN(2)/25))/(LN(2)/25)*Calculateur!DB67*Calculateur!DD67*VLOOKUP('Données projet'!$B$13,Paramètres!$A$1:$I$89,3,0)*0.475*44/12</f>
        <v>1.9364903591522586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4.6527621241661086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14.900000000000006</v>
      </c>
      <c r="N68" s="14">
        <f>IF('Données projet'!$A$36&gt;35,N67+M68-V67,IF(A68&lt;'Données projet'!$A$36,$K$205^A68,IF(A68='Données projet'!$A$36,'Données projet'!$B$36,N67+M68-V67)))</f>
        <v>609.51000000000045</v>
      </c>
      <c r="O68" s="14">
        <f>N68*VLOOKUP('Données projet'!$B$9,Paramètres!$A$1:$I$89,3,0)*VLOOKUP('Données projet'!$B$9,Paramètres!$A$1:$I$89,5,0)</f>
        <v>285.25068000000022</v>
      </c>
      <c r="P68" s="14">
        <f t="shared" si="33"/>
        <v>68.075425843210979</v>
      </c>
      <c r="Q68" s="22">
        <f t="shared" si="54"/>
        <v>615.37630101025945</v>
      </c>
      <c r="R68" s="62">
        <f t="shared" si="55"/>
        <v>908.70963434359282</v>
      </c>
      <c r="S68" s="62">
        <f ca="1">AVERAGE(OFFSET($R$3,0,0,'Données projet'!$E$9+1,1))-AVERAGE(OFFSET($H$3,0,0,'Données projet'!$E$9+1,1))</f>
        <v>309.95417097673084</v>
      </c>
      <c r="T68" s="62">
        <f t="shared" si="34"/>
        <v>170.83243426024433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2.5726579175067936</v>
      </c>
      <c r="AA68" s="23">
        <f>EXP(-LN(2)/25)*AA67+(1-EXP(-LN(2)/25))/(LN(2)/25)*Calculateur!V68*Calculateur!X68*VLOOKUP('Données projet'!$B$9,Paramètres!$A$1:$I$89,3,0)*0.475*44/12</f>
        <v>17.943853019800827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20.516510937307622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4.4491666666666658</v>
      </c>
      <c r="AI68" s="14">
        <f>IF('Données projet'!$A$62&gt;35,AI67+AH68-AQ67,IF(A68&lt;'Données projet'!$A$62,$AF$205^A68,IF(A68='Données projet'!$A$62,'Données projet'!$B$62,AI67+AH68-AQ67)))</f>
        <v>221.03666666666629</v>
      </c>
      <c r="AJ68" s="14">
        <f>AI68*VLOOKUP('Données projet'!$B$10,Paramètres!$A$1:$I$89,3,0)*VLOOKUP('Données projet'!$B$10,Paramètres!$A$1:$I$89,5,0)</f>
        <v>224.13117999999966</v>
      </c>
      <c r="AK68" s="14">
        <f t="shared" si="35"/>
        <v>55.01180277999751</v>
      </c>
      <c r="AL68" s="22">
        <f t="shared" ref="AL68:AL131" si="58">(AJ68+AK68)*0.475*44/12</f>
        <v>486.17402834182843</v>
      </c>
      <c r="AM68" s="62">
        <f t="shared" ref="AM68:AM131" si="59">AL68+(AD68+AE68)*44/12</f>
        <v>779.50736167516175</v>
      </c>
      <c r="AN68" s="62">
        <f ca="1">AVERAGE(OFFSET($AM$3,0,0,'Données projet'!$E$10+1,1))-AVERAGE(OFFSET($H$3,0,0,'Données projet'!$E$10+1,1))</f>
        <v>408.65944152905672</v>
      </c>
      <c r="AO68" s="62">
        <f t="shared" si="36"/>
        <v>248.55239719988651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2.2149397357086196</v>
      </c>
      <c r="AV68" s="23">
        <f>EXP(-LN(2)/25)*AV67+(1-EXP(-LN(2)/25))/(LN(2)/25)*Calculateur!AQ68*Calculateur!AS68*VLOOKUP('Données projet'!$B$10,Paramètres!$A$1:$I$89,3,0)*0.475*44/12</f>
        <v>1.1304109776456503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3.3453507133542697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10.399166666666664</v>
      </c>
      <c r="BD68" s="13">
        <f>IF('Données projet'!$A$88&gt;35,BD67+BC68-BL67,IF(A68&lt;'Données projet'!$A$88,$BA$205^A68,IF(A68='Données projet'!$A$88,'Données projet'!$B$88,BD67+BC68-BL67)))</f>
        <v>516.57666666666603</v>
      </c>
      <c r="BE68" s="14">
        <f>BD68*VLOOKUP('Données projet'!$B$11,Paramètres!$A$1:$I$89,3,0)*VLOOKUP('Données projet'!$B$11,Paramètres!$A$1:$I$89,5,0)</f>
        <v>499.63295199999942</v>
      </c>
      <c r="BF68" s="14">
        <f t="shared" si="37"/>
        <v>111.70693949582471</v>
      </c>
      <c r="BG68" s="22">
        <f t="shared" ref="BG68:BG131" si="61">(BE68+BF68)*0.475*44/12</f>
        <v>1064.7503110218936</v>
      </c>
      <c r="BH68" s="62">
        <f t="shared" ref="BH68:BH131" si="62">BG68+(AY68+AZ68)*44/12</f>
        <v>1358.0836443552269</v>
      </c>
      <c r="BI68" s="62">
        <f ca="1">AVERAGE(OFFSET($BH$3,0,0,'Données projet'!$E$11+1,1))-AVERAGE(OFFSET($H$3,0,0,'Données projet'!$E$11+1,1))</f>
        <v>643.38601112255424</v>
      </c>
      <c r="BJ68" s="62">
        <f t="shared" si="38"/>
        <v>572.76381622085694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2.3928471683010875</v>
      </c>
      <c r="BQ68" s="23">
        <f>EXP(-LN(2)/25)*BQ67+(1-EXP(-LN(2)/25))/(LN(2)/25)*Calculateur!BL68*Calculateur!BN68*VLOOKUP('Données projet'!$B$11,Paramètres!$A$1:$I$89,3,0)*0.475*44/12</f>
        <v>1.6924534719366606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4.0853006402377483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505.23000000000025</v>
      </c>
      <c r="BZ68" s="14">
        <f>BY68*VLOOKUP('Données projet'!$B$12,Paramètres!$A$1:$I$89,3,0)*VLOOKUP('Données projet'!$B$12,Paramètres!$A$1:$I$89,5,0)</f>
        <v>338.90828400000015</v>
      </c>
      <c r="CA68" s="14">
        <f t="shared" si="39"/>
        <v>79.274348782791407</v>
      </c>
      <c r="CB68" s="22">
        <f t="shared" ref="CB68:CB131" si="64">(BZ68+CA68)*0.475*44/12</f>
        <v>728.33475209669507</v>
      </c>
      <c r="CC68" s="62">
        <f t="shared" ref="CC68:CC131" si="65">CB68+(BT68+BU68)*44/12</f>
        <v>1021.6680854300284</v>
      </c>
      <c r="CD68" s="62">
        <f ca="1">AVERAGE(OFFSET($CC$3,0,0,'Données projet'!$E$12+1,1))-AVERAGE(OFFSET($H$3,0,0,'Données projet'!$E$12+1,1))</f>
        <v>323.41415875740768</v>
      </c>
      <c r="CE68" s="62">
        <f t="shared" si="40"/>
        <v>496.54020068152101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10.399166666666664</v>
      </c>
      <c r="CT68" s="13">
        <f>IF('Données projet'!$A$140&gt;35,CT67+CS68-DB67,IF(A68&lt;'Données projet'!$A$140,$CQ$205^A68,IF(A68='Données projet'!$A$140,'Données projet'!$B$140,CT67+CS68-DB67)))</f>
        <v>516.57666666666603</v>
      </c>
      <c r="CU68" s="18">
        <f>CT68*VLOOKUP('Données projet'!$B$13,Paramètres!$A$1:$I$89,3,0)*VLOOKUP('Données projet'!$B$13,Paramètres!$A$1:$I$89,5,0)</f>
        <v>556.04312399999935</v>
      </c>
      <c r="CV68" s="14">
        <f t="shared" si="41"/>
        <v>122.78064572332032</v>
      </c>
      <c r="CW68" s="22">
        <f t="shared" ref="CW68:CW131" si="67">(CU68+CV68)*0.475*44/12</f>
        <v>1182.284732268115</v>
      </c>
      <c r="CX68" s="62">
        <f t="shared" ref="CX68:CX131" si="68">CW68+(CO68+CP68)*44/12</f>
        <v>1475.6180656014483</v>
      </c>
      <c r="CY68" s="62">
        <f ca="1">AVERAGE(OFFSET($CX$3,0,0,'Données projet'!$E$13+1,1))-AVERAGE(OFFSET($H$3,0,0,'Données projet'!$E$13+1,1))</f>
        <v>720.47588458554264</v>
      </c>
      <c r="CZ68" s="62">
        <f t="shared" si="42"/>
        <v>638.59686934821627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2.6630073324641135</v>
      </c>
      <c r="DG68" s="23">
        <f>EXP(-LN(2)/25)*DG67+(1-EXP(-LN(2)/25))/(LN(2)/25)*Calculateur!DB68*Calculateur!DD68*VLOOKUP('Données projet'!$B$13,Paramètres!$A$1:$I$89,3,0)*0.475*44/12</f>
        <v>1.883536928445638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4.5465442609097515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14.900000000000006</v>
      </c>
      <c r="N69" s="14">
        <f>IF('Données projet'!$A$36&gt;35,N68+M69-V68,IF(A69&lt;'Données projet'!$A$36,$K$205^A69,IF(A69='Données projet'!$A$36,'Données projet'!$B$36,N68+M69-V68)))</f>
        <v>624.41000000000042</v>
      </c>
      <c r="O69" s="14">
        <f>N69*VLOOKUP('Données projet'!$B$9,Paramètres!$A$1:$I$89,3,0)*VLOOKUP('Données projet'!$B$9,Paramètres!$A$1:$I$89,5,0)</f>
        <v>292.22388000000018</v>
      </c>
      <c r="P69" s="14">
        <f t="shared" ref="P69:P132" si="87">EXP(-1.0587+0.8836*LN(O69)+0.284)</f>
        <v>69.543806761325641</v>
      </c>
      <c r="Q69" s="22">
        <f t="shared" si="54"/>
        <v>630.07872110930919</v>
      </c>
      <c r="R69" s="62">
        <f t="shared" si="55"/>
        <v>923.41205444264256</v>
      </c>
      <c r="S69" s="62">
        <f ca="1">AVERAGE(OFFSET($R$3,0,0,'Données projet'!$E$9+1,1))-AVERAGE(OFFSET($H$3,0,0,'Données projet'!$E$9+1,1))</f>
        <v>309.95417097673084</v>
      </c>
      <c r="T69" s="62">
        <f t="shared" ref="T69:T132" si="88">$T$3</f>
        <v>170.83243426024433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2.5222096649108727</v>
      </c>
      <c r="AA69" s="23">
        <f>EXP(-LN(2)/25)*AA68+(1-EXP(-LN(2)/25))/(LN(2)/25)*Calculateur!V69*Calculateur!X69*VLOOKUP('Données projet'!$B$9,Paramètres!$A$1:$I$89,3,0)*0.475*44/12</f>
        <v>17.453177415348154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19.975387080259026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4.4491666666666658</v>
      </c>
      <c r="AI69" s="14">
        <f>IF('Données projet'!$A$62&gt;35,AI68+AH69-AQ68,IF(A69&lt;'Données projet'!$A$62,$AF$205^A69,IF(A69='Données projet'!$A$62,'Données projet'!$B$62,AI68+AH69-AQ68)))</f>
        <v>225.48583333333295</v>
      </c>
      <c r="AJ69" s="14">
        <f>AI69*VLOOKUP('Données projet'!$B$10,Paramètres!$A$1:$I$89,3,0)*VLOOKUP('Données projet'!$B$10,Paramètres!$A$1:$I$89,5,0)</f>
        <v>228.64263499999964</v>
      </c>
      <c r="AK69" s="14">
        <f t="shared" ref="AK69:AK132" si="89">EXP(-1.0587+0.8836*LN(AJ69)+0.284)</f>
        <v>55.989086453764095</v>
      </c>
      <c r="AL69" s="22">
        <f t="shared" si="58"/>
        <v>495.73358153197188</v>
      </c>
      <c r="AM69" s="62">
        <f t="shared" si="59"/>
        <v>789.06691486530519</v>
      </c>
      <c r="AN69" s="62">
        <f ca="1">AVERAGE(OFFSET($AM$3,0,0,'Données projet'!$E$10+1,1))-AVERAGE(OFFSET($H$3,0,0,'Données projet'!$E$10+1,1))</f>
        <v>408.65944152905672</v>
      </c>
      <c r="AO69" s="62">
        <f t="shared" ref="AO69:AO132" si="90">$AO$3</f>
        <v>248.55239719988651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2.1715061184712141</v>
      </c>
      <c r="AV69" s="23">
        <f>EXP(-LN(2)/25)*AV68+(1-EXP(-LN(2)/25))/(LN(2)/25)*Calculateur!AQ69*Calculateur!AS69*VLOOKUP('Données projet'!$B$10,Paramètres!$A$1:$I$89,3,0)*0.475*44/12</f>
        <v>1.0994998300162002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3.2710059484874145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10.399166666666664</v>
      </c>
      <c r="BD69" s="13">
        <f>IF('Données projet'!$A$88&gt;35,BD68+BC69-BL68,IF(A69&lt;'Données projet'!$A$88,$BA$205^A69,IF(A69='Données projet'!$A$88,'Données projet'!$B$88,BD68+BC69-BL68)))</f>
        <v>526.97583333333273</v>
      </c>
      <c r="BE69" s="14">
        <f>BD69*VLOOKUP('Données projet'!$B$11,Paramètres!$A$1:$I$89,3,0)*VLOOKUP('Données projet'!$B$11,Paramètres!$A$1:$I$89,5,0)</f>
        <v>509.69102599999945</v>
      </c>
      <c r="BF69" s="14">
        <f t="shared" ref="BF69:BF132" si="91">EXP(-1.0587+0.8836*LN(BE69)+0.284)</f>
        <v>113.69163672517818</v>
      </c>
      <c r="BG69" s="22">
        <f t="shared" si="61"/>
        <v>1085.7248042463509</v>
      </c>
      <c r="BH69" s="62">
        <f t="shared" si="62"/>
        <v>1379.0581375796842</v>
      </c>
      <c r="BI69" s="62">
        <f ca="1">AVERAGE(OFFSET($BH$3,0,0,'Données projet'!$E$11+1,1))-AVERAGE(OFFSET($H$3,0,0,'Données projet'!$E$11+1,1))</f>
        <v>643.38601112255424</v>
      </c>
      <c r="BJ69" s="62">
        <f t="shared" ref="BJ69:BJ132" si="92">$BJ$3</f>
        <v>572.76381622085694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2.3459248948233631</v>
      </c>
      <c r="BQ69" s="23">
        <f>EXP(-LN(2)/25)*BQ68+(1-EXP(-LN(2)/25))/(LN(2)/25)*Calculateur!BL69*Calculateur!BN69*VLOOKUP('Données projet'!$B$11,Paramètres!$A$1:$I$89,3,0)*0.475*44/12</f>
        <v>1.6461732427442928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3.9920981375676559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505.23000000000025</v>
      </c>
      <c r="BZ69" s="14">
        <f>BY69*VLOOKUP('Données projet'!$B$12,Paramètres!$A$1:$I$89,3,0)*VLOOKUP('Données projet'!$B$12,Paramètres!$A$1:$I$89,5,0)</f>
        <v>338.90828400000015</v>
      </c>
      <c r="CA69" s="14">
        <f t="shared" ref="CA69:CA132" si="93">EXP(-1.0587+0.8836*LN(BZ69)+0.284)</f>
        <v>79.274348782791407</v>
      </c>
      <c r="CB69" s="22">
        <f t="shared" si="64"/>
        <v>728.33475209669507</v>
      </c>
      <c r="CC69" s="62">
        <f t="shared" si="65"/>
        <v>1021.6680854300284</v>
      </c>
      <c r="CD69" s="62">
        <f ca="1">AVERAGE(OFFSET($CC$3,0,0,'Données projet'!$E$12+1,1))-AVERAGE(OFFSET($H$3,0,0,'Données projet'!$E$12+1,1))</f>
        <v>323.41415875740768</v>
      </c>
      <c r="CE69" s="62">
        <f t="shared" ref="CE69:CE132" si="94">$CE$3</f>
        <v>496.54020068152101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10.399166666666664</v>
      </c>
      <c r="CT69" s="13">
        <f>IF('Données projet'!$A$140&gt;35,CT68+CS69-DB68,IF(A69&lt;'Données projet'!$A$140,$CQ$205^A69,IF(A69='Données projet'!$A$140,'Données projet'!$B$140,CT68+CS69-DB68)))</f>
        <v>526.97583333333273</v>
      </c>
      <c r="CU69" s="18">
        <f>CT69*VLOOKUP('Données projet'!$B$13,Paramètres!$A$1:$I$89,3,0)*VLOOKUP('Données projet'!$B$13,Paramètres!$A$1:$I$89,5,0)</f>
        <v>567.23678699999937</v>
      </c>
      <c r="CV69" s="14">
        <f t="shared" ref="CV69:CV132" si="95">EXP(-1.0587+0.8836*LN(CU69)+0.284)</f>
        <v>124.96208949472036</v>
      </c>
      <c r="CW69" s="22">
        <f t="shared" si="67"/>
        <v>1205.5797098949702</v>
      </c>
      <c r="CX69" s="62">
        <f t="shared" si="68"/>
        <v>1498.9130432283034</v>
      </c>
      <c r="CY69" s="62">
        <f ca="1">AVERAGE(OFFSET($CX$3,0,0,'Données projet'!$E$13+1,1))-AVERAGE(OFFSET($H$3,0,0,'Données projet'!$E$13+1,1))</f>
        <v>720.47588458554264</v>
      </c>
      <c r="CZ69" s="62">
        <f t="shared" ref="CZ69:CZ132" si="96">$CZ$3</f>
        <v>638.59686934821627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2.6107873829485815</v>
      </c>
      <c r="DG69" s="23">
        <f>EXP(-LN(2)/25)*DG68+(1-EXP(-LN(2)/25))/(LN(2)/25)*Calculateur!DB69*Calculateur!DD69*VLOOKUP('Données projet'!$B$13,Paramètres!$A$1:$I$89,3,0)*0.475*44/12</f>
        <v>1.8320315120863899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4.4428188950349714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14.900000000000006</v>
      </c>
      <c r="N70" s="14">
        <f>IF('Données projet'!$A$36&gt;35,N69+M70-V69,IF(A70&lt;'Données projet'!$A$36,$K$205^A70,IF(A70='Données projet'!$A$36,'Données projet'!$B$36,N69+M70-V69)))</f>
        <v>639.3100000000004</v>
      </c>
      <c r="O70" s="14">
        <f>N70*VLOOKUP('Données projet'!$B$9,Paramètres!$A$1:$I$89,3,0)*VLOOKUP('Données projet'!$B$9,Paramètres!$A$1:$I$89,5,0)</f>
        <v>299.1970800000002</v>
      </c>
      <c r="P70" s="14">
        <f t="shared" si="87"/>
        <v>71.008114357978968</v>
      </c>
      <c r="Q70" s="22">
        <f t="shared" si="54"/>
        <v>644.77404684014698</v>
      </c>
      <c r="R70" s="62">
        <f t="shared" si="55"/>
        <v>938.10738017348035</v>
      </c>
      <c r="S70" s="62">
        <f ca="1">AVERAGE(OFFSET($R$3,0,0,'Données projet'!$E$9+1,1))-AVERAGE(OFFSET($H$3,0,0,'Données projet'!$E$9+1,1))</f>
        <v>309.95417097673084</v>
      </c>
      <c r="T70" s="62">
        <f t="shared" si="88"/>
        <v>170.83243426024433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2.4727506717779622</v>
      </c>
      <c r="AA70" s="23">
        <f>EXP(-LN(2)/25)*AA69+(1-EXP(-LN(2)/25))/(LN(2)/25)*Calculateur!V70*Calculateur!X70*VLOOKUP('Données projet'!$B$9,Paramètres!$A$1:$I$89,3,0)*0.475*44/12</f>
        <v>16.975919361102747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19.44867003288071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4.4491666666666658</v>
      </c>
      <c r="AI70" s="14">
        <f>IF('Données projet'!$A$62&gt;35,AI69+AH70-AQ69,IF(A70&lt;'Données projet'!$A$62,$AF$205^A70,IF(A70='Données projet'!$A$62,'Données projet'!$B$62,AI69+AH70-AQ69)))</f>
        <v>229.9349999999996</v>
      </c>
      <c r="AJ70" s="14">
        <f>AI70*VLOOKUP('Données projet'!$B$10,Paramètres!$A$1:$I$89,3,0)*VLOOKUP('Données projet'!$B$10,Paramètres!$A$1:$I$89,5,0)</f>
        <v>233.15408999999963</v>
      </c>
      <c r="AK70" s="14">
        <f t="shared" si="89"/>
        <v>56.964127979966733</v>
      </c>
      <c r="AL70" s="22">
        <f t="shared" si="58"/>
        <v>505.28922964844145</v>
      </c>
      <c r="AM70" s="62">
        <f t="shared" si="59"/>
        <v>798.62256298177476</v>
      </c>
      <c r="AN70" s="62">
        <f ca="1">AVERAGE(OFFSET($AM$3,0,0,'Données projet'!$E$10+1,1))-AVERAGE(OFFSET($H$3,0,0,'Données projet'!$E$10+1,1))</f>
        <v>408.65944152905672</v>
      </c>
      <c r="AO70" s="62">
        <f t="shared" si="90"/>
        <v>248.55239719988651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2.1289242079759436</v>
      </c>
      <c r="AV70" s="23">
        <f>EXP(-LN(2)/25)*AV69+(1-EXP(-LN(2)/25))/(LN(2)/25)*Calculateur!AQ70*Calculateur!AS70*VLOOKUP('Données projet'!$B$10,Paramètres!$A$1:$I$89,3,0)*0.475*44/12</f>
        <v>1.0694339493442242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3.1983581573201678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10.399166666666664</v>
      </c>
      <c r="BD70" s="13">
        <f>IF('Données projet'!$A$88&gt;35,BD69+BC70-BL69,IF(A70&lt;'Données projet'!$A$88,$BA$205^A70,IF(A70='Données projet'!$A$88,'Données projet'!$B$88,BD69+BC70-BL69)))</f>
        <v>537.37499999999943</v>
      </c>
      <c r="BE70" s="14">
        <f>BD70*VLOOKUP('Données projet'!$B$11,Paramètres!$A$1:$I$89,3,0)*VLOOKUP('Données projet'!$B$11,Paramètres!$A$1:$I$89,5,0)</f>
        <v>519.74909999999954</v>
      </c>
      <c r="BF70" s="14">
        <f t="shared" si="91"/>
        <v>115.67178002623062</v>
      </c>
      <c r="BG70" s="22">
        <f t="shared" si="61"/>
        <v>1106.6913660456842</v>
      </c>
      <c r="BH70" s="62">
        <f t="shared" si="62"/>
        <v>1400.0246993790174</v>
      </c>
      <c r="BI70" s="62">
        <f ca="1">AVERAGE(OFFSET($BH$3,0,0,'Données projet'!$E$11+1,1))-AVERAGE(OFFSET($H$3,0,0,'Données projet'!$E$11+1,1))</f>
        <v>643.38601112255424</v>
      </c>
      <c r="BJ70" s="62">
        <f t="shared" si="92"/>
        <v>572.76381622085694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2.2999227385087759</v>
      </c>
      <c r="BQ70" s="23">
        <f>EXP(-LN(2)/25)*BQ69+(1-EXP(-LN(2)/25))/(LN(2)/25)*Calculateur!BL70*Calculateur!BN70*VLOOKUP('Données projet'!$B$11,Paramètres!$A$1:$I$89,3,0)*0.475*44/12</f>
        <v>1.6011585488529616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3.9010812873617375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505.23000000000025</v>
      </c>
      <c r="BZ70" s="14">
        <f>BY70*VLOOKUP('Données projet'!$B$12,Paramètres!$A$1:$I$89,3,0)*VLOOKUP('Données projet'!$B$12,Paramètres!$A$1:$I$89,5,0)</f>
        <v>338.90828400000015</v>
      </c>
      <c r="CA70" s="14">
        <f t="shared" si="93"/>
        <v>79.274348782791407</v>
      </c>
      <c r="CB70" s="22">
        <f t="shared" si="64"/>
        <v>728.33475209669507</v>
      </c>
      <c r="CC70" s="62">
        <f t="shared" si="65"/>
        <v>1021.6680854300284</v>
      </c>
      <c r="CD70" s="62">
        <f ca="1">AVERAGE(OFFSET($CC$3,0,0,'Données projet'!$E$12+1,1))-AVERAGE(OFFSET($H$3,0,0,'Données projet'!$E$12+1,1))</f>
        <v>323.41415875740768</v>
      </c>
      <c r="CE70" s="62">
        <f t="shared" si="94"/>
        <v>496.54020068152101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10.399166666666664</v>
      </c>
      <c r="CT70" s="13">
        <f>IF('Données projet'!$A$140&gt;35,CT69+CS70-DB69,IF(A70&lt;'Données projet'!$A$140,$CQ$205^A70,IF(A70='Données projet'!$A$140,'Données projet'!$B$140,CT69+CS70-DB69)))</f>
        <v>537.37499999999943</v>
      </c>
      <c r="CU70" s="18">
        <f>CT70*VLOOKUP('Données projet'!$B$13,Paramètres!$A$1:$I$89,3,0)*VLOOKUP('Données projet'!$B$13,Paramètres!$A$1:$I$89,5,0)</f>
        <v>578.43044999999938</v>
      </c>
      <c r="CV70" s="14">
        <f t="shared" si="95"/>
        <v>127.13852789886255</v>
      </c>
      <c r="CW70" s="22">
        <f t="shared" si="67"/>
        <v>1228.8659698405179</v>
      </c>
      <c r="CX70" s="62">
        <f t="shared" si="68"/>
        <v>1522.1993031738511</v>
      </c>
      <c r="CY70" s="62">
        <f ca="1">AVERAGE(OFFSET($CX$3,0,0,'Données projet'!$E$13+1,1))-AVERAGE(OFFSET($H$3,0,0,'Données projet'!$E$13+1,1))</f>
        <v>720.47588458554264</v>
      </c>
      <c r="CZ70" s="62">
        <f t="shared" si="96"/>
        <v>638.59686934821627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2.5595914347920248</v>
      </c>
      <c r="DG70" s="23">
        <f>EXP(-LN(2)/25)*DG69+(1-EXP(-LN(2)/25))/(LN(2)/25)*Calculateur!DB70*Calculateur!DD70*VLOOKUP('Données projet'!$B$13,Paramètres!$A$1:$I$89,3,0)*0.475*44/12</f>
        <v>1.7819345140460376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4.3415259488380622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14.900000000000006</v>
      </c>
      <c r="N71" s="14">
        <f>IF('Données projet'!$A$36&gt;35,N70+M71-V70,IF(A71&lt;'Données projet'!$A$36,$K$205^A71,IF(A71='Données projet'!$A$36,'Données projet'!$B$36,N70+M71-V70)))</f>
        <v>654.21000000000038</v>
      </c>
      <c r="O71" s="14">
        <f>N71*VLOOKUP('Données projet'!$B$9,Paramètres!$A$1:$I$89,3,0)*VLOOKUP('Données projet'!$B$9,Paramètres!$A$1:$I$89,5,0)</f>
        <v>306.17028000000016</v>
      </c>
      <c r="P71" s="14">
        <f t="shared" si="87"/>
        <v>72.468454493638617</v>
      </c>
      <c r="Q71" s="22">
        <f t="shared" si="54"/>
        <v>659.46246257642076</v>
      </c>
      <c r="R71" s="62">
        <f t="shared" si="55"/>
        <v>952.79579590975413</v>
      </c>
      <c r="S71" s="62">
        <f ca="1">AVERAGE(OFFSET($R$3,0,0,'Données projet'!$E$9+1,1))-AVERAGE(OFFSET($H$3,0,0,'Données projet'!$E$9+1,1))</f>
        <v>309.95417097673084</v>
      </c>
      <c r="T71" s="62">
        <f t="shared" si="88"/>
        <v>170.83243426024433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2.4242615393333811</v>
      </c>
      <c r="AA71" s="23">
        <f>EXP(-LN(2)/25)*AA70+(1-EXP(-LN(2)/25))/(LN(2)/25)*Calculateur!V71*Calculateur!X71*VLOOKUP('Données projet'!$B$9,Paramètres!$A$1:$I$89,3,0)*0.475*44/12</f>
        <v>16.511711953448593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18.935973492781976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4.4491666666666658</v>
      </c>
      <c r="AI71" s="14">
        <f>IF('Données projet'!$A$62&gt;35,AI70+AH71-AQ70,IF(A71&lt;'Données projet'!$A$62,$AF$205^A71,IF(A71='Données projet'!$A$62,'Données projet'!$B$62,AI70+AH71-AQ70)))</f>
        <v>234.38416666666626</v>
      </c>
      <c r="AJ71" s="14">
        <f>AI71*VLOOKUP('Données projet'!$B$10,Paramètres!$A$1:$I$89,3,0)*VLOOKUP('Données projet'!$B$10,Paramètres!$A$1:$I$89,5,0)</f>
        <v>237.66554499999958</v>
      </c>
      <c r="AK71" s="14">
        <f t="shared" si="89"/>
        <v>57.936975745004666</v>
      </c>
      <c r="AL71" s="22">
        <f t="shared" si="58"/>
        <v>514.84105696421568</v>
      </c>
      <c r="AM71" s="62">
        <f t="shared" si="59"/>
        <v>808.17439029754905</v>
      </c>
      <c r="AN71" s="62">
        <f ca="1">AVERAGE(OFFSET($AM$3,0,0,'Données projet'!$E$10+1,1))-AVERAGE(OFFSET($H$3,0,0,'Données projet'!$E$10+1,1))</f>
        <v>408.65944152905672</v>
      </c>
      <c r="AO71" s="62">
        <f t="shared" si="90"/>
        <v>248.55239719988651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2.0871773027730844</v>
      </c>
      <c r="AV71" s="23">
        <f>EXP(-LN(2)/25)*AV70+(1-EXP(-LN(2)/25))/(LN(2)/25)*Calculateur!AQ71*Calculateur!AS71*VLOOKUP('Données projet'!$B$10,Paramètres!$A$1:$I$89,3,0)*0.475*44/12</f>
        <v>1.0401902217603192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3.1273675245334038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10.399166666666664</v>
      </c>
      <c r="BD71" s="13">
        <f>IF('Données projet'!$A$88&gt;35,BD70+BC71-BL70,IF(A71&lt;'Données projet'!$A$88,$BA$205^A71,IF(A71='Données projet'!$A$88,'Données projet'!$B$88,BD70+BC71-BL70)))</f>
        <v>547.77416666666613</v>
      </c>
      <c r="BE71" s="14">
        <f>BD71*VLOOKUP('Données projet'!$B$11,Paramètres!$A$1:$I$89,3,0)*VLOOKUP('Données projet'!$B$11,Paramètres!$A$1:$I$89,5,0)</f>
        <v>529.80717399999946</v>
      </c>
      <c r="BF71" s="14">
        <f t="shared" si="91"/>
        <v>117.64746768522789</v>
      </c>
      <c r="BG71" s="22">
        <f t="shared" si="61"/>
        <v>1127.6501676017708</v>
      </c>
      <c r="BH71" s="62">
        <f t="shared" si="62"/>
        <v>1420.9835009351041</v>
      </c>
      <c r="BI71" s="62">
        <f ca="1">AVERAGE(OFFSET($BH$3,0,0,'Données projet'!$E$11+1,1))-AVERAGE(OFFSET($H$3,0,0,'Données projet'!$E$11+1,1))</f>
        <v>643.38601112255424</v>
      </c>
      <c r="BJ71" s="62">
        <f t="shared" si="92"/>
        <v>572.76381622085694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2.254822656420973</v>
      </c>
      <c r="BQ71" s="23">
        <f>EXP(-LN(2)/25)*BQ70+(1-EXP(-LN(2)/25))/(LN(2)/25)*Calculateur!BL71*Calculateur!BN71*VLOOKUP('Données projet'!$B$11,Paramètres!$A$1:$I$89,3,0)*0.475*44/12</f>
        <v>1.5573747841333088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3.8121974405542818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505.23000000000025</v>
      </c>
      <c r="BZ71" s="14">
        <f>BY71*VLOOKUP('Données projet'!$B$12,Paramètres!$A$1:$I$89,3,0)*VLOOKUP('Données projet'!$B$12,Paramètres!$A$1:$I$89,5,0)</f>
        <v>338.90828400000015</v>
      </c>
      <c r="CA71" s="14">
        <f t="shared" si="93"/>
        <v>79.274348782791407</v>
      </c>
      <c r="CB71" s="22">
        <f t="shared" si="64"/>
        <v>728.33475209669507</v>
      </c>
      <c r="CC71" s="62">
        <f t="shared" si="65"/>
        <v>1021.6680854300284</v>
      </c>
      <c r="CD71" s="62">
        <f ca="1">AVERAGE(OFFSET($CC$3,0,0,'Données projet'!$E$12+1,1))-AVERAGE(OFFSET($H$3,0,0,'Données projet'!$E$12+1,1))</f>
        <v>323.41415875740768</v>
      </c>
      <c r="CE71" s="62">
        <f t="shared" si="94"/>
        <v>496.54020068152101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10.399166666666664</v>
      </c>
      <c r="CT71" s="13">
        <f>IF('Données projet'!$A$140&gt;35,CT70+CS71-DB70,IF(A71&lt;'Données projet'!$A$140,$CQ$205^A71,IF(A71='Données projet'!$A$140,'Données projet'!$B$140,CT70+CS71-DB70)))</f>
        <v>547.77416666666613</v>
      </c>
      <c r="CU71" s="18">
        <f>CT71*VLOOKUP('Données projet'!$B$13,Paramètres!$A$1:$I$89,3,0)*VLOOKUP('Données projet'!$B$13,Paramètres!$A$1:$I$89,5,0)</f>
        <v>589.6241129999994</v>
      </c>
      <c r="CV71" s="14">
        <f t="shared" si="95"/>
        <v>129.31006896528268</v>
      </c>
      <c r="CW71" s="22">
        <f t="shared" si="67"/>
        <v>1252.1437002561995</v>
      </c>
      <c r="CX71" s="62">
        <f t="shared" si="68"/>
        <v>1545.4770335895328</v>
      </c>
      <c r="CY71" s="62">
        <f ca="1">AVERAGE(OFFSET($CX$3,0,0,'Données projet'!$E$13+1,1))-AVERAGE(OFFSET($H$3,0,0,'Données projet'!$E$13+1,1))</f>
        <v>720.47588458554264</v>
      </c>
      <c r="CZ71" s="62">
        <f t="shared" si="96"/>
        <v>638.59686934821627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2.5093994079523729</v>
      </c>
      <c r="DG71" s="23">
        <f>EXP(-LN(2)/25)*DG70+(1-EXP(-LN(2)/25))/(LN(2)/25)*Calculateur!DB71*Calculateur!DD71*VLOOKUP('Données projet'!$B$13,Paramètres!$A$1:$I$89,3,0)*0.475*44/12</f>
        <v>1.7332074210515853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4.2426068290039582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14.900000000000006</v>
      </c>
      <c r="N72" s="14">
        <f>IF('Données projet'!$A$36&gt;35,N71+M72-V71,IF(A72&lt;'Données projet'!$A$36,$K$205^A72,IF(A72='Données projet'!$A$36,'Données projet'!$B$36,N71+M72-V71)))</f>
        <v>669.11000000000035</v>
      </c>
      <c r="O72" s="14">
        <f>N72*VLOOKUP('Données projet'!$B$9,Paramètres!$A$1:$I$89,3,0)*VLOOKUP('Données projet'!$B$9,Paramètres!$A$1:$I$89,5,0)</f>
        <v>313.14348000000018</v>
      </c>
      <c r="P72" s="14">
        <f t="shared" si="87"/>
        <v>73.924927931497848</v>
      </c>
      <c r="Q72" s="22">
        <f t="shared" si="54"/>
        <v>674.14414381402571</v>
      </c>
      <c r="R72" s="62">
        <f t="shared" si="55"/>
        <v>967.47747714735897</v>
      </c>
      <c r="S72" s="62">
        <f ca="1">AVERAGE(OFFSET($R$3,0,0,'Données projet'!$E$9+1,1))-AVERAGE(OFFSET($H$3,0,0,'Données projet'!$E$9+1,1))</f>
        <v>309.95417097673084</v>
      </c>
      <c r="T72" s="62">
        <f t="shared" si="88"/>
        <v>170.83243426024433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2.3767232492005874</v>
      </c>
      <c r="AA72" s="23">
        <f>EXP(-LN(2)/25)*AA71+(1-EXP(-LN(2)/25))/(LN(2)/25)*Calculateur!V72*Calculateur!X72*VLOOKUP('Données projet'!$B$9,Paramètres!$A$1:$I$89,3,0)*0.475*44/12</f>
        <v>16.060198321768347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18.436921570968934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4.4491666666666658</v>
      </c>
      <c r="AI72" s="14">
        <f>IF('Données projet'!$A$62&gt;35,AI71+AH72-AQ71,IF(A72&lt;'Données projet'!$A$62,$AF$205^A72,IF(A72='Données projet'!$A$62,'Données projet'!$B$62,AI71+AH72-AQ71)))</f>
        <v>238.83333333333292</v>
      </c>
      <c r="AJ72" s="14">
        <f>AI72*VLOOKUP('Données projet'!$B$10,Paramètres!$A$1:$I$89,3,0)*VLOOKUP('Données projet'!$B$10,Paramètres!$A$1:$I$89,5,0)</f>
        <v>242.17699999999957</v>
      </c>
      <c r="AK72" s="14">
        <f t="shared" si="89"/>
        <v>58.907676193184599</v>
      </c>
      <c r="AL72" s="22">
        <f t="shared" si="58"/>
        <v>524.38914436979587</v>
      </c>
      <c r="AM72" s="62">
        <f t="shared" si="59"/>
        <v>817.72247770312924</v>
      </c>
      <c r="AN72" s="62">
        <f ca="1">AVERAGE(OFFSET($AM$3,0,0,'Données projet'!$E$10+1,1))-AVERAGE(OFFSET($H$3,0,0,'Données projet'!$E$10+1,1))</f>
        <v>408.65944152905672</v>
      </c>
      <c r="AO72" s="62">
        <f t="shared" si="90"/>
        <v>248.55239719988651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2.0462490289181554</v>
      </c>
      <c r="AV72" s="23">
        <f>EXP(-LN(2)/25)*AV71+(1-EXP(-LN(2)/25))/(LN(2)/25)*Calculateur!AQ72*Calculateur!AS72*VLOOKUP('Données projet'!$B$10,Paramètres!$A$1:$I$89,3,0)*0.475*44/12</f>
        <v>1.0117461654450568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3.0579951943632122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10.399166666666664</v>
      </c>
      <c r="BD72" s="13">
        <f>IF('Données projet'!$A$88&gt;35,BD71+BC72-BL71,IF(A72&lt;'Données projet'!$A$88,$BA$205^A72,IF(A72='Données projet'!$A$88,'Données projet'!$B$88,BD71+BC72-BL71)))</f>
        <v>558.17333333333283</v>
      </c>
      <c r="BE72" s="14">
        <f>BD72*VLOOKUP('Données projet'!$B$11,Paramètres!$A$1:$I$89,3,0)*VLOOKUP('Données projet'!$B$11,Paramètres!$A$1:$I$89,5,0)</f>
        <v>539.8652479999995</v>
      </c>
      <c r="BF72" s="14">
        <f t="shared" si="91"/>
        <v>119.61879404306313</v>
      </c>
      <c r="BG72" s="22">
        <f t="shared" si="61"/>
        <v>1148.6013732250005</v>
      </c>
      <c r="BH72" s="62">
        <f t="shared" si="62"/>
        <v>1441.9347065583338</v>
      </c>
      <c r="BI72" s="62">
        <f ca="1">AVERAGE(OFFSET($BH$3,0,0,'Données projet'!$E$11+1,1))-AVERAGE(OFFSET($H$3,0,0,'Données projet'!$E$11+1,1))</f>
        <v>643.38601112255424</v>
      </c>
      <c r="BJ72" s="62">
        <f t="shared" si="92"/>
        <v>572.76381622085694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2.2106069594345779</v>
      </c>
      <c r="BQ72" s="23">
        <f>EXP(-LN(2)/25)*BQ71+(1-EXP(-LN(2)/25))/(LN(2)/25)*Calculateur!BL72*Calculateur!BN72*VLOOKUP('Données projet'!$B$11,Paramètres!$A$1:$I$89,3,0)*0.475*44/12</f>
        <v>1.5147882887624029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3.725395248196981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505.23000000000025</v>
      </c>
      <c r="BZ72" s="14">
        <f>BY72*VLOOKUP('Données projet'!$B$12,Paramètres!$A$1:$I$89,3,0)*VLOOKUP('Données projet'!$B$12,Paramètres!$A$1:$I$89,5,0)</f>
        <v>338.90828400000015</v>
      </c>
      <c r="CA72" s="14">
        <f t="shared" si="93"/>
        <v>79.274348782791407</v>
      </c>
      <c r="CB72" s="22">
        <f t="shared" si="64"/>
        <v>728.33475209669507</v>
      </c>
      <c r="CC72" s="62">
        <f t="shared" si="65"/>
        <v>1021.6680854300284</v>
      </c>
      <c r="CD72" s="62">
        <f ca="1">AVERAGE(OFFSET($CC$3,0,0,'Données projet'!$E$12+1,1))-AVERAGE(OFFSET($H$3,0,0,'Données projet'!$E$12+1,1))</f>
        <v>323.41415875740768</v>
      </c>
      <c r="CE72" s="62">
        <f t="shared" si="94"/>
        <v>496.54020068152101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10.399166666666664</v>
      </c>
      <c r="CT72" s="13">
        <f>IF('Données projet'!$A$140&gt;35,CT71+CS72-DB71,IF(A72&lt;'Données projet'!$A$140,$CQ$205^A72,IF(A72='Données projet'!$A$140,'Données projet'!$B$140,CT71+CS72-DB71)))</f>
        <v>558.17333333333283</v>
      </c>
      <c r="CU72" s="18">
        <f>CT72*VLOOKUP('Données projet'!$B$13,Paramètres!$A$1:$I$89,3,0)*VLOOKUP('Données projet'!$B$13,Paramètres!$A$1:$I$89,5,0)</f>
        <v>600.81777599999941</v>
      </c>
      <c r="CV72" s="14">
        <f t="shared" si="95"/>
        <v>131.47681638705282</v>
      </c>
      <c r="CW72" s="22">
        <f t="shared" si="67"/>
        <v>1275.4130817407827</v>
      </c>
      <c r="CX72" s="62">
        <f t="shared" si="68"/>
        <v>1568.7464150741159</v>
      </c>
      <c r="CY72" s="62">
        <f ca="1">AVERAGE(OFFSET($CX$3,0,0,'Données projet'!$E$13+1,1))-AVERAGE(OFFSET($H$3,0,0,'Données projet'!$E$13+1,1))</f>
        <v>720.47588458554264</v>
      </c>
      <c r="CZ72" s="62">
        <f t="shared" si="96"/>
        <v>638.59686934821627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2.4601916161449333</v>
      </c>
      <c r="DG72" s="23">
        <f>EXP(-LN(2)/25)*DG71+(1-EXP(-LN(2)/25))/(LN(2)/25)*Calculateur!DB72*Calculateur!DD72*VLOOKUP('Données projet'!$B$13,Paramètres!$A$1:$I$89,3,0)*0.475*44/12</f>
        <v>1.6858127729775128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4.1460043891224458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14.900000000000006</v>
      </c>
      <c r="N73" s="14">
        <f>IF('Données projet'!$A$36&gt;35,N72+M73-V72,IF(A73&lt;'Données projet'!$A$36,$K$205^A73,IF(A73='Données projet'!$A$36,'Données projet'!$B$36,N72+M73-V72)))</f>
        <v>684.01000000000033</v>
      </c>
      <c r="O73" s="14">
        <f>N73*VLOOKUP('Données projet'!$B$9,Paramètres!$A$1:$I$89,3,0)*VLOOKUP('Données projet'!$B$9,Paramètres!$A$1:$I$89,5,0)</f>
        <v>320.11668000000014</v>
      </c>
      <c r="P73" s="14">
        <f t="shared" si="87"/>
        <v>75.377630690870532</v>
      </c>
      <c r="Q73" s="22">
        <f t="shared" si="54"/>
        <v>688.81925778659979</v>
      </c>
      <c r="R73" s="62">
        <f t="shared" si="55"/>
        <v>982.15259111993305</v>
      </c>
      <c r="S73" s="62">
        <f ca="1">AVERAGE(OFFSET($R$3,0,0,'Données projet'!$E$9+1,1))-AVERAGE(OFFSET($H$3,0,0,'Données projet'!$E$9+1,1))</f>
        <v>309.95417097673084</v>
      </c>
      <c r="T73" s="62">
        <f t="shared" si="88"/>
        <v>170.83243426024433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2.3301171559418039</v>
      </c>
      <c r="AA73" s="23">
        <f>EXP(-LN(2)/25)*AA72+(1-EXP(-LN(2)/25))/(LN(2)/25)*Calculateur!V73*Calculateur!X73*VLOOKUP('Données projet'!$B$9,Paramètres!$A$1:$I$89,3,0)*0.475*44/12</f>
        <v>15.621031354090468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17.951148510032272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4.4491666666666658</v>
      </c>
      <c r="AI73" s="14">
        <f>IF('Données projet'!$A$62&gt;35,AI72+AH73-AQ72,IF(A73&lt;'Données projet'!$A$62,$AF$205^A73,IF(A73='Données projet'!$A$62,'Données projet'!$B$62,AI72+AH73-AQ72)))</f>
        <v>243.28249999999957</v>
      </c>
      <c r="AJ73" s="14">
        <f>AI73*VLOOKUP('Données projet'!$B$10,Paramètres!$A$1:$I$89,3,0)*VLOOKUP('Données projet'!$B$10,Paramètres!$A$1:$I$89,5,0)</f>
        <v>246.68845499999961</v>
      </c>
      <c r="AK73" s="14">
        <f t="shared" si="89"/>
        <v>59.876273939372105</v>
      </c>
      <c r="AL73" s="22">
        <f t="shared" si="58"/>
        <v>533.93356956940568</v>
      </c>
      <c r="AM73" s="62">
        <f t="shared" si="59"/>
        <v>827.26690290273905</v>
      </c>
      <c r="AN73" s="62">
        <f ca="1">AVERAGE(OFFSET($AM$3,0,0,'Données projet'!$E$10+1,1))-AVERAGE(OFFSET($H$3,0,0,'Données projet'!$E$10+1,1))</f>
        <v>408.65944152905672</v>
      </c>
      <c r="AO73" s="62">
        <f t="shared" si="90"/>
        <v>248.55239719988651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2.0061233335497395</v>
      </c>
      <c r="AV73" s="23">
        <f>EXP(-LN(2)/25)*AV72+(1-EXP(-LN(2)/25))/(LN(2)/25)*Calculateur!AQ73*Calculateur!AS73*VLOOKUP('Données projet'!$B$10,Paramètres!$A$1:$I$89,3,0)*0.475*44/12</f>
        <v>0.98407991334554323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2.9902032468952826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10.399166666666664</v>
      </c>
      <c r="BD73" s="13">
        <f>IF('Données projet'!$A$88&gt;35,BD72+BC73-BL72,IF(A73&lt;'Données projet'!$A$88,$BA$205^A73,IF(A73='Données projet'!$A$88,'Données projet'!$B$88,BD72+BC73-BL72)))</f>
        <v>568.57249999999954</v>
      </c>
      <c r="BE73" s="14">
        <f>BD73*VLOOKUP('Données projet'!$B$11,Paramètres!$A$1:$I$89,3,0)*VLOOKUP('Données projet'!$B$11,Paramètres!$A$1:$I$89,5,0)</f>
        <v>549.92332199999953</v>
      </c>
      <c r="BF73" s="14">
        <f t="shared" si="91"/>
        <v>121.58584972415068</v>
      </c>
      <c r="BG73" s="22">
        <f t="shared" si="61"/>
        <v>1169.5451407528947</v>
      </c>
      <c r="BH73" s="62">
        <f t="shared" si="62"/>
        <v>1462.8784740862279</v>
      </c>
      <c r="BI73" s="62">
        <f ca="1">AVERAGE(OFFSET($BH$3,0,0,'Données projet'!$E$11+1,1))-AVERAGE(OFFSET($H$3,0,0,'Données projet'!$E$11+1,1))</f>
        <v>643.38601112255424</v>
      </c>
      <c r="BJ73" s="62">
        <f t="shared" si="92"/>
        <v>572.76381622085694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2.1672583052971737</v>
      </c>
      <c r="BQ73" s="23">
        <f>EXP(-LN(2)/25)*BQ72+(1-EXP(-LN(2)/25))/(LN(2)/25)*Calculateur!BL73*Calculateur!BN73*VLOOKUP('Données projet'!$B$11,Paramètres!$A$1:$I$89,3,0)*0.475*44/12</f>
        <v>1.473366323346941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3.6406246286441144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505.23000000000025</v>
      </c>
      <c r="BZ73" s="14">
        <f>BY73*VLOOKUP('Données projet'!$B$12,Paramètres!$A$1:$I$89,3,0)*VLOOKUP('Données projet'!$B$12,Paramètres!$A$1:$I$89,5,0)</f>
        <v>338.90828400000015</v>
      </c>
      <c r="CA73" s="14">
        <f t="shared" si="93"/>
        <v>79.274348782791407</v>
      </c>
      <c r="CB73" s="22">
        <f t="shared" si="64"/>
        <v>728.33475209669507</v>
      </c>
      <c r="CC73" s="62">
        <f t="shared" si="65"/>
        <v>1021.6680854300284</v>
      </c>
      <c r="CD73" s="62">
        <f ca="1">AVERAGE(OFFSET($CC$3,0,0,'Données projet'!$E$12+1,1))-AVERAGE(OFFSET($H$3,0,0,'Données projet'!$E$12+1,1))</f>
        <v>323.41415875740768</v>
      </c>
      <c r="CE73" s="62">
        <f t="shared" si="94"/>
        <v>496.54020068152101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10.399166666666664</v>
      </c>
      <c r="CT73" s="13">
        <f>IF('Données projet'!$A$140&gt;35,CT72+CS73-DB72,IF(A73&lt;'Données projet'!$A$140,$CQ$205^A73,IF(A73='Données projet'!$A$140,'Données projet'!$B$140,CT72+CS73-DB72)))</f>
        <v>568.57249999999954</v>
      </c>
      <c r="CU73" s="18">
        <f>CT73*VLOOKUP('Données projet'!$B$13,Paramètres!$A$1:$I$89,3,0)*VLOOKUP('Données projet'!$B$13,Paramètres!$A$1:$I$89,5,0)</f>
        <v>612.01143899999943</v>
      </c>
      <c r="CV73" s="14">
        <f t="shared" si="95"/>
        <v>133.63886977234583</v>
      </c>
      <c r="CW73" s="22">
        <f t="shared" si="67"/>
        <v>1298.6742877785011</v>
      </c>
      <c r="CX73" s="62">
        <f t="shared" si="68"/>
        <v>1592.0076211118344</v>
      </c>
      <c r="CY73" s="62">
        <f ca="1">AVERAGE(OFFSET($CX$3,0,0,'Données projet'!$E$13+1,1))-AVERAGE(OFFSET($H$3,0,0,'Données projet'!$E$13+1,1))</f>
        <v>720.47588458554264</v>
      </c>
      <c r="CZ73" s="62">
        <f t="shared" si="96"/>
        <v>638.59686934821627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2.411948759121048</v>
      </c>
      <c r="DG73" s="23">
        <f>EXP(-LN(2)/25)*DG72+(1-EXP(-LN(2)/25))/(LN(2)/25)*Calculateur!DB73*Calculateur!DD73*VLOOKUP('Données projet'!$B$13,Paramètres!$A$1:$I$89,3,0)*0.475*44/12</f>
        <v>1.639714134047402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4.0516628931684497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14.900000000000006</v>
      </c>
      <c r="N74" s="14">
        <f>IF('Données projet'!$A$36&gt;35,N73+M74-V73,IF(A74&lt;'Données projet'!$A$36,$K$205^A74,IF(A74='Données projet'!$A$36,'Données projet'!$B$36,N73+M74-V73)))</f>
        <v>698.91000000000031</v>
      </c>
      <c r="O74" s="14">
        <f>N74*VLOOKUP('Données projet'!$B$9,Paramètres!$A$1:$I$89,3,0)*VLOOKUP('Données projet'!$B$9,Paramètres!$A$1:$I$89,5,0)</f>
        <v>327.08988000000016</v>
      </c>
      <c r="P74" s="14">
        <f t="shared" si="87"/>
        <v>76.826654368926398</v>
      </c>
      <c r="Q74" s="22">
        <f t="shared" si="54"/>
        <v>703.48796402588039</v>
      </c>
      <c r="R74" s="62">
        <f t="shared" si="55"/>
        <v>996.82129735921376</v>
      </c>
      <c r="S74" s="62">
        <f ca="1">AVERAGE(OFFSET($R$3,0,0,'Données projet'!$E$9+1,1))-AVERAGE(OFFSET($H$3,0,0,'Données projet'!$E$9+1,1))</f>
        <v>309.95417097673084</v>
      </c>
      <c r="T74" s="62">
        <f t="shared" si="88"/>
        <v>170.83243426024433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2.2844249797449154</v>
      </c>
      <c r="AA74" s="23">
        <f>EXP(-LN(2)/25)*AA73+(1-EXP(-LN(2)/25))/(LN(2)/25)*Calculateur!V74*Calculateur!X74*VLOOKUP('Données projet'!$B$9,Paramètres!$A$1:$I$89,3,0)*0.475*44/12</f>
        <v>15.193873430238527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17.478298409983442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4.4491666666666658</v>
      </c>
      <c r="AI74" s="14">
        <f>IF('Données projet'!$A$62&gt;35,AI73+AH74-AQ73,IF(A74&lt;'Données projet'!$A$62,$AF$205^A74,IF(A74='Données projet'!$A$62,'Données projet'!$B$62,AI73+AH74-AQ73)))</f>
        <v>247.73166666666623</v>
      </c>
      <c r="AJ74" s="14">
        <f>AI74*VLOOKUP('Données projet'!$B$10,Paramètres!$A$1:$I$89,3,0)*VLOOKUP('Données projet'!$B$10,Paramètres!$A$1:$I$89,5,0)</f>
        <v>251.19990999999959</v>
      </c>
      <c r="AK74" s="14">
        <f t="shared" si="89"/>
        <v>60.842811873169076</v>
      </c>
      <c r="AL74" s="22">
        <f t="shared" si="58"/>
        <v>543.47440726243542</v>
      </c>
      <c r="AM74" s="62">
        <f t="shared" si="59"/>
        <v>836.80774059576879</v>
      </c>
      <c r="AN74" s="62">
        <f ca="1">AVERAGE(OFFSET($AM$3,0,0,'Données projet'!$E$10+1,1))-AVERAGE(OFFSET($H$3,0,0,'Données projet'!$E$10+1,1))</f>
        <v>408.65944152905672</v>
      </c>
      <c r="AO74" s="62">
        <f t="shared" si="90"/>
        <v>248.55239719988651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1.9667844785932407</v>
      </c>
      <c r="AV74" s="23">
        <f>EXP(-LN(2)/25)*AV73+(1-EXP(-LN(2)/25))/(LN(2)/25)*Calculateur!AQ74*Calculateur!AS74*VLOOKUP('Données projet'!$B$10,Paramètres!$A$1:$I$89,3,0)*0.475*44/12</f>
        <v>0.95717019636459588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2.9239546749578365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10.399166666666664</v>
      </c>
      <c r="BD74" s="13">
        <f>IF('Données projet'!$A$88&gt;35,BD73+BC74-BL73,IF(A74&lt;'Données projet'!$A$88,$BA$205^A74,IF(A74='Données projet'!$A$88,'Données projet'!$B$88,BD73+BC74-BL73)))</f>
        <v>578.97166666666624</v>
      </c>
      <c r="BE74" s="14">
        <f>BD74*VLOOKUP('Données projet'!$B$11,Paramètres!$A$1:$I$89,3,0)*VLOOKUP('Données projet'!$B$11,Paramètres!$A$1:$I$89,5,0)</f>
        <v>559.98139599999968</v>
      </c>
      <c r="BF74" s="14">
        <f t="shared" si="91"/>
        <v>123.54872184808318</v>
      </c>
      <c r="BG74" s="22">
        <f t="shared" si="61"/>
        <v>1190.4816219187444</v>
      </c>
      <c r="BH74" s="62">
        <f t="shared" si="62"/>
        <v>1483.8149552520777</v>
      </c>
      <c r="BI74" s="62">
        <f ca="1">AVERAGE(OFFSET($BH$3,0,0,'Données projet'!$E$11+1,1))-AVERAGE(OFFSET($H$3,0,0,'Données projet'!$E$11+1,1))</f>
        <v>643.38601112255424</v>
      </c>
      <c r="BJ74" s="62">
        <f t="shared" si="92"/>
        <v>572.76381622085694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2.1247596918273359</v>
      </c>
      <c r="BQ74" s="23">
        <f>EXP(-LN(2)/25)*BQ73+(1-EXP(-LN(2)/25))/(LN(2)/25)*Calculateur!BL74*Calculateur!BN74*VLOOKUP('Données projet'!$B$11,Paramètres!$A$1:$I$89,3,0)*0.475*44/12</f>
        <v>1.4330770437540514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3.5578367355813874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505.23000000000025</v>
      </c>
      <c r="BZ74" s="14">
        <f>BY74*VLOOKUP('Données projet'!$B$12,Paramètres!$A$1:$I$89,3,0)*VLOOKUP('Données projet'!$B$12,Paramètres!$A$1:$I$89,5,0)</f>
        <v>338.90828400000015</v>
      </c>
      <c r="CA74" s="14">
        <f t="shared" si="93"/>
        <v>79.274348782791407</v>
      </c>
      <c r="CB74" s="22">
        <f t="shared" si="64"/>
        <v>728.33475209669507</v>
      </c>
      <c r="CC74" s="62">
        <f t="shared" si="65"/>
        <v>1021.6680854300284</v>
      </c>
      <c r="CD74" s="62">
        <f ca="1">AVERAGE(OFFSET($CC$3,0,0,'Données projet'!$E$12+1,1))-AVERAGE(OFFSET($H$3,0,0,'Données projet'!$E$12+1,1))</f>
        <v>323.41415875740768</v>
      </c>
      <c r="CE74" s="62">
        <f t="shared" si="94"/>
        <v>496.54020068152101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10.399166666666664</v>
      </c>
      <c r="CT74" s="13">
        <f>IF('Données projet'!$A$140&gt;35,CT73+CS74-DB73,IF(A74&lt;'Données projet'!$A$140,$CQ$205^A74,IF(A74='Données projet'!$A$140,'Données projet'!$B$140,CT73+CS74-DB73)))</f>
        <v>578.97166666666624</v>
      </c>
      <c r="CU74" s="18">
        <f>CT74*VLOOKUP('Données projet'!$B$13,Paramètres!$A$1:$I$89,3,0)*VLOOKUP('Données projet'!$B$13,Paramètres!$A$1:$I$89,5,0)</f>
        <v>623.20510199999956</v>
      </c>
      <c r="CV74" s="14">
        <f t="shared" si="95"/>
        <v>135.79632487707306</v>
      </c>
      <c r="CW74" s="22">
        <f t="shared" si="67"/>
        <v>1321.9274851442349</v>
      </c>
      <c r="CX74" s="62">
        <f t="shared" si="68"/>
        <v>1615.2608184775681</v>
      </c>
      <c r="CY74" s="62">
        <f ca="1">AVERAGE(OFFSET($CX$3,0,0,'Données projet'!$E$13+1,1))-AVERAGE(OFFSET($H$3,0,0,'Données projet'!$E$13+1,1))</f>
        <v>720.47588458554264</v>
      </c>
      <c r="CZ74" s="62">
        <f t="shared" si="96"/>
        <v>638.59686934821627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2.3646519150981637</v>
      </c>
      <c r="DG74" s="23">
        <f>EXP(-LN(2)/25)*DG73+(1-EXP(-LN(2)/25))/(LN(2)/25)*Calculateur!DB74*Calculateur!DD74*VLOOKUP('Données projet'!$B$13,Paramètres!$A$1:$I$89,3,0)*0.475*44/12</f>
        <v>1.5948760648230571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3.9595279799212211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14.900000000000006</v>
      </c>
      <c r="N75" s="14">
        <f>IF('Données projet'!$A$36&gt;35,N74+M75-V74,IF(A75&lt;'Données projet'!$A$36,$K$205^A75,IF(A75='Données projet'!$A$36,'Données projet'!$B$36,N74+M75-V74)))</f>
        <v>713.81000000000029</v>
      </c>
      <c r="O75" s="14">
        <f>N75*VLOOKUP('Données projet'!$B$9,Paramètres!$A$1:$I$89,3,0)*VLOOKUP('Données projet'!$B$9,Paramètres!$A$1:$I$89,5,0)</f>
        <v>334.06308000000013</v>
      </c>
      <c r="P75" s="14">
        <f t="shared" si="87"/>
        <v>78.272086434215097</v>
      </c>
      <c r="Q75" s="22">
        <f t="shared" si="54"/>
        <v>718.1504148729249</v>
      </c>
      <c r="R75" s="62">
        <f t="shared" si="55"/>
        <v>1011.4837482062583</v>
      </c>
      <c r="S75" s="62">
        <f ca="1">AVERAGE(OFFSET($R$3,0,0,'Données projet'!$E$9+1,1))-AVERAGE(OFFSET($H$3,0,0,'Données projet'!$E$9+1,1))</f>
        <v>309.95417097673084</v>
      </c>
      <c r="T75" s="62">
        <f t="shared" si="88"/>
        <v>170.83243426024433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2.2396287992537722</v>
      </c>
      <c r="AA75" s="23">
        <f>EXP(-LN(2)/25)*AA74+(1-EXP(-LN(2)/25))/(LN(2)/25)*Calculateur!V75*Calculateur!X75*VLOOKUP('Données projet'!$B$9,Paramètres!$A$1:$I$89,3,0)*0.475*44/12</f>
        <v>14.778396162277577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17.018024961531349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4.4491666666666658</v>
      </c>
      <c r="AI75" s="14">
        <f>IF('Données projet'!$A$62&gt;35,AI74+AH75-AQ74,IF(A75&lt;'Données projet'!$A$62,$AF$205^A75,IF(A75='Données projet'!$A$62,'Données projet'!$B$62,AI74+AH75-AQ74)))</f>
        <v>252.18083333333288</v>
      </c>
      <c r="AJ75" s="14">
        <f>AI75*VLOOKUP('Données projet'!$B$10,Paramètres!$A$1:$I$89,3,0)*VLOOKUP('Données projet'!$B$10,Paramètres!$A$1:$I$89,5,0)</f>
        <v>255.71136499999957</v>
      </c>
      <c r="AK75" s="14">
        <f t="shared" si="89"/>
        <v>61.807331255395553</v>
      </c>
      <c r="AL75" s="22">
        <f t="shared" si="58"/>
        <v>553.01172931147983</v>
      </c>
      <c r="AM75" s="62">
        <f t="shared" si="59"/>
        <v>846.3450626448132</v>
      </c>
      <c r="AN75" s="62">
        <f ca="1">AVERAGE(OFFSET($AM$3,0,0,'Données projet'!$E$10+1,1))-AVERAGE(OFFSET($H$3,0,0,'Données projet'!$E$10+1,1))</f>
        <v>408.65944152905672</v>
      </c>
      <c r="AO75" s="62">
        <f t="shared" si="90"/>
        <v>248.55239719988651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1.9282170345881064</v>
      </c>
      <c r="AV75" s="23">
        <f>EXP(-LN(2)/25)*AV74+(1-EXP(-LN(2)/25))/(LN(2)/25)*Calculateur!AQ75*Calculateur!AS75*VLOOKUP('Données projet'!$B$10,Paramètres!$A$1:$I$89,3,0)*0.475*44/12</f>
        <v>0.93099632700961299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2.8592133615977193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10.399166666666664</v>
      </c>
      <c r="BD75" s="13">
        <f>IF('Données projet'!$A$88&gt;35,BD74+BC75-BL74,IF(A75&lt;'Données projet'!$A$88,$BA$205^A75,IF(A75='Données projet'!$A$88,'Données projet'!$B$88,BD74+BC75-BL74)))</f>
        <v>589.37083333333294</v>
      </c>
      <c r="BE75" s="14">
        <f>BD75*VLOOKUP('Données projet'!$B$11,Paramètres!$A$1:$I$89,3,0)*VLOOKUP('Données projet'!$B$11,Paramètres!$A$1:$I$89,5,0)</f>
        <v>570.03946999999971</v>
      </c>
      <c r="BF75" s="14">
        <f t="shared" si="91"/>
        <v>125.50749422565055</v>
      </c>
      <c r="BG75" s="22">
        <f t="shared" si="61"/>
        <v>1211.4109626930076</v>
      </c>
      <c r="BH75" s="62">
        <f t="shared" si="62"/>
        <v>1504.7442960263409</v>
      </c>
      <c r="BI75" s="62">
        <f ca="1">AVERAGE(OFFSET($BH$3,0,0,'Données projet'!$E$11+1,1))-AVERAGE(OFFSET($H$3,0,0,'Données projet'!$E$11+1,1))</f>
        <v>643.38601112255424</v>
      </c>
      <c r="BJ75" s="62">
        <f t="shared" si="92"/>
        <v>572.76381622085694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2.0830944502460471</v>
      </c>
      <c r="BQ75" s="23">
        <f>EXP(-LN(2)/25)*BQ74+(1-EXP(-LN(2)/25))/(LN(2)/25)*Calculateur!BL75*Calculateur!BN75*VLOOKUP('Données projet'!$B$11,Paramètres!$A$1:$I$89,3,0)*0.475*44/12</f>
        <v>1.3938894766303505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3.4769839268763976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505.23000000000025</v>
      </c>
      <c r="BZ75" s="14">
        <f>BY75*VLOOKUP('Données projet'!$B$12,Paramètres!$A$1:$I$89,3,0)*VLOOKUP('Données projet'!$B$12,Paramètres!$A$1:$I$89,5,0)</f>
        <v>338.90828400000015</v>
      </c>
      <c r="CA75" s="14">
        <f t="shared" si="93"/>
        <v>79.274348782791407</v>
      </c>
      <c r="CB75" s="22">
        <f t="shared" si="64"/>
        <v>728.33475209669507</v>
      </c>
      <c r="CC75" s="62">
        <f t="shared" si="65"/>
        <v>1021.6680854300284</v>
      </c>
      <c r="CD75" s="62">
        <f ca="1">AVERAGE(OFFSET($CC$3,0,0,'Données projet'!$E$12+1,1))-AVERAGE(OFFSET($H$3,0,0,'Données projet'!$E$12+1,1))</f>
        <v>323.41415875740768</v>
      </c>
      <c r="CE75" s="62">
        <f t="shared" si="94"/>
        <v>496.54020068152101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10.399166666666664</v>
      </c>
      <c r="CT75" s="13">
        <f>IF('Données projet'!$A$140&gt;35,CT74+CS75-DB74,IF(A75&lt;'Données projet'!$A$140,$CQ$205^A75,IF(A75='Données projet'!$A$140,'Données projet'!$B$140,CT74+CS75-DB74)))</f>
        <v>589.37083333333294</v>
      </c>
      <c r="CU75" s="18">
        <f>CT75*VLOOKUP('Données projet'!$B$13,Paramètres!$A$1:$I$89,3,0)*VLOOKUP('Données projet'!$B$13,Paramètres!$A$1:$I$89,5,0)</f>
        <v>634.39876499999957</v>
      </c>
      <c r="CV75" s="14">
        <f t="shared" si="95"/>
        <v>137.94927382033649</v>
      </c>
      <c r="CW75" s="22">
        <f t="shared" si="67"/>
        <v>1345.1728342787519</v>
      </c>
      <c r="CX75" s="62">
        <f t="shared" si="68"/>
        <v>1638.5061676120852</v>
      </c>
      <c r="CY75" s="62">
        <f ca="1">AVERAGE(OFFSET($CX$3,0,0,'Données projet'!$E$13+1,1))-AVERAGE(OFFSET($H$3,0,0,'Données projet'!$E$13+1,1))</f>
        <v>720.47588458554264</v>
      </c>
      <c r="CZ75" s="62">
        <f t="shared" si="96"/>
        <v>638.59686934821627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2.3182825333383423</v>
      </c>
      <c r="DG75" s="23">
        <f>EXP(-LN(2)/25)*DG74+(1-EXP(-LN(2)/25))/(LN(2)/25)*Calculateur!DB75*Calculateur!DD75*VLOOKUP('Données projet'!$B$13,Paramètres!$A$1:$I$89,3,0)*0.475*44/12</f>
        <v>1.5512640949595835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3.8695466282979258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>
        <f>VLOOKUP(A76,'Données projet'!$A$35:$I$55,2,0)</f>
        <v>728.71</v>
      </c>
      <c r="L76" s="13">
        <f>VLOOKUP(A76,'Données projet'!$A$35:$I$55,9,0)</f>
        <v>14.900000000000006</v>
      </c>
      <c r="M76" s="13">
        <f t="array" ref="M76">INDEX(L:L,MIN(IF(ISNUMBER(L76:L272),ROW(L76:L272),"")))</f>
        <v>14.900000000000006</v>
      </c>
      <c r="N76" s="14">
        <f>IF('Données projet'!$A$36&gt;35,N75+M76-V75,IF(A76&lt;'Données projet'!$A$36,$K$205^A76,IF(A76='Données projet'!$A$36,'Données projet'!$B$36,N75+M76-V75)))</f>
        <v>728.71000000000026</v>
      </c>
      <c r="O76" s="14">
        <f>N76*VLOOKUP('Données projet'!$B$9,Paramètres!$A$1:$I$89,3,0)*VLOOKUP('Données projet'!$B$9,Paramètres!$A$1:$I$89,5,0)</f>
        <v>341.03628000000015</v>
      </c>
      <c r="P76" s="14">
        <f t="shared" si="87"/>
        <v>79.714010494991527</v>
      </c>
      <c r="Q76" s="22">
        <f t="shared" si="54"/>
        <v>732.8067559454438</v>
      </c>
      <c r="R76" s="62">
        <f t="shared" si="55"/>
        <v>1026.1400892787772</v>
      </c>
      <c r="S76" s="62">
        <f ca="1">AVERAGE(OFFSET($R$3,0,0,'Données projet'!$E$9+1,1))-AVERAGE(OFFSET($H$3,0,0,'Données projet'!$E$9+1,1))</f>
        <v>309.95417097673084</v>
      </c>
      <c r="T76" s="62">
        <f t="shared" si="88"/>
        <v>170.83243426024433</v>
      </c>
      <c r="U76" s="16">
        <f>IF(ISNA(VLOOKUP(A76,'Données projet'!$A$35:$I$55,3,0)),0,VLOOKUP(A76,'Données projet'!$A$35:$I$55,3,0))</f>
        <v>9</v>
      </c>
      <c r="V76" s="16">
        <f>IF(ISNA(VLOOKUP(A76,'Données projet'!$A$35:$I$55,4,0)),0,VLOOKUP(A76,'Données projet'!$A$35:$I$55,4,0))</f>
        <v>72.87</v>
      </c>
      <c r="W76" s="17">
        <f>IF(ISNA(VLOOKUP(A76,'Données projet'!$A$35:$I$55,5,0)),0%,VLOOKUP(A76,'Données projet'!$A$35:$I$55,5,0)*VLOOKUP('Données projet'!$B$9,Paramètres!$A$1:$I$89,7,0))</f>
        <v>6.0500000000000005E-2</v>
      </c>
      <c r="X76" s="17">
        <f>IF(ISNA(VLOOKUP(A76,'Données projet'!$A$35:$I$55,6,0)),0%,VLOOKUP(A76,'Données projet'!$A$35:$I$55,6,0)*VLOOKUP('Données projet'!$B$9,Paramètres!$A$1:$I$89,7,0))</f>
        <v>0.30250000000000005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4.932733456926222</v>
      </c>
      <c r="AA76" s="23">
        <f>EXP(-LN(2)/25)*AA75+(1-EXP(-LN(2)/25))/(LN(2)/25)*Calculateur!V76*Calculateur!X76*VLOOKUP('Données projet'!$B$9,Paramètres!$A$1:$I$89,3,0)*0.475*44/12</f>
        <v>28.005508703369351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32.938242160295573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>
        <f>VLOOKUP(A76,'Données projet'!$A$61:$I$81,2,0)</f>
        <v>256.63</v>
      </c>
      <c r="AG76" s="13">
        <f>VLOOKUP(A76,'Données projet'!$A$61:$I$81,9,0)</f>
        <v>4.4491666666666658</v>
      </c>
      <c r="AH76" s="13">
        <f t="array" ref="AH76">INDEX(AG:AG,MIN(IF(ISNUMBER(AG76:AG272),ROW(AG76:AG272),"")))</f>
        <v>4.4491666666666658</v>
      </c>
      <c r="AI76" s="14">
        <f>IF('Données projet'!$A$62&gt;35,AI75+AH76-AQ75,IF(A76&lt;'Données projet'!$A$62,$AF$205^A76,IF(A76='Données projet'!$A$62,'Données projet'!$B$62,AI75+AH76-AQ75)))</f>
        <v>256.62999999999954</v>
      </c>
      <c r="AJ76" s="14">
        <f>AI76*VLOOKUP('Données projet'!$B$10,Paramètres!$A$1:$I$89,3,0)*VLOOKUP('Données projet'!$B$10,Paramètres!$A$1:$I$89,5,0)</f>
        <v>260.22281999999956</v>
      </c>
      <c r="AK76" s="14">
        <f t="shared" si="89"/>
        <v>62.7698718075697</v>
      </c>
      <c r="AL76" s="22">
        <f t="shared" si="58"/>
        <v>562.54560489818311</v>
      </c>
      <c r="AM76" s="62">
        <f t="shared" si="59"/>
        <v>855.87893823151649</v>
      </c>
      <c r="AN76" s="62">
        <f ca="1">AVERAGE(OFFSET($AM$3,0,0,'Données projet'!$E$10+1,1))-AVERAGE(OFFSET($H$3,0,0,'Données projet'!$E$10+1,1))</f>
        <v>408.65944152905672</v>
      </c>
      <c r="AO76" s="62">
        <f t="shared" si="90"/>
        <v>248.55239719988651</v>
      </c>
      <c r="AP76" s="16">
        <f>IF(ISNA(VLOOKUP(A76,'Données projet'!$A$61:$I$81,3,0)),0,VLOOKUP(A76,'Données projet'!$A$61:$I$81,3,0))</f>
        <v>6</v>
      </c>
      <c r="AQ76" s="16">
        <f>IF(ISNA(VLOOKUP(A76,'Données projet'!$A$61:$I$81,4,0)),0,VLOOKUP(A76,'Données projet'!$A$61:$I$81,4,0))</f>
        <v>25.66</v>
      </c>
      <c r="AR76" s="17">
        <f>IF(ISNA(VLOOKUP(A76,'Données projet'!$A$61:$I$81,5,0)),0%,VLOOKUP(A76,'Données projet'!$A$61:$I$81,5,0)*VLOOKUP('Données projet'!$B$10,Paramètres!$A$1:$I$89,7,0))</f>
        <v>6.4500000000000002E-2</v>
      </c>
      <c r="AS76" s="17">
        <f>IF(ISNA(VLOOKUP(A76,'Données projet'!$A$61:$I$81,6,0)),0%,VLOOKUP(A76,'Données projet'!$A$61:$I$81,6,0)*VLOOKUP('Données projet'!$B$10,Paramètres!$A$1:$I$89,7,0))</f>
        <v>3.8699999999999998E-2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3.7456515677444453</v>
      </c>
      <c r="AV76" s="23">
        <f>EXP(-LN(2)/25)*AV75+(1-EXP(-LN(2)/25))/(LN(2)/25)*Calculateur!AQ76*Calculateur!AS76*VLOOKUP('Données projet'!$B$10,Paramètres!$A$1:$I$89,3,0)*0.475*44/12</f>
        <v>2.0143027138348981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5.7599542815793434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>
        <f>VLOOKUP(A76,'Données projet'!$A$87:$I$107,2,0)</f>
        <v>599.77</v>
      </c>
      <c r="BB76" s="13">
        <f>VLOOKUP(A76,'Données projet'!$A$87:$I$107,9,0)</f>
        <v>10.399166666666664</v>
      </c>
      <c r="BC76" s="13">
        <f t="array" ref="BC76">INDEX(BB:BB,MIN(IF(ISNUMBER(BB76:BB272),ROW(BB76:BB272),"")))</f>
        <v>10.399166666666664</v>
      </c>
      <c r="BD76" s="13">
        <f>IF('Données projet'!$A$88&gt;35,BD75+BC76-BL75,IF(A76&lt;'Données projet'!$A$88,$BA$205^A76,IF(A76='Données projet'!$A$88,'Données projet'!$B$88,BD75+BC76-BL75)))</f>
        <v>599.76999999999964</v>
      </c>
      <c r="BE76" s="14">
        <f>BD76*VLOOKUP('Données projet'!$B$11,Paramètres!$A$1:$I$89,3,0)*VLOOKUP('Données projet'!$B$11,Paramètres!$A$1:$I$89,5,0)</f>
        <v>580.09754399999963</v>
      </c>
      <c r="BF76" s="14">
        <f t="shared" si="91"/>
        <v>127.46224754063435</v>
      </c>
      <c r="BG76" s="22">
        <f t="shared" si="61"/>
        <v>1232.3333035999376</v>
      </c>
      <c r="BH76" s="62">
        <f t="shared" si="62"/>
        <v>1525.6666369332709</v>
      </c>
      <c r="BI76" s="62">
        <f ca="1">AVERAGE(OFFSET($BH$3,0,0,'Données projet'!$E$11+1,1))-AVERAGE(OFFSET($H$3,0,0,'Données projet'!$E$11+1,1))</f>
        <v>643.38601112255424</v>
      </c>
      <c r="BJ76" s="62">
        <f t="shared" si="92"/>
        <v>572.76381622085694</v>
      </c>
      <c r="BK76" s="16">
        <f>IF(ISNA(VLOOKUP(A76,'Données projet'!$A$87:$I$107,3,0)),0,VLOOKUP(A76,'Données projet'!$A$87:$I$107,3,0))</f>
        <v>6</v>
      </c>
      <c r="BL76" s="16">
        <f>IF(ISNA(VLOOKUP(A76,'Données projet'!$A$87:$I$107,4,0)),0,VLOOKUP(A76,'Données projet'!$A$87:$I$107,4,0))</f>
        <v>59.98</v>
      </c>
      <c r="BM76" s="17">
        <f>IF(ISNA(VLOOKUP(A76,'Données projet'!$A$87:$I$107,5,0)),0%,VLOOKUP(A76,'Données projet'!$A$87:$I$107,5,0)*VLOOKUP('Données projet'!$B$11,Paramètres!$A$1:$I$89,7,0))</f>
        <v>4.3000000000000003E-2</v>
      </c>
      <c r="BN76" s="17">
        <f>IF(ISNA(VLOOKUP(A76,'Données projet'!$A$87:$I$107,6,0)),0%,VLOOKUP(A76,'Données projet'!$A$87:$I$107,6,0)*VLOOKUP('Données projet'!$B$11,Paramètres!$A$1:$I$89,7,0))</f>
        <v>3.44E-2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4.7998909710183622</v>
      </c>
      <c r="BQ76" s="23">
        <f>EXP(-LN(2)/25)*BQ75+(1-EXP(-LN(2)/25))/(LN(2)/25)*Calculateur!BL76*Calculateur!BN76*VLOOKUP('Données projet'!$B$11,Paramètres!$A$1:$I$89,3,0)*0.475*44/12</f>
        <v>3.553202963048899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8.3530939340672603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505.23000000000025</v>
      </c>
      <c r="BZ76" s="14">
        <f>BY76*VLOOKUP('Données projet'!$B$12,Paramètres!$A$1:$I$89,3,0)*VLOOKUP('Données projet'!$B$12,Paramètres!$A$1:$I$89,5,0)</f>
        <v>338.90828400000015</v>
      </c>
      <c r="CA76" s="14">
        <f t="shared" si="93"/>
        <v>79.274348782791407</v>
      </c>
      <c r="CB76" s="22">
        <f t="shared" si="64"/>
        <v>728.33475209669507</v>
      </c>
      <c r="CC76" s="62">
        <f t="shared" si="65"/>
        <v>1021.6680854300284</v>
      </c>
      <c r="CD76" s="62">
        <f ca="1">AVERAGE(OFFSET($CC$3,0,0,'Données projet'!$E$12+1,1))-AVERAGE(OFFSET($H$3,0,0,'Données projet'!$E$12+1,1))</f>
        <v>323.41415875740768</v>
      </c>
      <c r="CE76" s="62">
        <f t="shared" si="94"/>
        <v>496.54020068152101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>
        <f>VLOOKUP(A76,'Données projet'!$A$139:$I$159,2,0)</f>
        <v>599.77</v>
      </c>
      <c r="CR76" s="13">
        <f>VLOOKUP(A76,'Données projet'!$A$139:$I$159,9,0)</f>
        <v>10.399166666666664</v>
      </c>
      <c r="CS76" s="13">
        <f t="array" ref="CS76">INDEX(CR:CR,MIN(IF(ISNUMBER(CR76:CR272),ROW(CR76:CR272),"")))</f>
        <v>10.399166666666664</v>
      </c>
      <c r="CT76" s="13">
        <f>IF('Données projet'!$A$140&gt;35,CT75+CS76-DB75,IF(A76&lt;'Données projet'!$A$140,$CQ$205^A76,IF(A76='Données projet'!$A$140,'Données projet'!$B$140,CT75+CS76-DB75)))</f>
        <v>599.76999999999964</v>
      </c>
      <c r="CU76" s="18">
        <f>CT76*VLOOKUP('Données projet'!$B$13,Paramètres!$A$1:$I$89,3,0)*VLOOKUP('Données projet'!$B$13,Paramètres!$A$1:$I$89,5,0)</f>
        <v>645.59242799999959</v>
      </c>
      <c r="CV76" s="14">
        <f t="shared" si="95"/>
        <v>140.09780528424341</v>
      </c>
      <c r="CW76" s="22">
        <f t="shared" si="67"/>
        <v>1368.4104896367232</v>
      </c>
      <c r="CX76" s="62">
        <f t="shared" si="68"/>
        <v>1661.7438229700565</v>
      </c>
      <c r="CY76" s="62">
        <f ca="1">AVERAGE(OFFSET($CX$3,0,0,'Données projet'!$E$13+1,1))-AVERAGE(OFFSET($H$3,0,0,'Données projet'!$E$13+1,1))</f>
        <v>720.47588458554264</v>
      </c>
      <c r="CZ76" s="62">
        <f t="shared" si="96"/>
        <v>638.59686934821627</v>
      </c>
      <c r="DA76" s="16">
        <f>IF(ISNA(VLOOKUP(A76,'Données projet'!$A$139:$I$159,3,0)),0,VLOOKUP(A76,'Données projet'!$A$139:$I$159,3,0))</f>
        <v>6</v>
      </c>
      <c r="DB76" s="16">
        <f>IF(ISNA(VLOOKUP(A76,'Données projet'!$A$139:$I$159,4,0)),0,VLOOKUP(A76,'Données projet'!$A$139:$I$159,4,0))</f>
        <v>59.98</v>
      </c>
      <c r="DC76" s="17">
        <f>IF(ISNA(VLOOKUP(A76,'Données projet'!$A$139:$I$159,5,0)),0%,VLOOKUP(A76,'Données projet'!$A$139:$I$159,5,0)*VLOOKUP('Données projet'!$B$13,Paramètres!$A$1:$I$89,7,0))</f>
        <v>4.3000000000000003E-2</v>
      </c>
      <c r="DD76" s="17">
        <f>IF(ISNA(VLOOKUP(A76,'Données projet'!$A$139:$I$159,6,0)),0%,VLOOKUP(A76,'Données projet'!$A$139:$I$159,6,0)*VLOOKUP('Données projet'!$B$13,Paramètres!$A$1:$I$89,7,0))</f>
        <v>3.44E-2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5.3418141451655963</v>
      </c>
      <c r="DG76" s="23">
        <f>EXP(-LN(2)/25)*DG75+(1-EXP(-LN(2)/25))/(LN(2)/25)*Calculateur!DB76*Calculateur!DD76*VLOOKUP('Données projet'!$B$13,Paramètres!$A$1:$I$89,3,0)*0.475*44/12</f>
        <v>3.9543710395221616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9.2961851846877579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14.899999999999997</v>
      </c>
      <c r="N77" s="14">
        <f>IF('Données projet'!$A$36&gt;35,N76+M77-V76,IF(A77&lt;'Données projet'!$A$36,$K$205^A77,IF(A77='Données projet'!$A$36,'Données projet'!$B$36,N76+M77-V76)))</f>
        <v>670.74000000000024</v>
      </c>
      <c r="O77" s="14">
        <f>N77*VLOOKUP('Données projet'!$B$9,Paramètres!$A$1:$I$89,3,0)*VLOOKUP('Données projet'!$B$9,Paramètres!$A$1:$I$89,5,0)</f>
        <v>313.90632000000011</v>
      </c>
      <c r="P77" s="14">
        <f t="shared" si="87"/>
        <v>74.084029762701292</v>
      </c>
      <c r="Q77" s="22">
        <f t="shared" si="54"/>
        <v>675.74985917003823</v>
      </c>
      <c r="R77" s="62">
        <f t="shared" si="55"/>
        <v>969.08319250337149</v>
      </c>
      <c r="S77" s="62">
        <f ca="1">AVERAGE(OFFSET($R$3,0,0,'Données projet'!$E$9+1,1))-AVERAGE(OFFSET($H$3,0,0,'Données projet'!$E$9+1,1))</f>
        <v>309.95417097673084</v>
      </c>
      <c r="T77" s="62">
        <f t="shared" si="88"/>
        <v>170.83243426024433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4.8360055625062257</v>
      </c>
      <c r="AA77" s="23">
        <f>EXP(-LN(2)/25)*AA76+(1-EXP(-LN(2)/25))/(LN(2)/25)*Calculateur!V77*Calculateur!X77*VLOOKUP('Données projet'!$B$9,Paramètres!$A$1:$I$89,3,0)*0.475*44/12</f>
        <v>27.23969659513002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32.075702157636243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4.45</v>
      </c>
      <c r="AI77" s="14">
        <f>IF('Données projet'!$A$62&gt;35,AI76+AH77-AQ76,IF(A77&lt;'Données projet'!$A$62,$AF$205^A77,IF(A77='Données projet'!$A$62,'Données projet'!$B$62,AI76+AH77-AQ76)))</f>
        <v>235.41999999999953</v>
      </c>
      <c r="AJ77" s="14">
        <f>AI77*VLOOKUP('Données projet'!$B$10,Paramètres!$A$1:$I$89,3,0)*VLOOKUP('Données projet'!$B$10,Paramètres!$A$1:$I$89,5,0)</f>
        <v>238.71587999999957</v>
      </c>
      <c r="AK77" s="14">
        <f t="shared" si="89"/>
        <v>58.163159602173451</v>
      </c>
      <c r="AL77" s="22">
        <f t="shared" si="58"/>
        <v>517.06432730711788</v>
      </c>
      <c r="AM77" s="62">
        <f t="shared" si="59"/>
        <v>810.39766064045125</v>
      </c>
      <c r="AN77" s="62">
        <f ca="1">AVERAGE(OFFSET($AM$3,0,0,'Données projet'!$E$10+1,1))-AVERAGE(OFFSET($H$3,0,0,'Données projet'!$E$10+1,1))</f>
        <v>408.65944152905672</v>
      </c>
      <c r="AO77" s="62">
        <f t="shared" si="90"/>
        <v>248.55239719988651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3.6722016251228453</v>
      </c>
      <c r="AV77" s="23">
        <f>EXP(-LN(2)/25)*AV76+(1-EXP(-LN(2)/25))/(LN(2)/25)*Calculateur!AQ77*Calculateur!AS77*VLOOKUP('Données projet'!$B$10,Paramètres!$A$1:$I$89,3,0)*0.475*44/12</f>
        <v>1.9592215001975068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5.6314231253203522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10.400833333333338</v>
      </c>
      <c r="BD77" s="13">
        <f>IF('Données projet'!$A$88&gt;35,BD76+BC77-BL76,IF(A77&lt;'Données projet'!$A$88,$BA$205^A77,IF(A77='Données projet'!$A$88,'Données projet'!$B$88,BD76+BC77-BL76)))</f>
        <v>550.19083333333299</v>
      </c>
      <c r="BE77" s="14">
        <f>BD77*VLOOKUP('Données projet'!$B$11,Paramètres!$A$1:$I$89,3,0)*VLOOKUP('Données projet'!$B$11,Paramètres!$A$1:$I$89,5,0)</f>
        <v>532.14457399999969</v>
      </c>
      <c r="BF77" s="14">
        <f t="shared" si="91"/>
        <v>118.1059706539224</v>
      </c>
      <c r="BG77" s="22">
        <f t="shared" si="61"/>
        <v>1132.519698605581</v>
      </c>
      <c r="BH77" s="62">
        <f t="shared" si="62"/>
        <v>1425.8530319389142</v>
      </c>
      <c r="BI77" s="62">
        <f ca="1">AVERAGE(OFFSET($BH$3,0,0,'Données projet'!$E$11+1,1))-AVERAGE(OFFSET($H$3,0,0,'Données projet'!$E$11+1,1))</f>
        <v>643.38601112255424</v>
      </c>
      <c r="BJ77" s="62">
        <f t="shared" si="92"/>
        <v>572.76381622085694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4.7057680367211034</v>
      </c>
      <c r="BQ77" s="23">
        <f>EXP(-LN(2)/25)*BQ76+(1-EXP(-LN(2)/25))/(LN(2)/25)*Calculateur!BL77*Calculateur!BN77*VLOOKUP('Données projet'!$B$11,Paramètres!$A$1:$I$89,3,0)*0.475*44/12</f>
        <v>3.4560404411695038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8.1618084778906077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505.23000000000025</v>
      </c>
      <c r="BZ77" s="14">
        <f>BY77*VLOOKUP('Données projet'!$B$12,Paramètres!$A$1:$I$89,3,0)*VLOOKUP('Données projet'!$B$12,Paramètres!$A$1:$I$89,5,0)</f>
        <v>338.90828400000015</v>
      </c>
      <c r="CA77" s="14">
        <f t="shared" si="93"/>
        <v>79.274348782791407</v>
      </c>
      <c r="CB77" s="22">
        <f t="shared" si="64"/>
        <v>728.33475209669507</v>
      </c>
      <c r="CC77" s="62">
        <f t="shared" si="65"/>
        <v>1021.6680854300284</v>
      </c>
      <c r="CD77" s="62">
        <f ca="1">AVERAGE(OFFSET($CC$3,0,0,'Données projet'!$E$12+1,1))-AVERAGE(OFFSET($H$3,0,0,'Données projet'!$E$12+1,1))</f>
        <v>323.41415875740768</v>
      </c>
      <c r="CE77" s="62">
        <f t="shared" si="94"/>
        <v>496.54020068152101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10.400833333333338</v>
      </c>
      <c r="CT77" s="13">
        <f>IF('Données projet'!$A$140&gt;35,CT76+CS77-DB76,IF(A77&lt;'Données projet'!$A$140,$CQ$205^A77,IF(A77='Données projet'!$A$140,'Données projet'!$B$140,CT76+CS77-DB76)))</f>
        <v>550.19083333333299</v>
      </c>
      <c r="CU77" s="18">
        <f>CT77*VLOOKUP('Données projet'!$B$13,Paramètres!$A$1:$I$89,3,0)*VLOOKUP('Données projet'!$B$13,Paramètres!$A$1:$I$89,5,0)</f>
        <v>592.22541299999966</v>
      </c>
      <c r="CV77" s="14">
        <f t="shared" si="95"/>
        <v>129.81402414314778</v>
      </c>
      <c r="CW77" s="22">
        <f t="shared" si="67"/>
        <v>1257.5520196909818</v>
      </c>
      <c r="CX77" s="62">
        <f t="shared" si="68"/>
        <v>1550.885353024315</v>
      </c>
      <c r="CY77" s="62">
        <f ca="1">AVERAGE(OFFSET($CX$3,0,0,'Données projet'!$E$13+1,1))-AVERAGE(OFFSET($H$3,0,0,'Données projet'!$E$13+1,1))</f>
        <v>720.47588458554264</v>
      </c>
      <c r="CZ77" s="62">
        <f t="shared" si="96"/>
        <v>638.59686934821627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5.2370644279638086</v>
      </c>
      <c r="DG77" s="23">
        <f>EXP(-LN(2)/25)*DG76+(1-EXP(-LN(2)/25))/(LN(2)/25)*Calculateur!DB77*Calculateur!DD77*VLOOKUP('Données projet'!$B$13,Paramètres!$A$1:$I$89,3,0)*0.475*44/12</f>
        <v>3.8462385554950931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9.0833029834589016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14.899999999999997</v>
      </c>
      <c r="N78" s="14">
        <f>IF('Données projet'!$A$36&gt;35,N77+M78-V77,IF(A78&lt;'Données projet'!$A$36,$K$205^A78,IF(A78='Données projet'!$A$36,'Données projet'!$B$36,N77+M78-V77)))</f>
        <v>685.64000000000021</v>
      </c>
      <c r="O78" s="14">
        <f>N78*VLOOKUP('Données projet'!$B$9,Paramètres!$A$1:$I$89,3,0)*VLOOKUP('Données projet'!$B$9,Paramètres!$A$1:$I$89,5,0)</f>
        <v>320.87952000000007</v>
      </c>
      <c r="P78" s="14">
        <f t="shared" si="87"/>
        <v>75.536325660084501</v>
      </c>
      <c r="Q78" s="22">
        <f t="shared" si="54"/>
        <v>690.42426452464724</v>
      </c>
      <c r="R78" s="62">
        <f t="shared" si="55"/>
        <v>983.7575978579805</v>
      </c>
      <c r="S78" s="62">
        <f ca="1">AVERAGE(OFFSET($R$3,0,0,'Données projet'!$E$9+1,1))-AVERAGE(OFFSET($H$3,0,0,'Données projet'!$E$9+1,1))</f>
        <v>309.95417097673084</v>
      </c>
      <c r="T78" s="62">
        <f t="shared" si="88"/>
        <v>170.83243426024433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4.7411744430976155</v>
      </c>
      <c r="AA78" s="23">
        <f>EXP(-LN(2)/25)*AA77+(1-EXP(-LN(2)/25))/(LN(2)/25)*Calculateur!V78*Calculateur!X78*VLOOKUP('Données projet'!$B$9,Paramètres!$A$1:$I$89,3,0)*0.475*44/12</f>
        <v>26.494825659262805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31.236000102360421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4.45</v>
      </c>
      <c r="AI78" s="14">
        <f>IF('Données projet'!$A$62&gt;35,AI77+AH78-AQ77,IF(A78&lt;'Données projet'!$A$62,$AF$205^A78,IF(A78='Données projet'!$A$62,'Données projet'!$B$62,AI77+AH78-AQ77)))</f>
        <v>239.86999999999952</v>
      </c>
      <c r="AJ78" s="14">
        <f>AI78*VLOOKUP('Données projet'!$B$10,Paramètres!$A$1:$I$89,3,0)*VLOOKUP('Données projet'!$B$10,Paramètres!$A$1:$I$89,5,0)</f>
        <v>243.22817999999953</v>
      </c>
      <c r="AK78" s="14">
        <f t="shared" si="89"/>
        <v>59.133548113446274</v>
      </c>
      <c r="AL78" s="22">
        <f t="shared" si="58"/>
        <v>526.613343130918</v>
      </c>
      <c r="AM78" s="62">
        <f t="shared" si="59"/>
        <v>819.94667646425137</v>
      </c>
      <c r="AN78" s="62">
        <f ca="1">AVERAGE(OFFSET($AM$3,0,0,'Données projet'!$E$10+1,1))-AVERAGE(OFFSET($H$3,0,0,'Données projet'!$E$10+1,1))</f>
        <v>408.65944152905672</v>
      </c>
      <c r="AO78" s="62">
        <f t="shared" si="90"/>
        <v>248.55239719988651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3.6001919910760134</v>
      </c>
      <c r="AV78" s="23">
        <f>EXP(-LN(2)/25)*AV77+(1-EXP(-LN(2)/25))/(LN(2)/25)*Calculateur!AQ78*Calculateur!AS78*VLOOKUP('Données projet'!$B$10,Paramètres!$A$1:$I$89,3,0)*0.475*44/12</f>
        <v>1.9056464852436252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5.5058384763196386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10.400833333333338</v>
      </c>
      <c r="BD78" s="13">
        <f>IF('Données projet'!$A$88&gt;35,BD77+BC78-BL77,IF(A78&lt;'Données projet'!$A$88,$BA$205^A78,IF(A78='Données projet'!$A$88,'Données projet'!$B$88,BD77+BC78-BL77)))</f>
        <v>560.59166666666636</v>
      </c>
      <c r="BE78" s="14">
        <f>BD78*VLOOKUP('Données projet'!$B$11,Paramètres!$A$1:$I$89,3,0)*VLOOKUP('Données projet'!$B$11,Paramètres!$A$1:$I$89,5,0)</f>
        <v>542.20425999999975</v>
      </c>
      <c r="BF78" s="14">
        <f t="shared" si="91"/>
        <v>120.07661203579238</v>
      </c>
      <c r="BG78" s="22">
        <f t="shared" si="61"/>
        <v>1153.4725187956712</v>
      </c>
      <c r="BH78" s="62">
        <f t="shared" si="62"/>
        <v>1446.8058521290045</v>
      </c>
      <c r="BI78" s="62">
        <f ca="1">AVERAGE(OFFSET($BH$3,0,0,'Données projet'!$E$11+1,1))-AVERAGE(OFFSET($H$3,0,0,'Données projet'!$E$11+1,1))</f>
        <v>643.38601112255424</v>
      </c>
      <c r="BJ78" s="62">
        <f t="shared" si="92"/>
        <v>572.76381622085694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4.6134907957560927</v>
      </c>
      <c r="BQ78" s="23">
        <f>EXP(-LN(2)/25)*BQ77+(1-EXP(-LN(2)/25))/(LN(2)/25)*Calculateur!BL78*Calculateur!BN78*VLOOKUP('Données projet'!$B$11,Paramètres!$A$1:$I$89,3,0)*0.475*44/12</f>
        <v>3.361534833560456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7.9750256293165487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505.23000000000025</v>
      </c>
      <c r="BZ78" s="14">
        <f>BY78*VLOOKUP('Données projet'!$B$12,Paramètres!$A$1:$I$89,3,0)*VLOOKUP('Données projet'!$B$12,Paramètres!$A$1:$I$89,5,0)</f>
        <v>338.90828400000015</v>
      </c>
      <c r="CA78" s="14">
        <f t="shared" si="93"/>
        <v>79.274348782791407</v>
      </c>
      <c r="CB78" s="22">
        <f t="shared" si="64"/>
        <v>728.33475209669507</v>
      </c>
      <c r="CC78" s="62">
        <f t="shared" si="65"/>
        <v>1021.6680854300284</v>
      </c>
      <c r="CD78" s="62">
        <f ca="1">AVERAGE(OFFSET($CC$3,0,0,'Données projet'!$E$12+1,1))-AVERAGE(OFFSET($H$3,0,0,'Données projet'!$E$12+1,1))</f>
        <v>323.41415875740768</v>
      </c>
      <c r="CE78" s="62">
        <f t="shared" si="94"/>
        <v>496.54020068152101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10.400833333333338</v>
      </c>
      <c r="CT78" s="13">
        <f>IF('Données projet'!$A$140&gt;35,CT77+CS78-DB77,IF(A78&lt;'Données projet'!$A$140,$CQ$205^A78,IF(A78='Données projet'!$A$140,'Données projet'!$B$140,CT77+CS78-DB77)))</f>
        <v>560.59166666666636</v>
      </c>
      <c r="CU78" s="18">
        <f>CT78*VLOOKUP('Données projet'!$B$13,Paramètres!$A$1:$I$89,3,0)*VLOOKUP('Données projet'!$B$13,Paramètres!$A$1:$I$89,5,0)</f>
        <v>603.4208699999997</v>
      </c>
      <c r="CV78" s="14">
        <f t="shared" si="95"/>
        <v>131.98001868607508</v>
      </c>
      <c r="CW78" s="22">
        <f t="shared" si="67"/>
        <v>1280.8232144615802</v>
      </c>
      <c r="CX78" s="62">
        <f t="shared" si="68"/>
        <v>1574.1565477949134</v>
      </c>
      <c r="CY78" s="62">
        <f ca="1">AVERAGE(OFFSET($CX$3,0,0,'Données projet'!$E$13+1,1))-AVERAGE(OFFSET($H$3,0,0,'Données projet'!$E$13+1,1))</f>
        <v>720.47588458554264</v>
      </c>
      <c r="CZ78" s="62">
        <f t="shared" si="96"/>
        <v>638.59686934821627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5.1343687888253289</v>
      </c>
      <c r="DG78" s="23">
        <f>EXP(-LN(2)/25)*DG77+(1-EXP(-LN(2)/25))/(LN(2)/25)*Calculateur!DB78*Calculateur!DD78*VLOOKUP('Données projet'!$B$13,Paramètres!$A$1:$I$89,3,0)*0.475*44/12</f>
        <v>3.741062959930185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8.8754317487555134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14.899999999999997</v>
      </c>
      <c r="N79" s="14">
        <f>IF('Données projet'!$A$36&gt;35,N78+M79-V78,IF(A79&lt;'Données projet'!$A$36,$K$205^A79,IF(A79='Données projet'!$A$36,'Données projet'!$B$36,N78+M79-V78)))</f>
        <v>700.54000000000019</v>
      </c>
      <c r="O79" s="14">
        <f>N79*VLOOKUP('Données projet'!$B$9,Paramètres!$A$1:$I$89,3,0)*VLOOKUP('Données projet'!$B$9,Paramètres!$A$1:$I$89,5,0)</f>
        <v>327.85272000000009</v>
      </c>
      <c r="P79" s="14">
        <f t="shared" si="87"/>
        <v>76.98495224094242</v>
      </c>
      <c r="Q79" s="22">
        <f t="shared" si="54"/>
        <v>705.09227915297481</v>
      </c>
      <c r="R79" s="62">
        <f t="shared" si="55"/>
        <v>998.42561248630818</v>
      </c>
      <c r="S79" s="62">
        <f ca="1">AVERAGE(OFFSET($R$3,0,0,'Données projet'!$E$9+1,1))-AVERAGE(OFFSET($H$3,0,0,'Données projet'!$E$9+1,1))</f>
        <v>309.95417097673084</v>
      </c>
      <c r="T79" s="62">
        <f t="shared" si="88"/>
        <v>170.83243426024433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4.6482029040993371</v>
      </c>
      <c r="AA79" s="23">
        <f>EXP(-LN(2)/25)*AA78+(1-EXP(-LN(2)/25))/(LN(2)/25)*Calculateur!V79*Calculateur!X79*VLOOKUP('Données projet'!$B$9,Paramètres!$A$1:$I$89,3,0)*0.475*44/12</f>
        <v>25.770323258307936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30.418526162407275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4.45</v>
      </c>
      <c r="AI79" s="14">
        <f>IF('Données projet'!$A$62&gt;35,AI78+AH79-AQ78,IF(A79&lt;'Données projet'!$A$62,$AF$205^A79,IF(A79='Données projet'!$A$62,'Données projet'!$B$62,AI78+AH79-AQ78)))</f>
        <v>244.31999999999951</v>
      </c>
      <c r="AJ79" s="14">
        <f>AI79*VLOOKUP('Données projet'!$B$10,Paramètres!$A$1:$I$89,3,0)*VLOOKUP('Données projet'!$B$10,Paramètres!$A$1:$I$89,5,0)</f>
        <v>247.74047999999951</v>
      </c>
      <c r="AK79" s="14">
        <f t="shared" si="89"/>
        <v>60.101843282605358</v>
      </c>
      <c r="AL79" s="22">
        <f t="shared" si="58"/>
        <v>536.15871305053679</v>
      </c>
      <c r="AM79" s="62">
        <f t="shared" si="59"/>
        <v>829.49204638387005</v>
      </c>
      <c r="AN79" s="62">
        <f ca="1">AVERAGE(OFFSET($AM$3,0,0,'Données projet'!$E$10+1,1))-AVERAGE(OFFSET($H$3,0,0,'Données projet'!$E$10+1,1))</f>
        <v>408.65944152905672</v>
      </c>
      <c r="AO79" s="62">
        <f t="shared" si="90"/>
        <v>248.55239719988651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3.5295944220313</v>
      </c>
      <c r="AV79" s="23">
        <f>EXP(-LN(2)/25)*AV78+(1-EXP(-LN(2)/25))/(LN(2)/25)*Calculateur!AQ79*Calculateur!AS79*VLOOKUP('Données projet'!$B$10,Paramètres!$A$1:$I$89,3,0)*0.475*44/12</f>
        <v>1.8535364818910451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5.3831309039223454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10.400833333333338</v>
      </c>
      <c r="BD79" s="13">
        <f>IF('Données projet'!$A$88&gt;35,BD78+BC79-BL78,IF(A79&lt;'Données projet'!$A$88,$BA$205^A79,IF(A79='Données projet'!$A$88,'Données projet'!$B$88,BD78+BC79-BL78)))</f>
        <v>570.99249999999972</v>
      </c>
      <c r="BE79" s="14">
        <f>BD79*VLOOKUP('Données projet'!$B$11,Paramètres!$A$1:$I$89,3,0)*VLOOKUP('Données projet'!$B$11,Paramètres!$A$1:$I$89,5,0)</f>
        <v>552.26394599999981</v>
      </c>
      <c r="BF79" s="14">
        <f t="shared" si="91"/>
        <v>122.04300194343467</v>
      </c>
      <c r="BG79" s="22">
        <f t="shared" si="61"/>
        <v>1174.4179343348151</v>
      </c>
      <c r="BH79" s="62">
        <f t="shared" si="62"/>
        <v>1467.7512676681483</v>
      </c>
      <c r="BI79" s="62">
        <f ca="1">AVERAGE(OFFSET($BH$3,0,0,'Données projet'!$E$11+1,1))-AVERAGE(OFFSET($H$3,0,0,'Données projet'!$E$11+1,1))</f>
        <v>643.38601112255424</v>
      </c>
      <c r="BJ79" s="62">
        <f t="shared" si="92"/>
        <v>572.76381622085694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4.5230230552028461</v>
      </c>
      <c r="BQ79" s="23">
        <f>EXP(-LN(2)/25)*BQ78+(1-EXP(-LN(2)/25))/(LN(2)/25)*Calculateur!BL79*Calculateur!BN79*VLOOKUP('Données projet'!$B$11,Paramètres!$A$1:$I$89,3,0)*0.475*44/12</f>
        <v>3.2696134867613114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7.792636541964157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505.23000000000025</v>
      </c>
      <c r="BZ79" s="14">
        <f>BY79*VLOOKUP('Données projet'!$B$12,Paramètres!$A$1:$I$89,3,0)*VLOOKUP('Données projet'!$B$12,Paramètres!$A$1:$I$89,5,0)</f>
        <v>338.90828400000015</v>
      </c>
      <c r="CA79" s="14">
        <f t="shared" si="93"/>
        <v>79.274348782791407</v>
      </c>
      <c r="CB79" s="22">
        <f t="shared" si="64"/>
        <v>728.33475209669507</v>
      </c>
      <c r="CC79" s="62">
        <f t="shared" si="65"/>
        <v>1021.6680854300284</v>
      </c>
      <c r="CD79" s="62">
        <f ca="1">AVERAGE(OFFSET($CC$3,0,0,'Données projet'!$E$12+1,1))-AVERAGE(OFFSET($H$3,0,0,'Données projet'!$E$12+1,1))</f>
        <v>323.41415875740768</v>
      </c>
      <c r="CE79" s="62">
        <f t="shared" si="94"/>
        <v>496.54020068152101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10.400833333333338</v>
      </c>
      <c r="CT79" s="13">
        <f>IF('Données projet'!$A$140&gt;35,CT78+CS79-DB78,IF(A79&lt;'Données projet'!$A$140,$CQ$205^A79,IF(A79='Données projet'!$A$140,'Données projet'!$B$140,CT78+CS79-DB78)))</f>
        <v>570.99249999999972</v>
      </c>
      <c r="CU79" s="18">
        <f>CT79*VLOOKUP('Données projet'!$B$13,Paramètres!$A$1:$I$89,3,0)*VLOOKUP('Données projet'!$B$13,Paramètres!$A$1:$I$89,5,0)</f>
        <v>614.61632699999961</v>
      </c>
      <c r="CV79" s="14">
        <f t="shared" si="95"/>
        <v>134.14134029862518</v>
      </c>
      <c r="CW79" s="22">
        <f t="shared" si="67"/>
        <v>1304.0862705451048</v>
      </c>
      <c r="CX79" s="62">
        <f t="shared" si="68"/>
        <v>1597.419603878438</v>
      </c>
      <c r="CY79" s="62">
        <f ca="1">AVERAGE(OFFSET($CX$3,0,0,'Données projet'!$E$13+1,1))-AVERAGE(OFFSET($H$3,0,0,'Données projet'!$E$13+1,1))</f>
        <v>720.47588458554264</v>
      </c>
      <c r="CZ79" s="62">
        <f t="shared" si="96"/>
        <v>638.59686934821627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5.0336869485321998</v>
      </c>
      <c r="DG79" s="23">
        <f>EXP(-LN(2)/25)*DG78+(1-EXP(-LN(2)/25))/(LN(2)/25)*Calculateur!DB79*Calculateur!DD79*VLOOKUP('Données projet'!$B$13,Paramètres!$A$1:$I$89,3,0)*0.475*44/12</f>
        <v>3.6387633965569433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8.6724503450891426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14.899999999999997</v>
      </c>
      <c r="N80" s="14">
        <f>IF('Données projet'!$A$36&gt;35,N79+M80-V79,IF(A80&lt;'Données projet'!$A$36,$K$205^A80,IF(A80='Données projet'!$A$36,'Données projet'!$B$36,N79+M80-V79)))</f>
        <v>715.44000000000017</v>
      </c>
      <c r="O80" s="14">
        <f>N80*VLOOKUP('Données projet'!$B$9,Paramètres!$A$1:$I$89,3,0)*VLOOKUP('Données projet'!$B$9,Paramètres!$A$1:$I$89,5,0)</f>
        <v>334.82592000000011</v>
      </c>
      <c r="P80" s="14">
        <f t="shared" si="87"/>
        <v>78.429996538880459</v>
      </c>
      <c r="Q80" s="22">
        <f t="shared" si="54"/>
        <v>719.75405463855031</v>
      </c>
      <c r="R80" s="62">
        <f t="shared" si="55"/>
        <v>1013.0873879718836</v>
      </c>
      <c r="S80" s="62">
        <f ca="1">AVERAGE(OFFSET($R$3,0,0,'Données projet'!$E$9+1,1))-AVERAGE(OFFSET($H$3,0,0,'Données projet'!$E$9+1,1))</f>
        <v>309.95417097673084</v>
      </c>
      <c r="T80" s="62">
        <f t="shared" si="88"/>
        <v>170.83243426024433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4.5570544802737754</v>
      </c>
      <c r="AA80" s="23">
        <f>EXP(-LN(2)/25)*AA79+(1-EXP(-LN(2)/25))/(LN(2)/25)*Calculateur!V80*Calculateur!X80*VLOOKUP('Données projet'!$B$9,Paramètres!$A$1:$I$89,3,0)*0.475*44/12</f>
        <v>25.065632413607105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29.622686893880882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4.45</v>
      </c>
      <c r="AI80" s="14">
        <f>IF('Données projet'!$A$62&gt;35,AI79+AH80-AQ79,IF(A80&lt;'Données projet'!$A$62,$AF$205^A80,IF(A80='Données projet'!$A$62,'Données projet'!$B$62,AI79+AH80-AQ79)))</f>
        <v>248.7699999999995</v>
      </c>
      <c r="AJ80" s="14">
        <f>AI80*VLOOKUP('Données projet'!$B$10,Paramètres!$A$1:$I$89,3,0)*VLOOKUP('Données projet'!$B$10,Paramètres!$A$1:$I$89,5,0)</f>
        <v>252.25277999999952</v>
      </c>
      <c r="AK80" s="14">
        <f t="shared" si="89"/>
        <v>61.068087635125003</v>
      </c>
      <c r="AL80" s="22">
        <f t="shared" si="58"/>
        <v>545.70051113117518</v>
      </c>
      <c r="AM80" s="62">
        <f t="shared" si="59"/>
        <v>839.03384446450855</v>
      </c>
      <c r="AN80" s="62">
        <f ca="1">AVERAGE(OFFSET($AM$3,0,0,'Données projet'!$E$10+1,1))-AVERAGE(OFFSET($H$3,0,0,'Données projet'!$E$10+1,1))</f>
        <v>408.65944152905672</v>
      </c>
      <c r="AO80" s="62">
        <f t="shared" si="90"/>
        <v>248.55239719988651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3.4603812282552884</v>
      </c>
      <c r="AV80" s="23">
        <f>EXP(-LN(2)/25)*AV79+(1-EXP(-LN(2)/25))/(LN(2)/25)*Calculateur!AQ80*Calculateur!AS80*VLOOKUP('Données projet'!$B$10,Paramètres!$A$1:$I$89,3,0)*0.475*44/12</f>
        <v>1.8028514293204871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5.2632326575757755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10.400833333333338</v>
      </c>
      <c r="BD80" s="13">
        <f>IF('Données projet'!$A$88&gt;35,BD79+BC80-BL79,IF(A80&lt;'Données projet'!$A$88,$BA$205^A80,IF(A80='Données projet'!$A$88,'Données projet'!$B$88,BD79+BC80-BL79)))</f>
        <v>581.39333333333309</v>
      </c>
      <c r="BE80" s="14">
        <f>BD80*VLOOKUP('Données projet'!$B$11,Paramètres!$A$1:$I$89,3,0)*VLOOKUP('Données projet'!$B$11,Paramètres!$A$1:$I$89,5,0)</f>
        <v>562.32363199999975</v>
      </c>
      <c r="BF80" s="14">
        <f t="shared" si="91"/>
        <v>124.00522675128366</v>
      </c>
      <c r="BG80" s="22">
        <f t="shared" si="61"/>
        <v>1195.3560956584854</v>
      </c>
      <c r="BH80" s="62">
        <f t="shared" si="62"/>
        <v>1488.6894289918187</v>
      </c>
      <c r="BI80" s="62">
        <f ca="1">AVERAGE(OFFSET($BH$3,0,0,'Données projet'!$E$11+1,1))-AVERAGE(OFFSET($H$3,0,0,'Données projet'!$E$11+1,1))</f>
        <v>643.38601112255424</v>
      </c>
      <c r="BJ80" s="62">
        <f t="shared" si="92"/>
        <v>572.76381622085694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4.4343293318619761</v>
      </c>
      <c r="BQ80" s="23">
        <f>EXP(-LN(2)/25)*BQ79+(1-EXP(-LN(2)/25))/(LN(2)/25)*Calculateur!BL80*Calculateur!BN80*VLOOKUP('Données projet'!$B$11,Paramètres!$A$1:$I$89,3,0)*0.475*44/12</f>
        <v>3.180205734024323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7.6145350658862991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505.23000000000025</v>
      </c>
      <c r="BZ80" s="14">
        <f>BY80*VLOOKUP('Données projet'!$B$12,Paramètres!$A$1:$I$89,3,0)*VLOOKUP('Données projet'!$B$12,Paramètres!$A$1:$I$89,5,0)</f>
        <v>338.90828400000015</v>
      </c>
      <c r="CA80" s="14">
        <f t="shared" si="93"/>
        <v>79.274348782791407</v>
      </c>
      <c r="CB80" s="22">
        <f t="shared" si="64"/>
        <v>728.33475209669507</v>
      </c>
      <c r="CC80" s="62">
        <f t="shared" si="65"/>
        <v>1021.6680854300284</v>
      </c>
      <c r="CD80" s="62">
        <f ca="1">AVERAGE(OFFSET($CC$3,0,0,'Données projet'!$E$12+1,1))-AVERAGE(OFFSET($H$3,0,0,'Données projet'!$E$12+1,1))</f>
        <v>323.41415875740768</v>
      </c>
      <c r="CE80" s="62">
        <f t="shared" si="94"/>
        <v>496.54020068152101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10.400833333333338</v>
      </c>
      <c r="CT80" s="13">
        <f>IF('Données projet'!$A$140&gt;35,CT79+CS80-DB79,IF(A80&lt;'Données projet'!$A$140,$CQ$205^A80,IF(A80='Données projet'!$A$140,'Données projet'!$B$140,CT79+CS80-DB79)))</f>
        <v>581.39333333333309</v>
      </c>
      <c r="CU80" s="18">
        <f>CT80*VLOOKUP('Données projet'!$B$13,Paramètres!$A$1:$I$89,3,0)*VLOOKUP('Données projet'!$B$13,Paramètres!$A$1:$I$89,5,0)</f>
        <v>625.81178399999965</v>
      </c>
      <c r="CV80" s="14">
        <f t="shared" si="95"/>
        <v>136.29808391768242</v>
      </c>
      <c r="CW80" s="22">
        <f t="shared" si="67"/>
        <v>1327.3413532899631</v>
      </c>
      <c r="CX80" s="62">
        <f t="shared" si="68"/>
        <v>1620.6746866232963</v>
      </c>
      <c r="CY80" s="62">
        <f ca="1">AVERAGE(OFFSET($CX$3,0,0,'Données projet'!$E$13+1,1))-AVERAGE(OFFSET($H$3,0,0,'Données projet'!$E$13+1,1))</f>
        <v>720.47588458554264</v>
      </c>
      <c r="CZ80" s="62">
        <f t="shared" si="96"/>
        <v>638.59686934821627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4.9349794177173605</v>
      </c>
      <c r="DG80" s="23">
        <f>EXP(-LN(2)/25)*DG79+(1-EXP(-LN(2)/25))/(LN(2)/25)*Calculateur!DB80*Calculateur!DD80*VLOOKUP('Données projet'!$B$13,Paramètres!$A$1:$I$89,3,0)*0.475*44/12</f>
        <v>3.5392612201238429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8.4742406378412038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14.899999999999997</v>
      </c>
      <c r="N81" s="14">
        <f>IF('Données projet'!$A$36&gt;35,N80+M81-V80,IF(A81&lt;'Données projet'!$A$36,$K$205^A81,IF(A81='Données projet'!$A$36,'Données projet'!$B$36,N80+M81-V80)))</f>
        <v>730.34000000000015</v>
      </c>
      <c r="O81" s="14">
        <f>N81*VLOOKUP('Données projet'!$B$9,Paramètres!$A$1:$I$89,3,0)*VLOOKUP('Données projet'!$B$9,Paramètres!$A$1:$I$89,5,0)</f>
        <v>341.79912000000007</v>
      </c>
      <c r="P81" s="14">
        <f t="shared" si="87"/>
        <v>79.871541755149181</v>
      </c>
      <c r="Q81" s="22">
        <f t="shared" si="54"/>
        <v>734.40973589021826</v>
      </c>
      <c r="R81" s="62">
        <f t="shared" si="55"/>
        <v>1027.7430692235516</v>
      </c>
      <c r="S81" s="62">
        <f ca="1">AVERAGE(OFFSET($R$3,0,0,'Données projet'!$E$9+1,1))-AVERAGE(OFFSET($H$3,0,0,'Données projet'!$E$9+1,1))</f>
        <v>309.95417097673084</v>
      </c>
      <c r="T81" s="62">
        <f t="shared" si="88"/>
        <v>170.83243426024433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4.467693421444384</v>
      </c>
      <c r="AA81" s="23">
        <f>EXP(-LN(2)/25)*AA80+(1-EXP(-LN(2)/25))/(LN(2)/25)*Calculateur!V81*Calculateur!X81*VLOOKUP('Données projet'!$B$9,Paramètres!$A$1:$I$89,3,0)*0.475*44/12</f>
        <v>24.380211377112698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28.847904798557082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4.45</v>
      </c>
      <c r="AI81" s="14">
        <f>IF('Données projet'!$A$62&gt;35,AI80+AH81-AQ80,IF(A81&lt;'Données projet'!$A$62,$AF$205^A81,IF(A81='Données projet'!$A$62,'Données projet'!$B$62,AI80+AH81-AQ80)))</f>
        <v>253.21999999999949</v>
      </c>
      <c r="AJ81" s="14">
        <f>AI81*VLOOKUP('Données projet'!$B$10,Paramètres!$A$1:$I$89,3,0)*VLOOKUP('Données projet'!$B$10,Paramètres!$A$1:$I$89,5,0)</f>
        <v>256.7650799999995</v>
      </c>
      <c r="AK81" s="14">
        <f t="shared" si="89"/>
        <v>62.03232208796031</v>
      </c>
      <c r="AL81" s="22">
        <f t="shared" si="58"/>
        <v>555.23880863653005</v>
      </c>
      <c r="AM81" s="62">
        <f t="shared" si="59"/>
        <v>848.57214196986342</v>
      </c>
      <c r="AN81" s="62">
        <f ca="1">AVERAGE(OFFSET($AM$3,0,0,'Données projet'!$E$10+1,1))-AVERAGE(OFFSET($H$3,0,0,'Données projet'!$E$10+1,1))</f>
        <v>408.65944152905672</v>
      </c>
      <c r="AO81" s="62">
        <f t="shared" si="90"/>
        <v>248.55239719988651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3.3925252629933444</v>
      </c>
      <c r="AV81" s="23">
        <f>EXP(-LN(2)/25)*AV80+(1-EXP(-LN(2)/25))/(LN(2)/25)*Calculateur!AQ81*Calculateur!AS81*VLOOKUP('Données projet'!$B$10,Paramètres!$A$1:$I$89,3,0)*0.475*44/12</f>
        <v>1.7535523621778821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5.1460776251712268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10.400833333333338</v>
      </c>
      <c r="BD81" s="13">
        <f>IF('Données projet'!$A$88&gt;35,BD80+BC81-BL80,IF(A81&lt;'Données projet'!$A$88,$BA$205^A81,IF(A81='Données projet'!$A$88,'Données projet'!$B$88,BD80+BC81-BL80)))</f>
        <v>591.79416666666646</v>
      </c>
      <c r="BE81" s="14">
        <f>BD81*VLOOKUP('Données projet'!$B$11,Paramètres!$A$1:$I$89,3,0)*VLOOKUP('Données projet'!$B$11,Paramètres!$A$1:$I$89,5,0)</f>
        <v>572.3833179999998</v>
      </c>
      <c r="BF81" s="14">
        <f t="shared" si="91"/>
        <v>125.96336956640403</v>
      </c>
      <c r="BG81" s="22">
        <f t="shared" si="61"/>
        <v>1216.2871475114866</v>
      </c>
      <c r="BH81" s="62">
        <f t="shared" si="62"/>
        <v>1509.6204808448199</v>
      </c>
      <c r="BI81" s="62">
        <f ca="1">AVERAGE(OFFSET($BH$3,0,0,'Données projet'!$E$11+1,1))-AVERAGE(OFFSET($H$3,0,0,'Données projet'!$E$11+1,1))</f>
        <v>643.38601112255424</v>
      </c>
      <c r="BJ81" s="62">
        <f t="shared" si="92"/>
        <v>572.76381622085694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4.3473748383379904</v>
      </c>
      <c r="BQ81" s="23">
        <f>EXP(-LN(2)/25)*BQ80+(1-EXP(-LN(2)/25))/(LN(2)/25)*Calculateur!BL81*Calculateur!BN81*VLOOKUP('Données projet'!$B$11,Paramètres!$A$1:$I$89,3,0)*0.475*44/12</f>
        <v>3.0932428409876769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7.4406176793256673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505.23000000000025</v>
      </c>
      <c r="BZ81" s="14">
        <f>BY81*VLOOKUP('Données projet'!$B$12,Paramètres!$A$1:$I$89,3,0)*VLOOKUP('Données projet'!$B$12,Paramètres!$A$1:$I$89,5,0)</f>
        <v>338.90828400000015</v>
      </c>
      <c r="CA81" s="14">
        <f t="shared" si="93"/>
        <v>79.274348782791407</v>
      </c>
      <c r="CB81" s="22">
        <f t="shared" si="64"/>
        <v>728.33475209669507</v>
      </c>
      <c r="CC81" s="62">
        <f t="shared" si="65"/>
        <v>1021.6680854300284</v>
      </c>
      <c r="CD81" s="62">
        <f ca="1">AVERAGE(OFFSET($CC$3,0,0,'Données projet'!$E$12+1,1))-AVERAGE(OFFSET($H$3,0,0,'Données projet'!$E$12+1,1))</f>
        <v>323.41415875740768</v>
      </c>
      <c r="CE81" s="62">
        <f t="shared" si="94"/>
        <v>496.54020068152101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10.400833333333338</v>
      </c>
      <c r="CT81" s="13">
        <f>IF('Données projet'!$A$140&gt;35,CT80+CS81-DB80,IF(A81&lt;'Données projet'!$A$140,$CQ$205^A81,IF(A81='Données projet'!$A$140,'Données projet'!$B$140,CT80+CS81-DB80)))</f>
        <v>591.79416666666646</v>
      </c>
      <c r="CU81" s="18">
        <f>CT81*VLOOKUP('Données projet'!$B$13,Paramètres!$A$1:$I$89,3,0)*VLOOKUP('Données projet'!$B$13,Paramètres!$A$1:$I$89,5,0)</f>
        <v>637.00724099999968</v>
      </c>
      <c r="CV81" s="14">
        <f t="shared" si="95"/>
        <v>138.45034088886129</v>
      </c>
      <c r="CW81" s="22">
        <f t="shared" si="67"/>
        <v>1350.5886217897662</v>
      </c>
      <c r="CX81" s="62">
        <f t="shared" si="68"/>
        <v>1643.9219551230995</v>
      </c>
      <c r="CY81" s="62">
        <f ca="1">AVERAGE(OFFSET($CX$3,0,0,'Données projet'!$E$13+1,1))-AVERAGE(OFFSET($H$3,0,0,'Données projet'!$E$13+1,1))</f>
        <v>720.47588458554264</v>
      </c>
      <c r="CZ81" s="62">
        <f t="shared" si="96"/>
        <v>638.59686934821627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4.8382074813761511</v>
      </c>
      <c r="DG81" s="23">
        <f>EXP(-LN(2)/25)*DG80+(1-EXP(-LN(2)/25))/(LN(2)/25)*Calculateur!DB81*Calculateur!DD81*VLOOKUP('Données projet'!$B$13,Paramètres!$A$1:$I$89,3,0)*0.475*44/12</f>
        <v>3.4424799359378979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8.2806874173140486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14.899999999999997</v>
      </c>
      <c r="N82" s="14">
        <f>IF('Données projet'!$A$36&gt;35,N81+M82-V81,IF(A82&lt;'Données projet'!$A$36,$K$205^A82,IF(A82='Données projet'!$A$36,'Données projet'!$B$36,N81+M82-V81)))</f>
        <v>745.24000000000012</v>
      </c>
      <c r="O82" s="14">
        <f>N82*VLOOKUP('Données projet'!$B$9,Paramètres!$A$1:$I$89,3,0)*VLOOKUP('Données projet'!$B$9,Paramètres!$A$1:$I$89,5,0)</f>
        <v>348.77232000000004</v>
      </c>
      <c r="P82" s="14">
        <f t="shared" si="87"/>
        <v>81.309667502080302</v>
      </c>
      <c r="Q82" s="22">
        <f t="shared" si="54"/>
        <v>749.0594615661231</v>
      </c>
      <c r="R82" s="62">
        <f t="shared" si="55"/>
        <v>1042.3927948994565</v>
      </c>
      <c r="S82" s="62">
        <f ca="1">AVERAGE(OFFSET($R$3,0,0,'Données projet'!$E$9+1,1))-AVERAGE(OFFSET($H$3,0,0,'Données projet'!$E$9+1,1))</f>
        <v>309.95417097673084</v>
      </c>
      <c r="T82" s="62">
        <f t="shared" si="88"/>
        <v>170.83243426024433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4.3800846784737733</v>
      </c>
      <c r="AA82" s="23">
        <f>EXP(-LN(2)/25)*AA81+(1-EXP(-LN(2)/25))/(LN(2)/25)*Calculateur!V82*Calculateur!X82*VLOOKUP('Données projet'!$B$9,Paramètres!$A$1:$I$89,3,0)*0.475*44/12</f>
        <v>23.713533214905958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28.093617893379729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4.45</v>
      </c>
      <c r="AI82" s="14">
        <f>IF('Données projet'!$A$62&gt;35,AI81+AH82-AQ81,IF(A82&lt;'Données projet'!$A$62,$AF$205^A82,IF(A82='Données projet'!$A$62,'Données projet'!$B$62,AI81+AH82-AQ81)))</f>
        <v>257.6699999999995</v>
      </c>
      <c r="AJ82" s="14">
        <f>AI82*VLOOKUP('Données projet'!$B$10,Paramètres!$A$1:$I$89,3,0)*VLOOKUP('Données projet'!$B$10,Paramètres!$A$1:$I$89,5,0)</f>
        <v>261.27737999999954</v>
      </c>
      <c r="AK82" s="14">
        <f t="shared" si="89"/>
        <v>62.994586037568503</v>
      </c>
      <c r="AL82" s="22">
        <f t="shared" si="58"/>
        <v>564.77367418209769</v>
      </c>
      <c r="AM82" s="62">
        <f t="shared" si="59"/>
        <v>858.10700751543095</v>
      </c>
      <c r="AN82" s="62">
        <f ca="1">AVERAGE(OFFSET($AM$3,0,0,'Données projet'!$E$10+1,1))-AVERAGE(OFFSET($H$3,0,0,'Données projet'!$E$10+1,1))</f>
        <v>408.65944152905672</v>
      </c>
      <c r="AO82" s="62">
        <f t="shared" si="90"/>
        <v>248.55239719988651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3.3259999118221355</v>
      </c>
      <c r="AV82" s="23">
        <f>EXP(-LN(2)/25)*AV81+(1-EXP(-LN(2)/25))/(LN(2)/25)*Calculateur!AQ82*Calculateur!AS82*VLOOKUP('Données projet'!$B$10,Paramètres!$A$1:$I$89,3,0)*0.475*44/12</f>
        <v>1.7056013806188171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5.0316012924409526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10.400833333333338</v>
      </c>
      <c r="BD82" s="13">
        <f>IF('Données projet'!$A$88&gt;35,BD81+BC82-BL81,IF(A82&lt;'Données projet'!$A$88,$BA$205^A82,IF(A82='Données projet'!$A$88,'Données projet'!$B$88,BD81+BC82-BL81)))</f>
        <v>602.19499999999982</v>
      </c>
      <c r="BE82" s="14">
        <f>BD82*VLOOKUP('Données projet'!$B$11,Paramètres!$A$1:$I$89,3,0)*VLOOKUP('Données projet'!$B$11,Paramètres!$A$1:$I$89,5,0)</f>
        <v>582.44300399999986</v>
      </c>
      <c r="BF82" s="14">
        <f t="shared" si="91"/>
        <v>127.91751040730101</v>
      </c>
      <c r="BG82" s="22">
        <f t="shared" si="61"/>
        <v>1237.2112292593822</v>
      </c>
      <c r="BH82" s="62">
        <f t="shared" si="62"/>
        <v>1530.5445625927155</v>
      </c>
      <c r="BI82" s="62">
        <f ca="1">AVERAGE(OFFSET($BH$3,0,0,'Données projet'!$E$11+1,1))-AVERAGE(OFFSET($H$3,0,0,'Données projet'!$E$11+1,1))</f>
        <v>643.38601112255424</v>
      </c>
      <c r="BJ82" s="62">
        <f t="shared" si="92"/>
        <v>572.76381622085694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4.2621254693950066</v>
      </c>
      <c r="BQ82" s="23">
        <f>EXP(-LN(2)/25)*BQ81+(1-EXP(-LN(2)/25))/(LN(2)/25)*Calculateur!BL82*Calculateur!BN82*VLOOKUP('Données projet'!$B$11,Paramètres!$A$1:$I$89,3,0)*0.475*44/12</f>
        <v>3.0086579528342976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7.2707834222293037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505.23000000000025</v>
      </c>
      <c r="BZ82" s="14">
        <f>BY82*VLOOKUP('Données projet'!$B$12,Paramètres!$A$1:$I$89,3,0)*VLOOKUP('Données projet'!$B$12,Paramètres!$A$1:$I$89,5,0)</f>
        <v>338.90828400000015</v>
      </c>
      <c r="CA82" s="14">
        <f t="shared" si="93"/>
        <v>79.274348782791407</v>
      </c>
      <c r="CB82" s="22">
        <f t="shared" si="64"/>
        <v>728.33475209669507</v>
      </c>
      <c r="CC82" s="62">
        <f t="shared" si="65"/>
        <v>1021.6680854300284</v>
      </c>
      <c r="CD82" s="62">
        <f ca="1">AVERAGE(OFFSET($CC$3,0,0,'Données projet'!$E$12+1,1))-AVERAGE(OFFSET($H$3,0,0,'Données projet'!$E$12+1,1))</f>
        <v>323.41415875740768</v>
      </c>
      <c r="CE82" s="62">
        <f t="shared" si="94"/>
        <v>496.54020068152101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10.400833333333338</v>
      </c>
      <c r="CT82" s="13">
        <f>IF('Données projet'!$A$140&gt;35,CT81+CS82-DB81,IF(A82&lt;'Données projet'!$A$140,$CQ$205^A82,IF(A82='Données projet'!$A$140,'Données projet'!$B$140,CT81+CS82-DB81)))</f>
        <v>602.19499999999982</v>
      </c>
      <c r="CU82" s="18">
        <f>CT82*VLOOKUP('Données projet'!$B$13,Paramètres!$A$1:$I$89,3,0)*VLOOKUP('Données projet'!$B$13,Paramètres!$A$1:$I$89,5,0)</f>
        <v>648.20269799999983</v>
      </c>
      <c r="CV82" s="14">
        <f t="shared" si="95"/>
        <v>140.5981991630432</v>
      </c>
      <c r="CW82" s="22">
        <f t="shared" si="67"/>
        <v>1373.8282292256333</v>
      </c>
      <c r="CX82" s="62">
        <f t="shared" si="68"/>
        <v>1667.1615625589666</v>
      </c>
      <c r="CY82" s="62">
        <f ca="1">AVERAGE(OFFSET($CX$3,0,0,'Données projet'!$E$13+1,1))-AVERAGE(OFFSET($H$3,0,0,'Données projet'!$E$13+1,1))</f>
        <v>720.47588458554264</v>
      </c>
      <c r="CZ82" s="62">
        <f t="shared" si="96"/>
        <v>638.59686934821627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4.74333318368154</v>
      </c>
      <c r="DG82" s="23">
        <f>EXP(-LN(2)/25)*DG81+(1-EXP(-LN(2)/25))/(LN(2)/25)*Calculateur!DB82*Calculateur!DD82*VLOOKUP('Données projet'!$B$13,Paramètres!$A$1:$I$89,3,0)*0.475*44/12</f>
        <v>3.348345141057524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8.091678324739064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14.899999999999997</v>
      </c>
      <c r="N83" s="14">
        <f>IF('Données projet'!$A$36&gt;35,N82+M83-V82,IF(A83&lt;'Données projet'!$A$36,$K$205^A83,IF(A83='Données projet'!$A$36,'Données projet'!$B$36,N82+M83-V82)))</f>
        <v>760.1400000000001</v>
      </c>
      <c r="O83" s="14">
        <f>N83*VLOOKUP('Données projet'!$B$9,Paramètres!$A$1:$I$89,3,0)*VLOOKUP('Données projet'!$B$9,Paramètres!$A$1:$I$89,5,0)</f>
        <v>355.74552000000006</v>
      </c>
      <c r="P83" s="14">
        <f t="shared" si="87"/>
        <v>82.744450026504168</v>
      </c>
      <c r="Q83" s="22">
        <f t="shared" si="54"/>
        <v>763.70336446282818</v>
      </c>
      <c r="R83" s="62">
        <f t="shared" si="55"/>
        <v>1057.0366977961614</v>
      </c>
      <c r="S83" s="62">
        <f ca="1">AVERAGE(OFFSET($R$3,0,0,'Données projet'!$E$9+1,1))-AVERAGE(OFFSET($H$3,0,0,'Données projet'!$E$9+1,1))</f>
        <v>309.95417097673084</v>
      </c>
      <c r="T83" s="62">
        <f t="shared" si="88"/>
        <v>170.83243426024433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4.2941938895167588</v>
      </c>
      <c r="AA83" s="23">
        <f>EXP(-LN(2)/25)*AA82+(1-EXP(-LN(2)/25))/(LN(2)/25)*Calculateur!V83*Calculateur!X83*VLOOKUP('Données projet'!$B$9,Paramètres!$A$1:$I$89,3,0)*0.475*44/12</f>
        <v>23.06508540210384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27.359279291620599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4.45</v>
      </c>
      <c r="AI83" s="14">
        <f>IF('Données projet'!$A$62&gt;35,AI82+AH83-AQ82,IF(A83&lt;'Données projet'!$A$62,$AF$205^A83,IF(A83='Données projet'!$A$62,'Données projet'!$B$62,AI82+AH83-AQ82)))</f>
        <v>262.11999999999949</v>
      </c>
      <c r="AJ83" s="14">
        <f>AI83*VLOOKUP('Données projet'!$B$10,Paramètres!$A$1:$I$89,3,0)*VLOOKUP('Données projet'!$B$10,Paramètres!$A$1:$I$89,5,0)</f>
        <v>265.78967999999952</v>
      </c>
      <c r="AK83" s="14">
        <f t="shared" si="89"/>
        <v>63.95491744167709</v>
      </c>
      <c r="AL83" s="22">
        <f t="shared" si="58"/>
        <v>574.30517387758675</v>
      </c>
      <c r="AM83" s="62">
        <f t="shared" si="59"/>
        <v>867.63850721092012</v>
      </c>
      <c r="AN83" s="62">
        <f ca="1">AVERAGE(OFFSET($AM$3,0,0,'Données projet'!$E$10+1,1))-AVERAGE(OFFSET($H$3,0,0,'Données projet'!$E$10+1,1))</f>
        <v>408.65944152905672</v>
      </c>
      <c r="AO83" s="62">
        <f t="shared" si="90"/>
        <v>248.55239719988651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3.2607790822109362</v>
      </c>
      <c r="AV83" s="23">
        <f>EXP(-LN(2)/25)*AV82+(1-EXP(-LN(2)/25))/(LN(2)/25)*Calculateur!AQ83*Calculateur!AS83*VLOOKUP('Données projet'!$B$10,Paramètres!$A$1:$I$89,3,0)*0.475*44/12</f>
        <v>1.6589616211721172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4.9197407033830531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10.400833333333338</v>
      </c>
      <c r="BD83" s="13">
        <f>IF('Données projet'!$A$88&gt;35,BD82+BC83-BL82,IF(A83&lt;'Données projet'!$A$88,$BA$205^A83,IF(A83='Données projet'!$A$88,'Données projet'!$B$88,BD82+BC83-BL82)))</f>
        <v>612.59583333333319</v>
      </c>
      <c r="BE83" s="14">
        <f>BD83*VLOOKUP('Données projet'!$B$11,Paramètres!$A$1:$I$89,3,0)*VLOOKUP('Données projet'!$B$11,Paramètres!$A$1:$I$89,5,0)</f>
        <v>592.5026899999998</v>
      </c>
      <c r="BF83" s="14">
        <f t="shared" si="91"/>
        <v>129.86772637002863</v>
      </c>
      <c r="BG83" s="22">
        <f t="shared" si="61"/>
        <v>1258.1284751777996</v>
      </c>
      <c r="BH83" s="62">
        <f t="shared" si="62"/>
        <v>1551.4618085111329</v>
      </c>
      <c r="BI83" s="62">
        <f ca="1">AVERAGE(OFFSET($BH$3,0,0,'Données projet'!$E$11+1,1))-AVERAGE(OFFSET($H$3,0,0,'Données projet'!$E$11+1,1))</f>
        <v>643.38601112255424</v>
      </c>
      <c r="BJ83" s="62">
        <f t="shared" si="92"/>
        <v>572.76381622085694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4.1785477885800137</v>
      </c>
      <c r="BQ83" s="23">
        <f>EXP(-LN(2)/25)*BQ82+(1-EXP(-LN(2)/25))/(LN(2)/25)*Calculateur!BL83*Calculateur!BN83*VLOOKUP('Données projet'!$B$11,Paramètres!$A$1:$I$89,3,0)*0.475*44/12</f>
        <v>2.9263860428955986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7.1049338314756127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505.23000000000025</v>
      </c>
      <c r="BZ83" s="14">
        <f>BY83*VLOOKUP('Données projet'!$B$12,Paramètres!$A$1:$I$89,3,0)*VLOOKUP('Données projet'!$B$12,Paramètres!$A$1:$I$89,5,0)</f>
        <v>338.90828400000015</v>
      </c>
      <c r="CA83" s="14">
        <f t="shared" si="93"/>
        <v>79.274348782791407</v>
      </c>
      <c r="CB83" s="22">
        <f t="shared" si="64"/>
        <v>728.33475209669507</v>
      </c>
      <c r="CC83" s="62">
        <f t="shared" si="65"/>
        <v>1021.6680854300284</v>
      </c>
      <c r="CD83" s="62">
        <f ca="1">AVERAGE(OFFSET($CC$3,0,0,'Données projet'!$E$12+1,1))-AVERAGE(OFFSET($H$3,0,0,'Données projet'!$E$12+1,1))</f>
        <v>323.41415875740768</v>
      </c>
      <c r="CE83" s="62">
        <f t="shared" si="94"/>
        <v>496.54020068152101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10.400833333333338</v>
      </c>
      <c r="CT83" s="13">
        <f>IF('Données projet'!$A$140&gt;35,CT82+CS83-DB82,IF(A83&lt;'Données projet'!$A$140,$CQ$205^A83,IF(A83='Données projet'!$A$140,'Données projet'!$B$140,CT82+CS83-DB82)))</f>
        <v>612.59583333333319</v>
      </c>
      <c r="CU83" s="18">
        <f>CT83*VLOOKUP('Données projet'!$B$13,Paramètres!$A$1:$I$89,3,0)*VLOOKUP('Données projet'!$B$13,Paramètres!$A$1:$I$89,5,0)</f>
        <v>659.39815499999986</v>
      </c>
      <c r="CV83" s="14">
        <f t="shared" si="95"/>
        <v>142.74174347895018</v>
      </c>
      <c r="CW83" s="22">
        <f t="shared" si="67"/>
        <v>1397.0603231841712</v>
      </c>
      <c r="CX83" s="62">
        <f t="shared" si="68"/>
        <v>1690.3936565175045</v>
      </c>
      <c r="CY83" s="62">
        <f ca="1">AVERAGE(OFFSET($CX$3,0,0,'Données projet'!$E$13+1,1))-AVERAGE(OFFSET($H$3,0,0,'Données projet'!$E$13+1,1))</f>
        <v>720.47588458554264</v>
      </c>
      <c r="CZ83" s="62">
        <f t="shared" si="96"/>
        <v>638.59686934821627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4.6503193130971123</v>
      </c>
      <c r="DG83" s="23">
        <f>EXP(-LN(2)/25)*DG82+(1-EXP(-LN(2)/25))/(LN(2)/25)*Calculateur!DB83*Calculateur!DD83*VLOOKUP('Données projet'!$B$13,Paramètres!$A$1:$I$89,3,0)*0.475*44/12</f>
        <v>3.256784467093488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7.9071037801906003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14.899999999999997</v>
      </c>
      <c r="N84" s="14">
        <f>IF('Données projet'!$A$36&gt;35,N83+M84-V83,IF(A84&lt;'Données projet'!$A$36,$K$205^A84,IF(A84='Données projet'!$A$36,'Données projet'!$B$36,N83+M84-V83)))</f>
        <v>775.04000000000008</v>
      </c>
      <c r="O84" s="14">
        <f>N84*VLOOKUP('Données projet'!$B$9,Paramètres!$A$1:$I$89,3,0)*VLOOKUP('Données projet'!$B$9,Paramètres!$A$1:$I$89,5,0)</f>
        <v>362.71872000000002</v>
      </c>
      <c r="P84" s="14">
        <f t="shared" si="87"/>
        <v>84.175962415155553</v>
      </c>
      <c r="Q84" s="22">
        <f t="shared" si="54"/>
        <v>778.34157187306255</v>
      </c>
      <c r="R84" s="62">
        <f t="shared" si="55"/>
        <v>1071.6749052063958</v>
      </c>
      <c r="S84" s="62">
        <f ca="1">AVERAGE(OFFSET($R$3,0,0,'Données projet'!$E$9+1,1))-AVERAGE(OFFSET($H$3,0,0,'Données projet'!$E$9+1,1))</f>
        <v>309.95417097673084</v>
      </c>
      <c r="T84" s="62">
        <f t="shared" si="88"/>
        <v>170.83243426024433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4.2099873665429834</v>
      </c>
      <c r="AA84" s="23">
        <f>EXP(-LN(2)/25)*AA83+(1-EXP(-LN(2)/25))/(LN(2)/25)*Calculateur!V84*Calculateur!X84*VLOOKUP('Données projet'!$B$9,Paramètres!$A$1:$I$89,3,0)*0.475*44/12</f>
        <v>22.434369428843183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26.644356795386166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4.45</v>
      </c>
      <c r="AI84" s="14">
        <f>IF('Données projet'!$A$62&gt;35,AI83+AH84-AQ83,IF(A84&lt;'Données projet'!$A$62,$AF$205^A84,IF(A84='Données projet'!$A$62,'Données projet'!$B$62,AI83+AH84-AQ83)))</f>
        <v>266.56999999999948</v>
      </c>
      <c r="AJ84" s="14">
        <f>AI84*VLOOKUP('Données projet'!$B$10,Paramètres!$A$1:$I$89,3,0)*VLOOKUP('Données projet'!$B$10,Paramètres!$A$1:$I$89,5,0)</f>
        <v>270.3019799999995</v>
      </c>
      <c r="AK84" s="14">
        <f t="shared" si="89"/>
        <v>64.913352895342044</v>
      </c>
      <c r="AL84" s="22">
        <f t="shared" si="58"/>
        <v>583.83337145938651</v>
      </c>
      <c r="AM84" s="62">
        <f t="shared" si="59"/>
        <v>877.16670479271988</v>
      </c>
      <c r="AN84" s="62">
        <f ca="1">AVERAGE(OFFSET($AM$3,0,0,'Données projet'!$E$10+1,1))-AVERAGE(OFFSET($H$3,0,0,'Données projet'!$E$10+1,1))</f>
        <v>408.65944152905672</v>
      </c>
      <c r="AO84" s="62">
        <f t="shared" si="90"/>
        <v>248.55239719988651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3.1968371932876343</v>
      </c>
      <c r="AV84" s="23">
        <f>EXP(-LN(2)/25)*AV83+(1-EXP(-LN(2)/25))/(LN(2)/25)*Calculateur!AQ84*Calculateur!AS84*VLOOKUP('Données projet'!$B$10,Paramètres!$A$1:$I$89,3,0)*0.475*44/12</f>
        <v>1.6135972284001656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4.8104344216878001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10.400833333333338</v>
      </c>
      <c r="BD84" s="13">
        <f>IF('Données projet'!$A$88&gt;35,BD83+BC84-BL83,IF(A84&lt;'Données projet'!$A$88,$BA$205^A84,IF(A84='Données projet'!$A$88,'Données projet'!$B$88,BD83+BC84-BL83)))</f>
        <v>622.99666666666656</v>
      </c>
      <c r="BE84" s="14">
        <f>BD84*VLOOKUP('Données projet'!$B$11,Paramètres!$A$1:$I$89,3,0)*VLOOKUP('Données projet'!$B$11,Paramètres!$A$1:$I$89,5,0)</f>
        <v>602.56237599999986</v>
      </c>
      <c r="BF84" s="14">
        <f t="shared" si="91"/>
        <v>131.81409178269703</v>
      </c>
      <c r="BG84" s="22">
        <f t="shared" si="61"/>
        <v>1279.0390147215303</v>
      </c>
      <c r="BH84" s="62">
        <f t="shared" si="62"/>
        <v>1572.3723480548636</v>
      </c>
      <c r="BI84" s="62">
        <f ca="1">AVERAGE(OFFSET($BH$3,0,0,'Données projet'!$E$11+1,1))-AVERAGE(OFFSET($H$3,0,0,'Données projet'!$E$11+1,1))</f>
        <v>643.38601112255424</v>
      </c>
      <c r="BJ84" s="62">
        <f t="shared" si="92"/>
        <v>572.76381622085694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4.0966090151084513</v>
      </c>
      <c r="BQ84" s="23">
        <f>EXP(-LN(2)/25)*BQ83+(1-EXP(-LN(2)/25))/(LN(2)/25)*Calculateur!BL84*Calculateur!BN84*VLOOKUP('Données projet'!$B$11,Paramètres!$A$1:$I$89,3,0)*0.475*44/12</f>
        <v>2.8463638626606649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6.9429728777691162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505.23000000000025</v>
      </c>
      <c r="BZ84" s="14">
        <f>BY84*VLOOKUP('Données projet'!$B$12,Paramètres!$A$1:$I$89,3,0)*VLOOKUP('Données projet'!$B$12,Paramètres!$A$1:$I$89,5,0)</f>
        <v>338.90828400000015</v>
      </c>
      <c r="CA84" s="14">
        <f t="shared" si="93"/>
        <v>79.274348782791407</v>
      </c>
      <c r="CB84" s="22">
        <f t="shared" si="64"/>
        <v>728.33475209669507</v>
      </c>
      <c r="CC84" s="62">
        <f t="shared" si="65"/>
        <v>1021.6680854300284</v>
      </c>
      <c r="CD84" s="62">
        <f ca="1">AVERAGE(OFFSET($CC$3,0,0,'Données projet'!$E$12+1,1))-AVERAGE(OFFSET($H$3,0,0,'Données projet'!$E$12+1,1))</f>
        <v>323.41415875740768</v>
      </c>
      <c r="CE84" s="62">
        <f t="shared" si="94"/>
        <v>496.54020068152101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10.400833333333338</v>
      </c>
      <c r="CT84" s="13">
        <f>IF('Données projet'!$A$140&gt;35,CT83+CS84-DB83,IF(A84&lt;'Données projet'!$A$140,$CQ$205^A84,IF(A84='Données projet'!$A$140,'Données projet'!$B$140,CT83+CS84-DB83)))</f>
        <v>622.99666666666656</v>
      </c>
      <c r="CU84" s="18">
        <f>CT84*VLOOKUP('Données projet'!$B$13,Paramètres!$A$1:$I$89,3,0)*VLOOKUP('Données projet'!$B$13,Paramètres!$A$1:$I$89,5,0)</f>
        <v>670.59361199999989</v>
      </c>
      <c r="CV84" s="14">
        <f t="shared" si="95"/>
        <v>144.88105553296882</v>
      </c>
      <c r="CW84" s="22">
        <f t="shared" si="67"/>
        <v>1420.2850459532538</v>
      </c>
      <c r="CX84" s="62">
        <f t="shared" si="68"/>
        <v>1713.618379286587</v>
      </c>
      <c r="CY84" s="62">
        <f ca="1">AVERAGE(OFFSET($CX$3,0,0,'Données projet'!$E$13+1,1))-AVERAGE(OFFSET($H$3,0,0,'Données projet'!$E$13+1,1))</f>
        <v>720.47588458554264</v>
      </c>
      <c r="CZ84" s="62">
        <f t="shared" si="96"/>
        <v>638.59686934821627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4.5591293877819865</v>
      </c>
      <c r="DG84" s="23">
        <f>EXP(-LN(2)/25)*DG83+(1-EXP(-LN(2)/25))/(LN(2)/25)*Calculateur!DB84*Calculateur!DD84*VLOOKUP('Données projet'!$B$13,Paramètres!$A$1:$I$89,3,0)*0.475*44/12</f>
        <v>3.1677275245739649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7.7268569123559514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14.899999999999997</v>
      </c>
      <c r="N85" s="14">
        <f>IF('Données projet'!$A$36&gt;35,N84+M85-V84,IF(A85&lt;'Données projet'!$A$36,$K$205^A85,IF(A85='Données projet'!$A$36,'Données projet'!$B$36,N84+M85-V84)))</f>
        <v>789.94</v>
      </c>
      <c r="O85" s="14">
        <f>N85*VLOOKUP('Données projet'!$B$9,Paramètres!$A$1:$I$89,3,0)*VLOOKUP('Données projet'!$B$9,Paramètres!$A$1:$I$89,5,0)</f>
        <v>369.69192000000004</v>
      </c>
      <c r="P85" s="14">
        <f t="shared" si="87"/>
        <v>85.604274783836132</v>
      </c>
      <c r="Q85" s="22">
        <f t="shared" si="54"/>
        <v>792.9742059151813</v>
      </c>
      <c r="R85" s="62">
        <f t="shared" si="55"/>
        <v>1086.3075392485146</v>
      </c>
      <c r="S85" s="62">
        <f ca="1">AVERAGE(OFFSET($R$3,0,0,'Données projet'!$E$9+1,1))-AVERAGE(OFFSET($H$3,0,0,'Données projet'!$E$9+1,1))</f>
        <v>309.95417097673084</v>
      </c>
      <c r="T85" s="62">
        <f t="shared" si="88"/>
        <v>170.83243426024433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4.127432082123816</v>
      </c>
      <c r="AA85" s="23">
        <f>EXP(-LN(2)/25)*AA84+(1-EXP(-LN(2)/25))/(LN(2)/25)*Calculateur!V85*Calculateur!X85*VLOOKUP('Données projet'!$B$9,Paramètres!$A$1:$I$89,3,0)*0.475*44/12</f>
        <v>21.820900417039251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25.948332499163065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4.45</v>
      </c>
      <c r="AI85" s="14">
        <f>IF('Données projet'!$A$62&gt;35,AI84+AH85-AQ84,IF(A85&lt;'Données projet'!$A$62,$AF$205^A85,IF(A85='Données projet'!$A$62,'Données projet'!$B$62,AI84+AH85-AQ84)))</f>
        <v>271.01999999999947</v>
      </c>
      <c r="AJ85" s="14">
        <f>AI85*VLOOKUP('Données projet'!$B$10,Paramètres!$A$1:$I$89,3,0)*VLOOKUP('Données projet'!$B$10,Paramètres!$A$1:$I$89,5,0)</f>
        <v>274.81427999999948</v>
      </c>
      <c r="AK85" s="14">
        <f t="shared" si="89"/>
        <v>65.869927701783624</v>
      </c>
      <c r="AL85" s="22">
        <f t="shared" si="58"/>
        <v>593.35832841393892</v>
      </c>
      <c r="AM85" s="62">
        <f t="shared" si="59"/>
        <v>886.69166174727229</v>
      </c>
      <c r="AN85" s="62">
        <f ca="1">AVERAGE(OFFSET($AM$3,0,0,'Données projet'!$E$10+1,1))-AVERAGE(OFFSET($H$3,0,0,'Données projet'!$E$10+1,1))</f>
        <v>408.65944152905672</v>
      </c>
      <c r="AO85" s="62">
        <f t="shared" si="90"/>
        <v>248.55239719988651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3.1341491658054172</v>
      </c>
      <c r="AV85" s="23">
        <f>EXP(-LN(2)/25)*AV84+(1-EXP(-LN(2)/25))/(LN(2)/25)*Calculateur!AQ85*Calculateur!AS85*VLOOKUP('Données projet'!$B$10,Paramètres!$A$1:$I$89,3,0)*0.475*44/12</f>
        <v>1.5694733273341728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4.7036224931395898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10.400833333333338</v>
      </c>
      <c r="BD85" s="13">
        <f>IF('Données projet'!$A$88&gt;35,BD84+BC85-BL84,IF(A85&lt;'Données projet'!$A$88,$BA$205^A85,IF(A85='Données projet'!$A$88,'Données projet'!$B$88,BD84+BC85-BL84)))</f>
        <v>633.39749999999992</v>
      </c>
      <c r="BE85" s="14">
        <f>BD85*VLOOKUP('Données projet'!$B$11,Paramètres!$A$1:$I$89,3,0)*VLOOKUP('Données projet'!$B$11,Paramètres!$A$1:$I$89,5,0)</f>
        <v>612.62206199999991</v>
      </c>
      <c r="BF85" s="14">
        <f t="shared" si="91"/>
        <v>133.7566783493684</v>
      </c>
      <c r="BG85" s="22">
        <f t="shared" si="61"/>
        <v>1299.9429727751497</v>
      </c>
      <c r="BH85" s="62">
        <f t="shared" si="62"/>
        <v>1593.2763061084829</v>
      </c>
      <c r="BI85" s="62">
        <f ca="1">AVERAGE(OFFSET($BH$3,0,0,'Données projet'!$E$11+1,1))-AVERAGE(OFFSET($H$3,0,0,'Données projet'!$E$11+1,1))</f>
        <v>643.38601112255424</v>
      </c>
      <c r="BJ85" s="62">
        <f t="shared" si="92"/>
        <v>572.76381622085694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4.0162770110069488</v>
      </c>
      <c r="BQ85" s="23">
        <f>EXP(-LN(2)/25)*BQ84+(1-EXP(-LN(2)/25))/(LN(2)/25)*Calculateur!BL85*Calculateur!BN85*VLOOKUP('Données projet'!$B$11,Paramètres!$A$1:$I$89,3,0)*0.475*44/12</f>
        <v>2.7685298931524387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6.784806904159387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505.23000000000025</v>
      </c>
      <c r="BZ85" s="14">
        <f>BY85*VLOOKUP('Données projet'!$B$12,Paramètres!$A$1:$I$89,3,0)*VLOOKUP('Données projet'!$B$12,Paramètres!$A$1:$I$89,5,0)</f>
        <v>338.90828400000015</v>
      </c>
      <c r="CA85" s="14">
        <f t="shared" si="93"/>
        <v>79.274348782791407</v>
      </c>
      <c r="CB85" s="22">
        <f t="shared" si="64"/>
        <v>728.33475209669507</v>
      </c>
      <c r="CC85" s="62">
        <f t="shared" si="65"/>
        <v>1021.6680854300284</v>
      </c>
      <c r="CD85" s="62">
        <f ca="1">AVERAGE(OFFSET($CC$3,0,0,'Données projet'!$E$12+1,1))-AVERAGE(OFFSET($H$3,0,0,'Données projet'!$E$12+1,1))</f>
        <v>323.41415875740768</v>
      </c>
      <c r="CE85" s="62">
        <f t="shared" si="94"/>
        <v>496.54020068152101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10.400833333333338</v>
      </c>
      <c r="CT85" s="13">
        <f>IF('Données projet'!$A$140&gt;35,CT84+CS85-DB84,IF(A85&lt;'Données projet'!$A$140,$CQ$205^A85,IF(A85='Données projet'!$A$140,'Données projet'!$B$140,CT84+CS85-DB84)))</f>
        <v>633.39749999999992</v>
      </c>
      <c r="CU85" s="18">
        <f>CT85*VLOOKUP('Données projet'!$B$13,Paramètres!$A$1:$I$89,3,0)*VLOOKUP('Données projet'!$B$13,Paramètres!$A$1:$I$89,5,0)</f>
        <v>681.78906899999993</v>
      </c>
      <c r="CV85" s="14">
        <f t="shared" si="95"/>
        <v>147.01621413731203</v>
      </c>
      <c r="CW85" s="22">
        <f t="shared" si="67"/>
        <v>1443.5025347974852</v>
      </c>
      <c r="CX85" s="62">
        <f t="shared" si="68"/>
        <v>1736.8358681308184</v>
      </c>
      <c r="CY85" s="62">
        <f ca="1">AVERAGE(OFFSET($CX$3,0,0,'Données projet'!$E$13+1,1))-AVERAGE(OFFSET($H$3,0,0,'Données projet'!$E$13+1,1))</f>
        <v>720.47588458554264</v>
      </c>
      <c r="CZ85" s="62">
        <f t="shared" si="96"/>
        <v>638.59686934821627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4.4697276412819278</v>
      </c>
      <c r="DG85" s="23">
        <f>EXP(-LN(2)/25)*DG84+(1-EXP(-LN(2)/25))/(LN(2)/25)*Calculateur!DB85*Calculateur!DD85*VLOOKUP('Données projet'!$B$13,Paramètres!$A$1:$I$89,3,0)*0.475*44/12</f>
        <v>3.0811058488309393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7.5508334901128666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14.899999999999997</v>
      </c>
      <c r="N86" s="14">
        <f>IF('Données projet'!$A$36&gt;35,N85+M86-V85,IF(A86&lt;'Données projet'!$A$36,$K$205^A86,IF(A86='Données projet'!$A$36,'Données projet'!$B$36,N85+M86-V85)))</f>
        <v>804.84</v>
      </c>
      <c r="O86" s="14">
        <f>N86*VLOOKUP('Données projet'!$B$9,Paramètres!$A$1:$I$89,3,0)*VLOOKUP('Données projet'!$B$9,Paramètres!$A$1:$I$89,5,0)</f>
        <v>376.66512</v>
      </c>
      <c r="P86" s="14">
        <f t="shared" si="87"/>
        <v>87.029454451902737</v>
      </c>
      <c r="Q86" s="22">
        <f t="shared" si="54"/>
        <v>807.60138383706396</v>
      </c>
      <c r="R86" s="62">
        <f t="shared" si="55"/>
        <v>1100.9347171703973</v>
      </c>
      <c r="S86" s="62">
        <f ca="1">AVERAGE(OFFSET($R$3,0,0,'Données projet'!$E$9+1,1))-AVERAGE(OFFSET($H$3,0,0,'Données projet'!$E$9+1,1))</f>
        <v>309.95417097673084</v>
      </c>
      <c r="T86" s="62">
        <f t="shared" si="88"/>
        <v>170.83243426024433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4.0464956564783572</v>
      </c>
      <c r="AA86" s="23">
        <f>EXP(-LN(2)/25)*AA85+(1-EXP(-LN(2)/25))/(LN(2)/25)*Calculateur!V86*Calculateur!X86*VLOOKUP('Données projet'!$B$9,Paramètres!$A$1:$I$89,3,0)*0.475*44/12</f>
        <v>21.224206747624031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25.270702404102387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4.45</v>
      </c>
      <c r="AI86" s="14">
        <f>IF('Données projet'!$A$62&gt;35,AI85+AH86-AQ85,IF(A86&lt;'Données projet'!$A$62,$AF$205^A86,IF(A86='Données projet'!$A$62,'Données projet'!$B$62,AI85+AH86-AQ85)))</f>
        <v>275.46999999999946</v>
      </c>
      <c r="AJ86" s="14">
        <f>AI86*VLOOKUP('Données projet'!$B$10,Paramètres!$A$1:$I$89,3,0)*VLOOKUP('Données projet'!$B$10,Paramètres!$A$1:$I$89,5,0)</f>
        <v>279.32657999999947</v>
      </c>
      <c r="AK86" s="14">
        <f t="shared" si="89"/>
        <v>66.824675938437395</v>
      </c>
      <c r="AL86" s="22">
        <f t="shared" si="58"/>
        <v>602.88010409277751</v>
      </c>
      <c r="AM86" s="62">
        <f t="shared" si="59"/>
        <v>896.21343742611089</v>
      </c>
      <c r="AN86" s="62">
        <f ca="1">AVERAGE(OFFSET($AM$3,0,0,'Données projet'!$E$10+1,1))-AVERAGE(OFFSET($H$3,0,0,'Données projet'!$E$10+1,1))</f>
        <v>408.65944152905672</v>
      </c>
      <c r="AO86" s="62">
        <f t="shared" si="90"/>
        <v>248.55239719988651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3.0726904123062053</v>
      </c>
      <c r="AV86" s="23">
        <f>EXP(-LN(2)/25)*AV85+(1-EXP(-LN(2)/25))/(LN(2)/25)*Calculateur!AQ86*Calculateur!AS86*VLOOKUP('Données projet'!$B$10,Paramètres!$A$1:$I$89,3,0)*0.475*44/12</f>
        <v>1.5265559966632045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4.5992464089694103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10.400833333333338</v>
      </c>
      <c r="BD86" s="13">
        <f>IF('Données projet'!$A$88&gt;35,BD85+BC86-BL85,IF(A86&lt;'Données projet'!$A$88,$BA$205^A86,IF(A86='Données projet'!$A$88,'Données projet'!$B$88,BD85+BC86-BL85)))</f>
        <v>643.79833333333329</v>
      </c>
      <c r="BE86" s="14">
        <f>BD86*VLOOKUP('Données projet'!$B$11,Paramètres!$A$1:$I$89,3,0)*VLOOKUP('Données projet'!$B$11,Paramètres!$A$1:$I$89,5,0)</f>
        <v>622.68174799999997</v>
      </c>
      <c r="BF86" s="14">
        <f t="shared" si="91"/>
        <v>135.69555528423555</v>
      </c>
      <c r="BG86" s="22">
        <f t="shared" si="61"/>
        <v>1320.8404698867103</v>
      </c>
      <c r="BH86" s="62">
        <f t="shared" si="62"/>
        <v>1614.1738032200435</v>
      </c>
      <c r="BI86" s="62">
        <f ca="1">AVERAGE(OFFSET($BH$3,0,0,'Données projet'!$E$11+1,1))-AVERAGE(OFFSET($H$3,0,0,'Données projet'!$E$11+1,1))</f>
        <v>643.38601112255424</v>
      </c>
      <c r="BJ86" s="62">
        <f t="shared" si="92"/>
        <v>572.76381622085694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3.9375202685081927</v>
      </c>
      <c r="BQ86" s="23">
        <f>EXP(-LN(2)/25)*BQ85+(1-EXP(-LN(2)/25))/(LN(2)/25)*Calculateur!BL86*Calculateur!BN86*VLOOKUP('Données projet'!$B$11,Paramètres!$A$1:$I$89,3,0)*0.475*44/12</f>
        <v>2.6928242976335257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6.6303445661417184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505.23000000000025</v>
      </c>
      <c r="BZ86" s="14">
        <f>BY86*VLOOKUP('Données projet'!$B$12,Paramètres!$A$1:$I$89,3,0)*VLOOKUP('Données projet'!$B$12,Paramètres!$A$1:$I$89,5,0)</f>
        <v>338.90828400000015</v>
      </c>
      <c r="CA86" s="14">
        <f t="shared" si="93"/>
        <v>79.274348782791407</v>
      </c>
      <c r="CB86" s="22">
        <f t="shared" si="64"/>
        <v>728.33475209669507</v>
      </c>
      <c r="CC86" s="62">
        <f t="shared" si="65"/>
        <v>1021.6680854300284</v>
      </c>
      <c r="CD86" s="62">
        <f ca="1">AVERAGE(OFFSET($CC$3,0,0,'Données projet'!$E$12+1,1))-AVERAGE(OFFSET($H$3,0,0,'Données projet'!$E$12+1,1))</f>
        <v>323.41415875740768</v>
      </c>
      <c r="CE86" s="62">
        <f t="shared" si="94"/>
        <v>496.54020068152101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10.400833333333338</v>
      </c>
      <c r="CT86" s="13">
        <f>IF('Données projet'!$A$140&gt;35,CT85+CS86-DB85,IF(A86&lt;'Données projet'!$A$140,$CQ$205^A86,IF(A86='Données projet'!$A$140,'Données projet'!$B$140,CT85+CS86-DB85)))</f>
        <v>643.79833333333329</v>
      </c>
      <c r="CU86" s="18">
        <f>CT86*VLOOKUP('Données projet'!$B$13,Paramètres!$A$1:$I$89,3,0)*VLOOKUP('Données projet'!$B$13,Paramètres!$A$1:$I$89,5,0)</f>
        <v>692.98452599999996</v>
      </c>
      <c r="CV86" s="14">
        <f t="shared" si="95"/>
        <v>149.14729536749772</v>
      </c>
      <c r="CW86" s="22">
        <f t="shared" si="67"/>
        <v>1466.7129222150586</v>
      </c>
      <c r="CX86" s="62">
        <f t="shared" si="68"/>
        <v>1760.0462555483919</v>
      </c>
      <c r="CY86" s="62">
        <f ca="1">AVERAGE(OFFSET($CX$3,0,0,'Données projet'!$E$13+1,1))-AVERAGE(OFFSET($H$3,0,0,'Données projet'!$E$13+1,1))</f>
        <v>720.47588458554264</v>
      </c>
      <c r="CZ86" s="62">
        <f t="shared" si="96"/>
        <v>638.59686934821627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4.3820790085010541</v>
      </c>
      <c r="DG86" s="23">
        <f>EXP(-LN(2)/25)*DG85+(1-EXP(-LN(2)/25))/(LN(2)/25)*Calculateur!DB86*Calculateur!DD86*VLOOKUP('Données projet'!$B$13,Paramètres!$A$1:$I$89,3,0)*0.475*44/12</f>
        <v>2.9968528473663425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7.3789318558673962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14.899999999999997</v>
      </c>
      <c r="N87" s="14">
        <f>IF('Données projet'!$A$36&gt;35,N86+M87-V86,IF(A87&lt;'Données projet'!$A$36,$K$205^A87,IF(A87='Données projet'!$A$36,'Données projet'!$B$36,N86+M87-V86)))</f>
        <v>819.74</v>
      </c>
      <c r="O87" s="14">
        <f>N87*VLOOKUP('Données projet'!$B$9,Paramètres!$A$1:$I$89,3,0)*VLOOKUP('Données projet'!$B$9,Paramètres!$A$1:$I$89,5,0)</f>
        <v>383.63832000000002</v>
      </c>
      <c r="P87" s="14">
        <f t="shared" si="87"/>
        <v>88.451566103467542</v>
      </c>
      <c r="Q87" s="22">
        <f t="shared" si="54"/>
        <v>822.22321829687269</v>
      </c>
      <c r="R87" s="62">
        <f t="shared" si="55"/>
        <v>1115.5565516302061</v>
      </c>
      <c r="S87" s="62">
        <f ca="1">AVERAGE(OFFSET($R$3,0,0,'Données projet'!$E$9+1,1))-AVERAGE(OFFSET($H$3,0,0,'Données projet'!$E$9+1,1))</f>
        <v>309.95417097673084</v>
      </c>
      <c r="T87" s="62">
        <f t="shared" si="88"/>
        <v>170.83243426024433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3.9671463447734605</v>
      </c>
      <c r="AA87" s="23">
        <f>EXP(-LN(2)/25)*AA86+(1-EXP(-LN(2)/25))/(LN(2)/25)*Calculateur!V87*Calculateur!X87*VLOOKUP('Données projet'!$B$9,Paramètres!$A$1:$I$89,3,0)*0.475*44/12</f>
        <v>20.643829697977729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24.61097604275119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4.45</v>
      </c>
      <c r="AI87" s="14">
        <f>IF('Données projet'!$A$62&gt;35,AI86+AH87-AQ86,IF(A87&lt;'Données projet'!$A$62,$AF$205^A87,IF(A87='Données projet'!$A$62,'Données projet'!$B$62,AI86+AH87-AQ86)))</f>
        <v>279.91999999999945</v>
      </c>
      <c r="AJ87" s="14">
        <f>AI87*VLOOKUP('Données projet'!$B$10,Paramètres!$A$1:$I$89,3,0)*VLOOKUP('Données projet'!$B$10,Paramètres!$A$1:$I$89,5,0)</f>
        <v>283.83887999999945</v>
      </c>
      <c r="AK87" s="14">
        <f t="shared" si="89"/>
        <v>67.777630518616974</v>
      </c>
      <c r="AL87" s="22">
        <f t="shared" si="58"/>
        <v>612.39875581992362</v>
      </c>
      <c r="AM87" s="62">
        <f t="shared" si="59"/>
        <v>905.73208915325699</v>
      </c>
      <c r="AN87" s="62">
        <f ca="1">AVERAGE(OFFSET($AM$3,0,0,'Données projet'!$E$10+1,1))-AVERAGE(OFFSET($H$3,0,0,'Données projet'!$E$10+1,1))</f>
        <v>408.65944152905672</v>
      </c>
      <c r="AO87" s="62">
        <f t="shared" si="90"/>
        <v>248.55239719988651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3.0124368274769746</v>
      </c>
      <c r="AV87" s="23">
        <f>EXP(-LN(2)/25)*AV86+(1-EXP(-LN(2)/25))/(LN(2)/25)*Calculateur!AQ87*Calculateur!AS87*VLOOKUP('Données projet'!$B$10,Paramètres!$A$1:$I$89,3,0)*0.475*44/12</f>
        <v>1.4848122426563584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4.497249070133333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10.400833333333338</v>
      </c>
      <c r="BD87" s="13">
        <f>IF('Données projet'!$A$88&gt;35,BD86+BC87-BL86,IF(A87&lt;'Données projet'!$A$88,$BA$205^A87,IF(A87='Données projet'!$A$88,'Données projet'!$B$88,BD86+BC87-BL86)))</f>
        <v>654.19916666666666</v>
      </c>
      <c r="BE87" s="14">
        <f>BD87*VLOOKUP('Données projet'!$B$11,Paramètres!$A$1:$I$89,3,0)*VLOOKUP('Données projet'!$B$11,Paramètres!$A$1:$I$89,5,0)</f>
        <v>632.74143400000003</v>
      </c>
      <c r="BF87" s="14">
        <f t="shared" si="91"/>
        <v>137.6307894368818</v>
      </c>
      <c r="BG87" s="22">
        <f t="shared" si="61"/>
        <v>1341.7316224859023</v>
      </c>
      <c r="BH87" s="62">
        <f t="shared" si="62"/>
        <v>1635.0649558192356</v>
      </c>
      <c r="BI87" s="62">
        <f ca="1">AVERAGE(OFFSET($BH$3,0,0,'Données projet'!$E$11+1,1))-AVERAGE(OFFSET($H$3,0,0,'Données projet'!$E$11+1,1))</f>
        <v>643.38601112255424</v>
      </c>
      <c r="BJ87" s="62">
        <f t="shared" si="92"/>
        <v>572.76381622085694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3.8603078976929677</v>
      </c>
      <c r="BQ87" s="23">
        <f>EXP(-LN(2)/25)*BQ86+(1-EXP(-LN(2)/25))/(LN(2)/25)*Calculateur!BL87*Calculateur!BN87*VLOOKUP('Données projet'!$B$11,Paramètres!$A$1:$I$89,3,0)*0.475*44/12</f>
        <v>2.6191888756052615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6.4794967732982292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505.23000000000025</v>
      </c>
      <c r="BZ87" s="14">
        <f>BY87*VLOOKUP('Données projet'!$B$12,Paramètres!$A$1:$I$89,3,0)*VLOOKUP('Données projet'!$B$12,Paramètres!$A$1:$I$89,5,0)</f>
        <v>338.90828400000015</v>
      </c>
      <c r="CA87" s="14">
        <f t="shared" si="93"/>
        <v>79.274348782791407</v>
      </c>
      <c r="CB87" s="22">
        <f t="shared" si="64"/>
        <v>728.33475209669507</v>
      </c>
      <c r="CC87" s="62">
        <f t="shared" si="65"/>
        <v>1021.6680854300284</v>
      </c>
      <c r="CD87" s="62">
        <f ca="1">AVERAGE(OFFSET($CC$3,0,0,'Données projet'!$E$12+1,1))-AVERAGE(OFFSET($H$3,0,0,'Données projet'!$E$12+1,1))</f>
        <v>323.41415875740768</v>
      </c>
      <c r="CE87" s="62">
        <f t="shared" si="94"/>
        <v>496.54020068152101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10.400833333333338</v>
      </c>
      <c r="CT87" s="13">
        <f>IF('Données projet'!$A$140&gt;35,CT86+CS87-DB86,IF(A87&lt;'Données projet'!$A$140,$CQ$205^A87,IF(A87='Données projet'!$A$140,'Données projet'!$B$140,CT86+CS87-DB86)))</f>
        <v>654.19916666666666</v>
      </c>
      <c r="CU87" s="18">
        <f>CT87*VLOOKUP('Données projet'!$B$13,Paramètres!$A$1:$I$89,3,0)*VLOOKUP('Données projet'!$B$13,Paramètres!$A$1:$I$89,5,0)</f>
        <v>704.17998299999988</v>
      </c>
      <c r="CV87" s="14">
        <f t="shared" si="95"/>
        <v>151.27437270002648</v>
      </c>
      <c r="CW87" s="22">
        <f t="shared" si="67"/>
        <v>1489.9163361775456</v>
      </c>
      <c r="CX87" s="62">
        <f t="shared" si="68"/>
        <v>1783.2496695108789</v>
      </c>
      <c r="CY87" s="62">
        <f ca="1">AVERAGE(OFFSET($CX$3,0,0,'Données projet'!$E$13+1,1))-AVERAGE(OFFSET($H$3,0,0,'Données projet'!$E$13+1,1))</f>
        <v>720.47588458554264</v>
      </c>
      <c r="CZ87" s="62">
        <f t="shared" si="96"/>
        <v>638.59686934821627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4.2961491119486261</v>
      </c>
      <c r="DG87" s="23">
        <f>EXP(-LN(2)/25)*DG86+(1-EXP(-LN(2)/25))/(LN(2)/25)*Calculateur!DB87*Calculateur!DD87*VLOOKUP('Données projet'!$B$13,Paramètres!$A$1:$I$89,3,0)*0.475*44/12</f>
        <v>2.9149037486574678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7.2110528606060935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834.64</v>
      </c>
      <c r="L88" s="13">
        <f>VLOOKUP(A88,'Données projet'!$A$35:$I$55,9,0)</f>
        <v>14.899999999999997</v>
      </c>
      <c r="M88" s="13">
        <f t="array" ref="M88">INDEX(L:L,MIN(IF(ISNUMBER(L88:L284),ROW(L88:L284),"")))</f>
        <v>14.899999999999997</v>
      </c>
      <c r="N88" s="14">
        <f>IF('Données projet'!$A$36&gt;35,N87+M88-V87,IF(A88&lt;'Données projet'!$A$36,$K$205^A88,IF(A88='Données projet'!$A$36,'Données projet'!$B$36,N87+M88-V87)))</f>
        <v>834.64</v>
      </c>
      <c r="O88" s="14">
        <f>N88*VLOOKUP('Données projet'!$B$9,Paramètres!$A$1:$I$89,3,0)*VLOOKUP('Données projet'!$B$9,Paramètres!$A$1:$I$89,5,0)</f>
        <v>390.61151999999998</v>
      </c>
      <c r="P88" s="14">
        <f t="shared" si="87"/>
        <v>89.870671936547822</v>
      </c>
      <c r="Q88" s="22">
        <f t="shared" si="54"/>
        <v>836.83981762282065</v>
      </c>
      <c r="R88" s="62">
        <f t="shared" si="55"/>
        <v>1130.1731509561539</v>
      </c>
      <c r="S88" s="62">
        <f ca="1">AVERAGE(OFFSET($R$3,0,0,'Données projet'!$E$9+1,1))-AVERAGE(OFFSET($H$3,0,0,'Données projet'!$E$9+1,1))</f>
        <v>309.95417097673084</v>
      </c>
      <c r="T88" s="62">
        <f t="shared" si="88"/>
        <v>170.83243426024433</v>
      </c>
      <c r="U88" s="16">
        <f>IF(ISNA(VLOOKUP(A88,'Données projet'!$A$35:$I$55,3,0)),0,VLOOKUP(A88,'Données projet'!$A$35:$I$55,3,0))</f>
        <v>10</v>
      </c>
      <c r="V88" s="16">
        <f>IF(ISNA(VLOOKUP(A88,'Données projet'!$A$35:$I$55,4,0)),0,VLOOKUP(A88,'Données projet'!$A$35:$I$55,4,0))</f>
        <v>83.46</v>
      </c>
      <c r="W88" s="17">
        <f>IF(ISNA(VLOOKUP(A88,'Données projet'!$A$35:$I$55,5,0)),0%,VLOOKUP(A88,'Données projet'!$A$35:$I$55,5,0)*VLOOKUP('Données projet'!$B$9,Paramètres!$A$1:$I$89,7,0))</f>
        <v>6.6000000000000003E-2</v>
      </c>
      <c r="X88" s="17">
        <f>IF(ISNA(VLOOKUP(A88,'Données projet'!$A$35:$I$55,6,0)),0%,VLOOKUP(A88,'Données projet'!$A$35:$I$55,6,0)*VLOOKUP('Données projet'!$B$9,Paramètres!$A$1:$I$89,7,0))</f>
        <v>0.30800000000000005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7.3091200898747894</v>
      </c>
      <c r="AA88" s="23">
        <f>EXP(-LN(2)/25)*AA87+(1-EXP(-LN(2)/25))/(LN(2)/25)*Calculateur!V88*Calculateur!X88*VLOOKUP('Données projet'!$B$9,Paramètres!$A$1:$I$89,3,0)*0.475*44/12</f>
        <v>35.975399739028177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43.284519828902965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284.37</v>
      </c>
      <c r="AG88" s="13">
        <f>VLOOKUP(A88,'Données projet'!$A$61:$I$81,9,0)</f>
        <v>4.45</v>
      </c>
      <c r="AH88" s="13">
        <f t="array" ref="AH88">INDEX(AG:AG,MIN(IF(ISNUMBER(AG88:AG284),ROW(AG88:AG284),"")))</f>
        <v>4.45</v>
      </c>
      <c r="AI88" s="14">
        <f>IF('Données projet'!$A$62&gt;35,AI87+AH88-AQ87,IF(A88&lt;'Données projet'!$A$62,$AF$205^A88,IF(A88='Données projet'!$A$62,'Données projet'!$B$62,AI87+AH88-AQ87)))</f>
        <v>284.36999999999944</v>
      </c>
      <c r="AJ88" s="14">
        <f>AI88*VLOOKUP('Données projet'!$B$10,Paramètres!$A$1:$I$89,3,0)*VLOOKUP('Données projet'!$B$10,Paramètres!$A$1:$I$89,5,0)</f>
        <v>288.35117999999949</v>
      </c>
      <c r="AK88" s="14">
        <f t="shared" si="89"/>
        <v>68.728823249143659</v>
      </c>
      <c r="AL88" s="22">
        <f t="shared" si="58"/>
        <v>621.91433899225763</v>
      </c>
      <c r="AM88" s="62">
        <f t="shared" si="59"/>
        <v>915.24767232559088</v>
      </c>
      <c r="AN88" s="62">
        <f ca="1">AVERAGE(OFFSET($AM$3,0,0,'Données projet'!$E$10+1,1))-AVERAGE(OFFSET($H$3,0,0,'Données projet'!$E$10+1,1))</f>
        <v>408.65944152905672</v>
      </c>
      <c r="AO88" s="62">
        <f t="shared" si="90"/>
        <v>248.55239719988651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28.44</v>
      </c>
      <c r="AR88" s="17">
        <f>IF(ISNA(VLOOKUP(A88,'Données projet'!$A$61:$I$81,5,0)),0%,VLOOKUP(A88,'Données projet'!$A$61:$I$81,5,0)*VLOOKUP('Données projet'!$B$10,Paramètres!$A$1:$I$89,7,0))</f>
        <v>6.88E-2</v>
      </c>
      <c r="AS88" s="17">
        <f>IF(ISNA(VLOOKUP(A88,'Données projet'!$A$61:$I$81,6,0)),0%,VLOOKUP(A88,'Données projet'!$A$61:$I$81,6,0)*VLOOKUP('Données projet'!$B$10,Paramètres!$A$1:$I$89,7,0))</f>
        <v>4.3000000000000003E-2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5.1466903182951445</v>
      </c>
      <c r="AV88" s="23">
        <f>EXP(-LN(2)/25)*AV87+(1-EXP(-LN(2)/25))/(LN(2)/25)*Calculateur!AQ88*Calculateur!AS88*VLOOKUP('Données projet'!$B$10,Paramètres!$A$1:$I$89,3,0)*0.475*44/12</f>
        <v>2.80964096206554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7.9563312803606845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664.6</v>
      </c>
      <c r="BB88" s="13">
        <f>VLOOKUP(A88,'Données projet'!$A$87:$I$107,9,0)</f>
        <v>10.400833333333338</v>
      </c>
      <c r="BC88" s="13">
        <f t="array" ref="BC88">INDEX(BB:BB,MIN(IF(ISNUMBER(BB88:BB284),ROW(BB88:BB284),"")))</f>
        <v>10.400833333333338</v>
      </c>
      <c r="BD88" s="13">
        <f>IF('Données projet'!$A$88&gt;35,BD87+BC88-BL87,IF(A88&lt;'Données projet'!$A$88,$BA$205^A88,IF(A88='Données projet'!$A$88,'Données projet'!$B$88,BD87+BC88-BL87)))</f>
        <v>664.6</v>
      </c>
      <c r="BE88" s="14">
        <f>BD88*VLOOKUP('Données projet'!$B$11,Paramètres!$A$1:$I$89,3,0)*VLOOKUP('Données projet'!$B$11,Paramètres!$A$1:$I$89,5,0)</f>
        <v>642.80112000000008</v>
      </c>
      <c r="BF88" s="14">
        <f t="shared" si="91"/>
        <v>139.56244540935032</v>
      </c>
      <c r="BG88" s="22">
        <f t="shared" si="61"/>
        <v>1362.6165430879519</v>
      </c>
      <c r="BH88" s="62">
        <f t="shared" si="62"/>
        <v>1655.9498764212851</v>
      </c>
      <c r="BI88" s="62">
        <f ca="1">AVERAGE(OFFSET($BH$3,0,0,'Données projet'!$E$11+1,1))-AVERAGE(OFFSET($H$3,0,0,'Données projet'!$E$11+1,1))</f>
        <v>643.38601112255424</v>
      </c>
      <c r="BJ88" s="62">
        <f t="shared" si="92"/>
        <v>572.76381622085694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66.459999999999994</v>
      </c>
      <c r="BM88" s="17">
        <f>IF(ISNA(VLOOKUP(A88,'Données projet'!$A$87:$I$107,5,0)),0%,VLOOKUP(A88,'Données projet'!$A$87:$I$107,5,0)*VLOOKUP('Données projet'!$B$11,Paramètres!$A$1:$I$89,7,0))</f>
        <v>5.16E-2</v>
      </c>
      <c r="BN88" s="17">
        <f>IF(ISNA(VLOOKUP(A88,'Données projet'!$A$87:$I$107,6,0)),0%,VLOOKUP(A88,'Données projet'!$A$87:$I$107,6,0)*VLOOKUP('Données projet'!$B$11,Paramètres!$A$1:$I$89,7,0))</f>
        <v>3.8699999999999998E-2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7.4512932205220554</v>
      </c>
      <c r="BQ88" s="23">
        <f>EXP(-LN(2)/25)*BQ87+(1-EXP(-LN(2)/25))/(LN(2)/25)*Calculateur!BL88*Calculateur!BN88*VLOOKUP('Données projet'!$B$11,Paramètres!$A$1:$I$89,3,0)*0.475*44/12</f>
        <v>5.28675187482028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12.738045095342336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505.23000000000025</v>
      </c>
      <c r="BZ88" s="14">
        <f>BY88*VLOOKUP('Données projet'!$B$12,Paramètres!$A$1:$I$89,3,0)*VLOOKUP('Données projet'!$B$12,Paramètres!$A$1:$I$89,5,0)</f>
        <v>338.90828400000015</v>
      </c>
      <c r="CA88" s="14">
        <f t="shared" si="93"/>
        <v>79.274348782791407</v>
      </c>
      <c r="CB88" s="22">
        <f t="shared" si="64"/>
        <v>728.33475209669507</v>
      </c>
      <c r="CC88" s="62">
        <f t="shared" si="65"/>
        <v>1021.6680854300284</v>
      </c>
      <c r="CD88" s="62">
        <f ca="1">AVERAGE(OFFSET($CC$3,0,0,'Données projet'!$E$12+1,1))-AVERAGE(OFFSET($H$3,0,0,'Données projet'!$E$12+1,1))</f>
        <v>323.41415875740768</v>
      </c>
      <c r="CE88" s="62">
        <f t="shared" si="94"/>
        <v>496.54020068152101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664.6</v>
      </c>
      <c r="CR88" s="13">
        <f>VLOOKUP(A88,'Données projet'!$A$139:$I$159,9,0)</f>
        <v>10.400833333333338</v>
      </c>
      <c r="CS88" s="13">
        <f t="array" ref="CS88">INDEX(CR:CR,MIN(IF(ISNUMBER(CR88:CR284),ROW(CR88:CR284),"")))</f>
        <v>10.400833333333338</v>
      </c>
      <c r="CT88" s="13">
        <f>IF('Données projet'!$A$140&gt;35,CT87+CS88-DB87,IF(A88&lt;'Données projet'!$A$140,$CQ$205^A88,IF(A88='Données projet'!$A$140,'Données projet'!$B$140,CT87+CS88-DB87)))</f>
        <v>664.6</v>
      </c>
      <c r="CU88" s="18">
        <f>CT88*VLOOKUP('Données projet'!$B$13,Paramètres!$A$1:$I$89,3,0)*VLOOKUP('Données projet'!$B$13,Paramètres!$A$1:$I$89,5,0)</f>
        <v>715.37543999999991</v>
      </c>
      <c r="CV88" s="14">
        <f t="shared" si="95"/>
        <v>153.39751714105626</v>
      </c>
      <c r="CW88" s="22">
        <f t="shared" si="67"/>
        <v>1513.1129003540061</v>
      </c>
      <c r="CX88" s="62">
        <f t="shared" si="68"/>
        <v>1806.4462336873394</v>
      </c>
      <c r="CY88" s="62">
        <f ca="1">AVERAGE(OFFSET($CX$3,0,0,'Données projet'!$E$13+1,1))-AVERAGE(OFFSET($H$3,0,0,'Données projet'!$E$13+1,1))</f>
        <v>720.47588458554264</v>
      </c>
      <c r="CZ88" s="62">
        <f t="shared" si="96"/>
        <v>638.59686934821627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66.459999999999994</v>
      </c>
      <c r="DC88" s="17">
        <f>IF(ISNA(VLOOKUP(A88,'Données projet'!$A$139:$I$159,5,0)),0%,VLOOKUP(A88,'Données projet'!$A$139:$I$159,5,0)*VLOOKUP('Données projet'!$B$13,Paramètres!$A$1:$I$89,7,0))</f>
        <v>5.16E-2</v>
      </c>
      <c r="DD88" s="17">
        <f>IF(ISNA(VLOOKUP(A88,'Données projet'!$A$139:$I$159,6,0)),0%,VLOOKUP(A88,'Données projet'!$A$139:$I$159,6,0)*VLOOKUP('Données projet'!$B$13,Paramètres!$A$1:$I$89,7,0))</f>
        <v>3.8699999999999998E-2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8.292568261548741</v>
      </c>
      <c r="DG88" s="23">
        <f>EXP(-LN(2)/25)*DG87+(1-EXP(-LN(2)/25))/(LN(2)/25)*Calculateur!DB88*Calculateur!DD88*VLOOKUP('Données projet'!$B$13,Paramètres!$A$1:$I$89,3,0)*0.475*44/12</f>
        <v>5.8836432155257947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14.176211477074535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751.18</v>
      </c>
      <c r="O89" s="14">
        <f>N89*VLOOKUP('Données projet'!$B$9,Paramètres!$A$1:$I$89,3,0)*VLOOKUP('Données projet'!$B$9,Paramètres!$A$1:$I$89,5,0)</f>
        <v>351.55223999999993</v>
      </c>
      <c r="P89" s="14">
        <f t="shared" si="87"/>
        <v>81.882051211276618</v>
      </c>
      <c r="Q89" s="22">
        <f t="shared" si="54"/>
        <v>754.89805719297328</v>
      </c>
      <c r="R89" s="62">
        <f t="shared" si="55"/>
        <v>1048.2313905263065</v>
      </c>
      <c r="S89" s="62">
        <f ca="1">AVERAGE(OFFSET($R$3,0,0,'Données projet'!$E$9+1,1))-AVERAGE(OFFSET($H$3,0,0,'Données projet'!$E$9+1,1))</f>
        <v>309.95417097673084</v>
      </c>
      <c r="T89" s="62">
        <f t="shared" si="88"/>
        <v>170.83243426024433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7.1657927030353967</v>
      </c>
      <c r="AA89" s="23">
        <f>EXP(-LN(2)/25)*AA88+(1-EXP(-LN(2)/25))/(LN(2)/25)*Calculateur!V89*Calculateur!X89*VLOOKUP('Données projet'!$B$9,Paramètres!$A$1:$I$89,3,0)*0.475*44/12</f>
        <v>34.991650541300402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42.157443244335795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4.4499999999999984</v>
      </c>
      <c r="AI89" s="14">
        <f>IF('Données projet'!$A$62&gt;35,AI88+AH89-AQ88,IF(A89&lt;'Données projet'!$A$62,$AF$205^A89,IF(A89='Données projet'!$A$62,'Données projet'!$B$62,AI88+AH89-AQ88)))</f>
        <v>260.37999999999943</v>
      </c>
      <c r="AJ89" s="14">
        <f>AI89*VLOOKUP('Données projet'!$B$10,Paramètres!$A$1:$I$89,3,0)*VLOOKUP('Données projet'!$B$10,Paramètres!$A$1:$I$89,5,0)</f>
        <v>264.02531999999945</v>
      </c>
      <c r="AK89" s="14">
        <f t="shared" si="89"/>
        <v>63.579644796475783</v>
      </c>
      <c r="AL89" s="22">
        <f t="shared" si="58"/>
        <v>570.57864702052768</v>
      </c>
      <c r="AM89" s="62">
        <f t="shared" si="59"/>
        <v>863.91198035386105</v>
      </c>
      <c r="AN89" s="62">
        <f ca="1">AVERAGE(OFFSET($AM$3,0,0,'Données projet'!$E$10+1,1))-AVERAGE(OFFSET($H$3,0,0,'Données projet'!$E$10+1,1))</f>
        <v>408.65944152905672</v>
      </c>
      <c r="AO89" s="62">
        <f t="shared" si="90"/>
        <v>248.55239719988651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5.0457668603245036</v>
      </c>
      <c r="AV89" s="23">
        <f>EXP(-LN(2)/25)*AV88+(1-EXP(-LN(2)/25))/(LN(2)/25)*Calculateur!AQ89*Calculateur!AS89*VLOOKUP('Données projet'!$B$10,Paramètres!$A$1:$I$89,3,0)*0.475*44/12</f>
        <v>2.732811182205261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7.7785780425297641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598.14</v>
      </c>
      <c r="BE89" s="14">
        <f>BD89*VLOOKUP('Données projet'!$B$11,Paramètres!$A$1:$I$89,3,0)*VLOOKUP('Données projet'!$B$11,Paramètres!$A$1:$I$89,5,0)</f>
        <v>578.52100799999994</v>
      </c>
      <c r="BF89" s="14">
        <f t="shared" si="91"/>
        <v>127.15611541885089</v>
      </c>
      <c r="BG89" s="22">
        <f t="shared" si="61"/>
        <v>1229.0543232878317</v>
      </c>
      <c r="BH89" s="62">
        <f t="shared" si="62"/>
        <v>1522.387656621165</v>
      </c>
      <c r="BI89" s="62">
        <f ca="1">AVERAGE(OFFSET($BH$3,0,0,'Données projet'!$E$11+1,1))-AVERAGE(OFFSET($H$3,0,0,'Données projet'!$E$11+1,1))</f>
        <v>643.38601112255424</v>
      </c>
      <c r="BJ89" s="62">
        <f t="shared" si="92"/>
        <v>572.76381622085694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7.3051779053077164</v>
      </c>
      <c r="BQ89" s="23">
        <f>EXP(-LN(2)/25)*BQ88+(1-EXP(-LN(2)/25))/(LN(2)/25)*Calculateur!BL89*Calculateur!BN89*VLOOKUP('Données projet'!$B$11,Paramètres!$A$1:$I$89,3,0)*0.475*44/12</f>
        <v>5.1421853667851209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12.447363272092836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505.23000000000025</v>
      </c>
      <c r="BZ89" s="14">
        <f>BY89*VLOOKUP('Données projet'!$B$12,Paramètres!$A$1:$I$89,3,0)*VLOOKUP('Données projet'!$B$12,Paramètres!$A$1:$I$89,5,0)</f>
        <v>338.90828400000015</v>
      </c>
      <c r="CA89" s="14">
        <f t="shared" si="93"/>
        <v>79.274348782791407</v>
      </c>
      <c r="CB89" s="22">
        <f t="shared" si="64"/>
        <v>728.33475209669507</v>
      </c>
      <c r="CC89" s="62">
        <f t="shared" si="65"/>
        <v>1021.6680854300284</v>
      </c>
      <c r="CD89" s="62">
        <f ca="1">AVERAGE(OFFSET($CC$3,0,0,'Données projet'!$E$12+1,1))-AVERAGE(OFFSET($H$3,0,0,'Données projet'!$E$12+1,1))</f>
        <v>323.41415875740768</v>
      </c>
      <c r="CE89" s="62">
        <f t="shared" si="94"/>
        <v>496.54020068152101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598.14</v>
      </c>
      <c r="CU89" s="18">
        <f>CT89*VLOOKUP('Données projet'!$B$13,Paramètres!$A$1:$I$89,3,0)*VLOOKUP('Données projet'!$B$13,Paramètres!$A$1:$I$89,5,0)</f>
        <v>643.837896</v>
      </c>
      <c r="CV89" s="14">
        <f t="shared" si="95"/>
        <v>139.76132574448636</v>
      </c>
      <c r="CW89" s="22">
        <f t="shared" si="67"/>
        <v>1364.7686445383138</v>
      </c>
      <c r="CX89" s="62">
        <f t="shared" si="68"/>
        <v>1658.101977871647</v>
      </c>
      <c r="CY89" s="62">
        <f ca="1">AVERAGE(OFFSET($CX$3,0,0,'Données projet'!$E$13+1,1))-AVERAGE(OFFSET($H$3,0,0,'Données projet'!$E$13+1,1))</f>
        <v>720.47588458554264</v>
      </c>
      <c r="CZ89" s="62">
        <f t="shared" si="96"/>
        <v>638.59686934821627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8.1299560559069768</v>
      </c>
      <c r="DG89" s="23">
        <f>EXP(-LN(2)/25)*DG88+(1-EXP(-LN(2)/25))/(LN(2)/25)*Calculateur!DB89*Calculateur!DD89*VLOOKUP('Données projet'!$B$13,Paramètres!$A$1:$I$89,3,0)*0.475*44/12</f>
        <v>5.7227546823898923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13.852710738296869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751.18</v>
      </c>
      <c r="O90" s="14">
        <f>N90*VLOOKUP('Données projet'!$B$9,Paramètres!$A$1:$I$89,3,0)*VLOOKUP('Données projet'!$B$9,Paramètres!$A$1:$I$89,5,0)</f>
        <v>351.55223999999993</v>
      </c>
      <c r="P90" s="14">
        <f t="shared" si="87"/>
        <v>81.882051211276618</v>
      </c>
      <c r="Q90" s="22">
        <f t="shared" si="54"/>
        <v>754.89805719297328</v>
      </c>
      <c r="R90" s="62">
        <f t="shared" si="55"/>
        <v>1048.2313905263065</v>
      </c>
      <c r="S90" s="62">
        <f ca="1">AVERAGE(OFFSET($R$3,0,0,'Données projet'!$E$9+1,1))-AVERAGE(OFFSET($H$3,0,0,'Données projet'!$E$9+1,1))</f>
        <v>309.95417097673084</v>
      </c>
      <c r="T90" s="62">
        <f t="shared" si="88"/>
        <v>170.83243426024433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7.0252758788308505</v>
      </c>
      <c r="AA90" s="23">
        <f>EXP(-LN(2)/25)*AA89+(1-EXP(-LN(2)/25))/(LN(2)/25)*Calculateur!V90*Calculateur!X90*VLOOKUP('Données projet'!$B$9,Paramètres!$A$1:$I$89,3,0)*0.475*44/12</f>
        <v>34.034802017117613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41.060077895948467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4.4499999999999984</v>
      </c>
      <c r="AI90" s="14">
        <f>IF('Données projet'!$A$62&gt;35,AI89+AH90-AQ89,IF(A90&lt;'Données projet'!$A$62,$AF$205^A90,IF(A90='Données projet'!$A$62,'Données projet'!$B$62,AI89+AH90-AQ89)))</f>
        <v>264.82999999999942</v>
      </c>
      <c r="AJ90" s="14">
        <f>AI90*VLOOKUP('Données projet'!$B$10,Paramètres!$A$1:$I$89,3,0)*VLOOKUP('Données projet'!$B$10,Paramètres!$A$1:$I$89,5,0)</f>
        <v>268.53761999999944</v>
      </c>
      <c r="AK90" s="14">
        <f t="shared" si="89"/>
        <v>64.538817315040006</v>
      </c>
      <c r="AL90" s="22">
        <f t="shared" si="58"/>
        <v>580.10812832369368</v>
      </c>
      <c r="AM90" s="62">
        <f t="shared" si="59"/>
        <v>873.44146165702705</v>
      </c>
      <c r="AN90" s="62">
        <f ca="1">AVERAGE(OFFSET($AM$3,0,0,'Données projet'!$E$10+1,1))-AVERAGE(OFFSET($H$3,0,0,'Données projet'!$E$10+1,1))</f>
        <v>408.65944152905672</v>
      </c>
      <c r="AO90" s="62">
        <f t="shared" si="90"/>
        <v>248.55239719988651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4.9468224498074358</v>
      </c>
      <c r="AV90" s="23">
        <f>EXP(-LN(2)/25)*AV89+(1-EXP(-LN(2)/25))/(LN(2)/25)*Calculateur!AQ90*Calculateur!AS90*VLOOKUP('Données projet'!$B$10,Paramètres!$A$1:$I$89,3,0)*0.475*44/12</f>
        <v>2.6580823167155638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7.6049047665229992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598.14</v>
      </c>
      <c r="BE90" s="14">
        <f>BD90*VLOOKUP('Données projet'!$B$11,Paramètres!$A$1:$I$89,3,0)*VLOOKUP('Données projet'!$B$11,Paramètres!$A$1:$I$89,5,0)</f>
        <v>578.52100799999994</v>
      </c>
      <c r="BF90" s="14">
        <f t="shared" si="91"/>
        <v>127.15611541885089</v>
      </c>
      <c r="BG90" s="22">
        <f t="shared" si="61"/>
        <v>1229.0543232878317</v>
      </c>
      <c r="BH90" s="62">
        <f t="shared" si="62"/>
        <v>1522.387656621165</v>
      </c>
      <c r="BI90" s="62">
        <f ca="1">AVERAGE(OFFSET($BH$3,0,0,'Données projet'!$E$11+1,1))-AVERAGE(OFFSET($H$3,0,0,'Données projet'!$E$11+1,1))</f>
        <v>643.38601112255424</v>
      </c>
      <c r="BJ90" s="62">
        <f t="shared" si="92"/>
        <v>572.76381622085694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7.1619278223031886</v>
      </c>
      <c r="BQ90" s="23">
        <f>EXP(-LN(2)/25)*BQ89+(1-EXP(-LN(2)/25))/(LN(2)/25)*Calculateur!BL90*Calculateur!BN90*VLOOKUP('Données projet'!$B$11,Paramètres!$A$1:$I$89,3,0)*0.475*44/12</f>
        <v>5.001572037514606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12.163499859817794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505.23000000000025</v>
      </c>
      <c r="BZ90" s="14">
        <f>BY90*VLOOKUP('Données projet'!$B$12,Paramètres!$A$1:$I$89,3,0)*VLOOKUP('Données projet'!$B$12,Paramètres!$A$1:$I$89,5,0)</f>
        <v>338.90828400000015</v>
      </c>
      <c r="CA90" s="14">
        <f t="shared" si="93"/>
        <v>79.274348782791407</v>
      </c>
      <c r="CB90" s="22">
        <f t="shared" si="64"/>
        <v>728.33475209669507</v>
      </c>
      <c r="CC90" s="62">
        <f t="shared" si="65"/>
        <v>1021.6680854300284</v>
      </c>
      <c r="CD90" s="62">
        <f ca="1">AVERAGE(OFFSET($CC$3,0,0,'Données projet'!$E$12+1,1))-AVERAGE(OFFSET($H$3,0,0,'Données projet'!$E$12+1,1))</f>
        <v>323.41415875740768</v>
      </c>
      <c r="CE90" s="62">
        <f t="shared" si="94"/>
        <v>496.54020068152101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598.14</v>
      </c>
      <c r="CU90" s="18">
        <f>CT90*VLOOKUP('Données projet'!$B$13,Paramètres!$A$1:$I$89,3,0)*VLOOKUP('Données projet'!$B$13,Paramètres!$A$1:$I$89,5,0)</f>
        <v>643.837896</v>
      </c>
      <c r="CV90" s="14">
        <f t="shared" si="95"/>
        <v>139.76132574448636</v>
      </c>
      <c r="CW90" s="22">
        <f t="shared" si="67"/>
        <v>1364.7686445383138</v>
      </c>
      <c r="CX90" s="62">
        <f t="shared" si="68"/>
        <v>1658.101977871647</v>
      </c>
      <c r="CY90" s="62">
        <f ca="1">AVERAGE(OFFSET($CX$3,0,0,'Données projet'!$E$13+1,1))-AVERAGE(OFFSET($H$3,0,0,'Données projet'!$E$13+1,1))</f>
        <v>720.47588458554264</v>
      </c>
      <c r="CZ90" s="62">
        <f t="shared" si="96"/>
        <v>638.59686934821627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7.9705325764341959</v>
      </c>
      <c r="DG90" s="23">
        <f>EXP(-LN(2)/25)*DG89+(1-EXP(-LN(2)/25))/(LN(2)/25)*Calculateur!DB90*Calculateur!DD90*VLOOKUP('Données projet'!$B$13,Paramètres!$A$1:$I$89,3,0)*0.475*44/12</f>
        <v>5.5662656546533515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13.536798231087548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751.18</v>
      </c>
      <c r="O91" s="14">
        <f>N91*VLOOKUP('Données projet'!$B$9,Paramètres!$A$1:$I$89,3,0)*VLOOKUP('Données projet'!$B$9,Paramètres!$A$1:$I$89,5,0)</f>
        <v>351.55223999999993</v>
      </c>
      <c r="P91" s="14">
        <f t="shared" si="87"/>
        <v>81.882051211276618</v>
      </c>
      <c r="Q91" s="22">
        <f t="shared" si="54"/>
        <v>754.89805719297328</v>
      </c>
      <c r="R91" s="62">
        <f t="shared" si="55"/>
        <v>1048.2313905263065</v>
      </c>
      <c r="S91" s="62">
        <f ca="1">AVERAGE(OFFSET($R$3,0,0,'Données projet'!$E$9+1,1))-AVERAGE(OFFSET($H$3,0,0,'Données projet'!$E$9+1,1))</f>
        <v>309.95417097673084</v>
      </c>
      <c r="T91" s="62">
        <f t="shared" si="88"/>
        <v>170.83243426024433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6.887514503842155</v>
      </c>
      <c r="AA91" s="23">
        <f>EXP(-LN(2)/25)*AA90+(1-EXP(-LN(2)/25))/(LN(2)/25)*Calculateur!V91*Calculateur!X91*VLOOKUP('Données projet'!$B$9,Paramètres!$A$1:$I$89,3,0)*0.475*44/12</f>
        <v>33.104118566147079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39.991633069989234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4.4499999999999984</v>
      </c>
      <c r="AI91" s="14">
        <f>IF('Données projet'!$A$62&gt;35,AI90+AH91-AQ90,IF(A91&lt;'Données projet'!$A$62,$AF$205^A91,IF(A91='Données projet'!$A$62,'Données projet'!$B$62,AI90+AH91-AQ90)))</f>
        <v>269.2799999999994</v>
      </c>
      <c r="AJ91" s="14">
        <f>AI91*VLOOKUP('Données projet'!$B$10,Paramètres!$A$1:$I$89,3,0)*VLOOKUP('Données projet'!$B$10,Paramètres!$A$1:$I$89,5,0)</f>
        <v>273.04991999999942</v>
      </c>
      <c r="AK91" s="14">
        <f t="shared" si="89"/>
        <v>65.496115531912665</v>
      </c>
      <c r="AL91" s="22">
        <f t="shared" si="58"/>
        <v>589.63434521808017</v>
      </c>
      <c r="AM91" s="62">
        <f t="shared" si="59"/>
        <v>882.96767855141343</v>
      </c>
      <c r="AN91" s="62">
        <f ca="1">AVERAGE(OFFSET($AM$3,0,0,'Données projet'!$E$10+1,1))-AVERAGE(OFFSET($H$3,0,0,'Données projet'!$E$10+1,1))</f>
        <v>408.65944152905672</v>
      </c>
      <c r="AO91" s="62">
        <f t="shared" si="90"/>
        <v>248.55239719988651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4.849818278830476</v>
      </c>
      <c r="AV91" s="23">
        <f>EXP(-LN(2)/25)*AV90+(1-EXP(-LN(2)/25))/(LN(2)/25)*Calculateur!AQ91*Calculateur!AS91*VLOOKUP('Données projet'!$B$10,Paramètres!$A$1:$I$89,3,0)*0.475*44/12</f>
        <v>2.585396915982503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7.4352151948129794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598.14</v>
      </c>
      <c r="BE91" s="14">
        <f>BD91*VLOOKUP('Données projet'!$B$11,Paramètres!$A$1:$I$89,3,0)*VLOOKUP('Données projet'!$B$11,Paramètres!$A$1:$I$89,5,0)</f>
        <v>578.52100799999994</v>
      </c>
      <c r="BF91" s="14">
        <f t="shared" si="91"/>
        <v>127.15611541885089</v>
      </c>
      <c r="BG91" s="22">
        <f t="shared" si="61"/>
        <v>1229.0543232878317</v>
      </c>
      <c r="BH91" s="62">
        <f t="shared" si="62"/>
        <v>1522.387656621165</v>
      </c>
      <c r="BI91" s="62">
        <f ca="1">AVERAGE(OFFSET($BH$3,0,0,'Données projet'!$E$11+1,1))-AVERAGE(OFFSET($H$3,0,0,'Données projet'!$E$11+1,1))</f>
        <v>643.38601112255424</v>
      </c>
      <c r="BJ91" s="62">
        <f t="shared" si="92"/>
        <v>572.76381622085694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7.0214867860524564</v>
      </c>
      <c r="BQ91" s="23">
        <f>EXP(-LN(2)/25)*BQ90+(1-EXP(-LN(2)/25))/(LN(2)/25)*Calculateur!BL91*Calculateur!BN91*VLOOKUP('Données projet'!$B$11,Paramètres!$A$1:$I$89,3,0)*0.475*44/12</f>
        <v>4.8648037871275269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11.886290573179984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505.23000000000025</v>
      </c>
      <c r="BZ91" s="14">
        <f>BY91*VLOOKUP('Données projet'!$B$12,Paramètres!$A$1:$I$89,3,0)*VLOOKUP('Données projet'!$B$12,Paramètres!$A$1:$I$89,5,0)</f>
        <v>338.90828400000015</v>
      </c>
      <c r="CA91" s="14">
        <f t="shared" si="93"/>
        <v>79.274348782791407</v>
      </c>
      <c r="CB91" s="22">
        <f t="shared" si="64"/>
        <v>728.33475209669507</v>
      </c>
      <c r="CC91" s="62">
        <f t="shared" si="65"/>
        <v>1021.6680854300284</v>
      </c>
      <c r="CD91" s="62">
        <f ca="1">AVERAGE(OFFSET($CC$3,0,0,'Données projet'!$E$12+1,1))-AVERAGE(OFFSET($H$3,0,0,'Données projet'!$E$12+1,1))</f>
        <v>323.41415875740768</v>
      </c>
      <c r="CE91" s="62">
        <f t="shared" si="94"/>
        <v>496.54020068152101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598.14</v>
      </c>
      <c r="CU91" s="18">
        <f>CT91*VLOOKUP('Données projet'!$B$13,Paramètres!$A$1:$I$89,3,0)*VLOOKUP('Données projet'!$B$13,Paramètres!$A$1:$I$89,5,0)</f>
        <v>643.837896</v>
      </c>
      <c r="CV91" s="14">
        <f t="shared" si="95"/>
        <v>139.76132574448636</v>
      </c>
      <c r="CW91" s="22">
        <f t="shared" si="67"/>
        <v>1364.7686445383138</v>
      </c>
      <c r="CX91" s="62">
        <f t="shared" si="68"/>
        <v>1658.101977871647</v>
      </c>
      <c r="CY91" s="62">
        <f ca="1">AVERAGE(OFFSET($CX$3,0,0,'Données projet'!$E$13+1,1))-AVERAGE(OFFSET($H$3,0,0,'Données projet'!$E$13+1,1))</f>
        <v>720.47588458554264</v>
      </c>
      <c r="CZ91" s="62">
        <f t="shared" si="96"/>
        <v>638.59686934821627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7.8142352941551554</v>
      </c>
      <c r="DG91" s="23">
        <f>EXP(-LN(2)/25)*DG90+(1-EXP(-LN(2)/25))/(LN(2)/25)*Calculateur!DB91*Calculateur!DD91*VLOOKUP('Données projet'!$B$13,Paramètres!$A$1:$I$89,3,0)*0.475*44/12</f>
        <v>5.4140558276096664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13.228291121764823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751.18</v>
      </c>
      <c r="O92" s="14">
        <f>N92*VLOOKUP('Données projet'!$B$9,Paramètres!$A$1:$I$89,3,0)*VLOOKUP('Données projet'!$B$9,Paramètres!$A$1:$I$89,5,0)</f>
        <v>351.55223999999993</v>
      </c>
      <c r="P92" s="14">
        <f t="shared" si="87"/>
        <v>81.882051211276618</v>
      </c>
      <c r="Q92" s="22">
        <f t="shared" si="54"/>
        <v>754.89805719297328</v>
      </c>
      <c r="R92" s="62">
        <f t="shared" si="55"/>
        <v>1048.2313905263065</v>
      </c>
      <c r="S92" s="62">
        <f ca="1">AVERAGE(OFFSET($R$3,0,0,'Données projet'!$E$9+1,1))-AVERAGE(OFFSET($H$3,0,0,'Données projet'!$E$9+1,1))</f>
        <v>309.95417097673084</v>
      </c>
      <c r="T92" s="62">
        <f t="shared" si="88"/>
        <v>170.83243426024433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6.7524545453908464</v>
      </c>
      <c r="AA92" s="23">
        <f>EXP(-LN(2)/25)*AA91+(1-EXP(-LN(2)/25))/(LN(2)/25)*Calculateur!V92*Calculateur!X92*VLOOKUP('Données projet'!$B$9,Paramètres!$A$1:$I$89,3,0)*0.475*44/12</f>
        <v>32.198884703085852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38.9513392484767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4.4499999999999984</v>
      </c>
      <c r="AI92" s="14">
        <f>IF('Données projet'!$A$62&gt;35,AI91+AH92-AQ91,IF(A92&lt;'Données projet'!$A$62,$AF$205^A92,IF(A92='Données projet'!$A$62,'Données projet'!$B$62,AI91+AH92-AQ91)))</f>
        <v>273.72999999999939</v>
      </c>
      <c r="AJ92" s="14">
        <f>AI92*VLOOKUP('Données projet'!$B$10,Paramètres!$A$1:$I$89,3,0)*VLOOKUP('Données projet'!$B$10,Paramètres!$A$1:$I$89,5,0)</f>
        <v>277.5622199999994</v>
      </c>
      <c r="AK92" s="14">
        <f t="shared" si="89"/>
        <v>66.451573996249451</v>
      </c>
      <c r="AL92" s="22">
        <f t="shared" si="58"/>
        <v>599.15735787680012</v>
      </c>
      <c r="AM92" s="62">
        <f t="shared" si="59"/>
        <v>892.49069121013349</v>
      </c>
      <c r="AN92" s="62">
        <f ca="1">AVERAGE(OFFSET($AM$3,0,0,'Données projet'!$E$10+1,1))-AVERAGE(OFFSET($H$3,0,0,'Données projet'!$E$10+1,1))</f>
        <v>408.65944152905672</v>
      </c>
      <c r="AO92" s="62">
        <f t="shared" si="90"/>
        <v>248.55239719988651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4.7547163004796724</v>
      </c>
      <c r="AV92" s="23">
        <f>EXP(-LN(2)/25)*AV91+(1-EXP(-LN(2)/25))/(LN(2)/25)*Calculateur!AQ92*Calculateur!AS92*VLOOKUP('Données projet'!$B$10,Paramètres!$A$1:$I$89,3,0)*0.475*44/12</f>
        <v>2.5146991013548465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7.269415401834519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598.14</v>
      </c>
      <c r="BE92" s="14">
        <f>BD92*VLOOKUP('Données projet'!$B$11,Paramètres!$A$1:$I$89,3,0)*VLOOKUP('Données projet'!$B$11,Paramètres!$A$1:$I$89,5,0)</f>
        <v>578.52100799999994</v>
      </c>
      <c r="BF92" s="14">
        <f t="shared" si="91"/>
        <v>127.15611541885089</v>
      </c>
      <c r="BG92" s="22">
        <f t="shared" si="61"/>
        <v>1229.0543232878317</v>
      </c>
      <c r="BH92" s="62">
        <f t="shared" si="62"/>
        <v>1522.387656621165</v>
      </c>
      <c r="BI92" s="62">
        <f ca="1">AVERAGE(OFFSET($BH$3,0,0,'Données projet'!$E$11+1,1))-AVERAGE(OFFSET($H$3,0,0,'Données projet'!$E$11+1,1))</f>
        <v>643.38601112255424</v>
      </c>
      <c r="BJ92" s="62">
        <f t="shared" si="92"/>
        <v>572.76381622085694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6.883799712862027</v>
      </c>
      <c r="BQ92" s="23">
        <f>EXP(-LN(2)/25)*BQ91+(1-EXP(-LN(2)/25))/(LN(2)/25)*Calculateur!BL92*Calculateur!BN92*VLOOKUP('Données projet'!$B$11,Paramètres!$A$1:$I$89,3,0)*0.475*44/12</f>
        <v>4.7317754717396125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11.615575184601639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505.23000000000025</v>
      </c>
      <c r="BZ92" s="14">
        <f>BY92*VLOOKUP('Données projet'!$B$12,Paramètres!$A$1:$I$89,3,0)*VLOOKUP('Données projet'!$B$12,Paramètres!$A$1:$I$89,5,0)</f>
        <v>338.90828400000015</v>
      </c>
      <c r="CA92" s="14">
        <f t="shared" si="93"/>
        <v>79.274348782791407</v>
      </c>
      <c r="CB92" s="22">
        <f t="shared" si="64"/>
        <v>728.33475209669507</v>
      </c>
      <c r="CC92" s="62">
        <f t="shared" si="65"/>
        <v>1021.6680854300284</v>
      </c>
      <c r="CD92" s="62">
        <f ca="1">AVERAGE(OFFSET($CC$3,0,0,'Données projet'!$E$12+1,1))-AVERAGE(OFFSET($H$3,0,0,'Données projet'!$E$12+1,1))</f>
        <v>323.41415875740768</v>
      </c>
      <c r="CE92" s="62">
        <f t="shared" si="94"/>
        <v>496.54020068152101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598.14</v>
      </c>
      <c r="CU92" s="18">
        <f>CT92*VLOOKUP('Données projet'!$B$13,Paramètres!$A$1:$I$89,3,0)*VLOOKUP('Données projet'!$B$13,Paramètres!$A$1:$I$89,5,0)</f>
        <v>643.837896</v>
      </c>
      <c r="CV92" s="14">
        <f t="shared" si="95"/>
        <v>139.76132574448636</v>
      </c>
      <c r="CW92" s="22">
        <f t="shared" si="67"/>
        <v>1364.7686445383138</v>
      </c>
      <c r="CX92" s="62">
        <f t="shared" si="68"/>
        <v>1658.101977871647</v>
      </c>
      <c r="CY92" s="62">
        <f ca="1">AVERAGE(OFFSET($CX$3,0,0,'Données projet'!$E$13+1,1))-AVERAGE(OFFSET($H$3,0,0,'Données projet'!$E$13+1,1))</f>
        <v>720.47588458554264</v>
      </c>
      <c r="CZ92" s="62">
        <f t="shared" si="96"/>
        <v>638.59686934821627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7.6610029062496778</v>
      </c>
      <c r="DG92" s="23">
        <f>EXP(-LN(2)/25)*DG91+(1-EXP(-LN(2)/25))/(LN(2)/25)*Calculateur!DB92*Calculateur!DD92*VLOOKUP('Données projet'!$B$13,Paramètres!$A$1:$I$89,3,0)*0.475*44/12</f>
        <v>5.2660081862908585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12.927011092540535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751.18</v>
      </c>
      <c r="O93" s="14">
        <f>N93*VLOOKUP('Données projet'!$B$9,Paramètres!$A$1:$I$89,3,0)*VLOOKUP('Données projet'!$B$9,Paramètres!$A$1:$I$89,5,0)</f>
        <v>351.55223999999993</v>
      </c>
      <c r="P93" s="14">
        <f t="shared" si="87"/>
        <v>81.882051211276618</v>
      </c>
      <c r="Q93" s="22">
        <f t="shared" si="54"/>
        <v>754.89805719297328</v>
      </c>
      <c r="R93" s="62">
        <f t="shared" si="55"/>
        <v>1048.2313905263065</v>
      </c>
      <c r="S93" s="62">
        <f ca="1">AVERAGE(OFFSET($R$3,0,0,'Données projet'!$E$9+1,1))-AVERAGE(OFFSET($H$3,0,0,'Données projet'!$E$9+1,1))</f>
        <v>309.95417097673084</v>
      </c>
      <c r="T93" s="62">
        <f t="shared" si="88"/>
        <v>170.83243426024433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6.620043030346328</v>
      </c>
      <c r="AA93" s="23">
        <f>EXP(-LN(2)/25)*AA92+(1-EXP(-LN(2)/25))/(LN(2)/25)*Calculateur!V93*Calculateur!X93*VLOOKUP('Données projet'!$B$9,Paramètres!$A$1:$I$89,3,0)*0.475*44/12</f>
        <v>31.318404507614215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37.938447537960542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4.4499999999999984</v>
      </c>
      <c r="AI93" s="14">
        <f>IF('Données projet'!$A$62&gt;35,AI92+AH93-AQ92,IF(A93&lt;'Données projet'!$A$62,$AF$205^A93,IF(A93='Données projet'!$A$62,'Données projet'!$B$62,AI92+AH93-AQ92)))</f>
        <v>278.17999999999938</v>
      </c>
      <c r="AJ93" s="14">
        <f>AI93*VLOOKUP('Données projet'!$B$10,Paramètres!$A$1:$I$89,3,0)*VLOOKUP('Données projet'!$B$10,Paramètres!$A$1:$I$89,5,0)</f>
        <v>282.07451999999938</v>
      </c>
      <c r="AK93" s="14">
        <f t="shared" si="89"/>
        <v>67.405226069472221</v>
      </c>
      <c r="AL93" s="22">
        <f t="shared" si="58"/>
        <v>608.67722440432965</v>
      </c>
      <c r="AM93" s="62">
        <f t="shared" si="59"/>
        <v>902.01055773766302</v>
      </c>
      <c r="AN93" s="62">
        <f ca="1">AVERAGE(OFFSET($AM$3,0,0,'Données projet'!$E$10+1,1))-AVERAGE(OFFSET($H$3,0,0,'Données projet'!$E$10+1,1))</f>
        <v>408.65944152905672</v>
      </c>
      <c r="AO93" s="62">
        <f t="shared" si="90"/>
        <v>248.55239719988651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4.6614792139178496</v>
      </c>
      <c r="AV93" s="23">
        <f>EXP(-LN(2)/25)*AV92+(1-EXP(-LN(2)/25))/(LN(2)/25)*Calculateur!AQ93*Calculateur!AS93*VLOOKUP('Données projet'!$B$10,Paramètres!$A$1:$I$89,3,0)*0.475*44/12</f>
        <v>2.44593452218602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7.1074137361038696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598.14</v>
      </c>
      <c r="BE93" s="14">
        <f>BD93*VLOOKUP('Données projet'!$B$11,Paramètres!$A$1:$I$89,3,0)*VLOOKUP('Données projet'!$B$11,Paramètres!$A$1:$I$89,5,0)</f>
        <v>578.52100799999994</v>
      </c>
      <c r="BF93" s="14">
        <f t="shared" si="91"/>
        <v>127.15611541885089</v>
      </c>
      <c r="BG93" s="22">
        <f t="shared" si="61"/>
        <v>1229.0543232878317</v>
      </c>
      <c r="BH93" s="62">
        <f t="shared" si="62"/>
        <v>1522.387656621165</v>
      </c>
      <c r="BI93" s="62">
        <f ca="1">AVERAGE(OFFSET($BH$3,0,0,'Données projet'!$E$11+1,1))-AVERAGE(OFFSET($H$3,0,0,'Données projet'!$E$11+1,1))</f>
        <v>643.38601112255424</v>
      </c>
      <c r="BJ93" s="62">
        <f t="shared" si="92"/>
        <v>572.76381622085694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6.7488125991960404</v>
      </c>
      <c r="BQ93" s="23">
        <f>EXP(-LN(2)/25)*BQ92+(1-EXP(-LN(2)/25))/(LN(2)/25)*Calculateur!BL93*Calculateur!BN93*VLOOKUP('Données projet'!$B$11,Paramètres!$A$1:$I$89,3,0)*0.475*44/12</f>
        <v>4.6023848226316355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11.351197421827676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505.23000000000025</v>
      </c>
      <c r="BZ93" s="14">
        <f>BY93*VLOOKUP('Données projet'!$B$12,Paramètres!$A$1:$I$89,3,0)*VLOOKUP('Données projet'!$B$12,Paramètres!$A$1:$I$89,5,0)</f>
        <v>338.90828400000015</v>
      </c>
      <c r="CA93" s="14">
        <f t="shared" si="93"/>
        <v>79.274348782791407</v>
      </c>
      <c r="CB93" s="22">
        <f t="shared" si="64"/>
        <v>728.33475209669507</v>
      </c>
      <c r="CC93" s="62">
        <f t="shared" si="65"/>
        <v>1021.6680854300284</v>
      </c>
      <c r="CD93" s="62">
        <f ca="1">AVERAGE(OFFSET($CC$3,0,0,'Données projet'!$E$12+1,1))-AVERAGE(OFFSET($H$3,0,0,'Données projet'!$E$12+1,1))</f>
        <v>323.41415875740768</v>
      </c>
      <c r="CE93" s="62">
        <f t="shared" si="94"/>
        <v>496.54020068152101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598.14</v>
      </c>
      <c r="CU93" s="18">
        <f>CT93*VLOOKUP('Données projet'!$B$13,Paramètres!$A$1:$I$89,3,0)*VLOOKUP('Données projet'!$B$13,Paramètres!$A$1:$I$89,5,0)</f>
        <v>643.837896</v>
      </c>
      <c r="CV93" s="14">
        <f t="shared" si="95"/>
        <v>139.76132574448636</v>
      </c>
      <c r="CW93" s="22">
        <f t="shared" si="67"/>
        <v>1364.7686445383138</v>
      </c>
      <c r="CX93" s="62">
        <f t="shared" si="68"/>
        <v>1658.101977871647</v>
      </c>
      <c r="CY93" s="62">
        <f ca="1">AVERAGE(OFFSET($CX$3,0,0,'Données projet'!$E$13+1,1))-AVERAGE(OFFSET($H$3,0,0,'Données projet'!$E$13+1,1))</f>
        <v>720.47588458554264</v>
      </c>
      <c r="CZ93" s="62">
        <f t="shared" si="96"/>
        <v>638.59686934821627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7.5107753120084988</v>
      </c>
      <c r="DG93" s="23">
        <f>EXP(-LN(2)/25)*DG92+(1-EXP(-LN(2)/25))/(LN(2)/25)*Calculateur!DB93*Calculateur!DD93*VLOOKUP('Données projet'!$B$13,Paramètres!$A$1:$I$89,3,0)*0.475*44/12</f>
        <v>5.1220089155094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12.632784227517899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751.18</v>
      </c>
      <c r="O94" s="14">
        <f>N94*VLOOKUP('Données projet'!$B$9,Paramètres!$A$1:$I$89,3,0)*VLOOKUP('Données projet'!$B$9,Paramètres!$A$1:$I$89,5,0)</f>
        <v>351.55223999999993</v>
      </c>
      <c r="P94" s="14">
        <f t="shared" si="87"/>
        <v>81.882051211276618</v>
      </c>
      <c r="Q94" s="22">
        <f t="shared" si="54"/>
        <v>754.89805719297328</v>
      </c>
      <c r="R94" s="62">
        <f t="shared" si="55"/>
        <v>1048.2313905263065</v>
      </c>
      <c r="S94" s="62">
        <f ca="1">AVERAGE(OFFSET($R$3,0,0,'Données projet'!$E$9+1,1))-AVERAGE(OFFSET($H$3,0,0,'Données projet'!$E$9+1,1))</f>
        <v>309.95417097673084</v>
      </c>
      <c r="T94" s="62">
        <f t="shared" si="88"/>
        <v>170.83243426024433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6.4902280243487827</v>
      </c>
      <c r="AA94" s="23">
        <f>EXP(-LN(2)/25)*AA93+(1-EXP(-LN(2)/25))/(LN(2)/25)*Calculateur!V94*Calculateur!X94*VLOOKUP('Données projet'!$B$9,Paramètres!$A$1:$I$89,3,0)*0.475*44/12</f>
        <v>30.462001089390188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36.952229113738973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4.4499999999999984</v>
      </c>
      <c r="AI94" s="14">
        <f>IF('Données projet'!$A$62&gt;35,AI93+AH94-AQ93,IF(A94&lt;'Données projet'!$A$62,$AF$205^A94,IF(A94='Données projet'!$A$62,'Données projet'!$B$62,AI93+AH94-AQ93)))</f>
        <v>282.62999999999937</v>
      </c>
      <c r="AJ94" s="14">
        <f>AI94*VLOOKUP('Données projet'!$B$10,Paramètres!$A$1:$I$89,3,0)*VLOOKUP('Données projet'!$B$10,Paramètres!$A$1:$I$89,5,0)</f>
        <v>286.58681999999936</v>
      </c>
      <c r="AK94" s="14">
        <f t="shared" si="89"/>
        <v>68.357103984435298</v>
      </c>
      <c r="AL94" s="22">
        <f t="shared" si="58"/>
        <v>618.19400093955699</v>
      </c>
      <c r="AM94" s="62">
        <f t="shared" si="59"/>
        <v>911.52733427289036</v>
      </c>
      <c r="AN94" s="62">
        <f ca="1">AVERAGE(OFFSET($AM$3,0,0,'Données projet'!$E$10+1,1))-AVERAGE(OFFSET($H$3,0,0,'Données projet'!$E$10+1,1))</f>
        <v>408.65944152905672</v>
      </c>
      <c r="AO94" s="62">
        <f t="shared" si="90"/>
        <v>248.55239719988651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4.5700704497544962</v>
      </c>
      <c r="AV94" s="23">
        <f>EXP(-LN(2)/25)*AV93+(1-EXP(-LN(2)/25))/(LN(2)/25)*Calculateur!AQ94*Calculateur!AS94*VLOOKUP('Données projet'!$B$10,Paramètres!$A$1:$I$89,3,0)*0.475*44/12</f>
        <v>2.3790503140507369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6.949120763805233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598.14</v>
      </c>
      <c r="BE94" s="14">
        <f>BD94*VLOOKUP('Données projet'!$B$11,Paramètres!$A$1:$I$89,3,0)*VLOOKUP('Données projet'!$B$11,Paramètres!$A$1:$I$89,5,0)</f>
        <v>578.52100799999994</v>
      </c>
      <c r="BF94" s="14">
        <f t="shared" si="91"/>
        <v>127.15611541885089</v>
      </c>
      <c r="BG94" s="22">
        <f t="shared" si="61"/>
        <v>1229.0543232878317</v>
      </c>
      <c r="BH94" s="62">
        <f t="shared" si="62"/>
        <v>1522.387656621165</v>
      </c>
      <c r="BI94" s="62">
        <f ca="1">AVERAGE(OFFSET($BH$3,0,0,'Données projet'!$E$11+1,1))-AVERAGE(OFFSET($H$3,0,0,'Données projet'!$E$11+1,1))</f>
        <v>643.38601112255424</v>
      </c>
      <c r="BJ94" s="62">
        <f t="shared" si="92"/>
        <v>572.76381622085694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6.6164725004950338</v>
      </c>
      <c r="BQ94" s="23">
        <f>EXP(-LN(2)/25)*BQ93+(1-EXP(-LN(2)/25))/(LN(2)/25)*Calculateur!BL94*Calculateur!BN94*VLOOKUP('Données projet'!$B$11,Paramètres!$A$1:$I$89,3,0)*0.475*44/12</f>
        <v>4.4765323676278745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11.093004868122907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505.23000000000025</v>
      </c>
      <c r="BZ94" s="14">
        <f>BY94*VLOOKUP('Données projet'!$B$12,Paramètres!$A$1:$I$89,3,0)*VLOOKUP('Données projet'!$B$12,Paramètres!$A$1:$I$89,5,0)</f>
        <v>338.90828400000015</v>
      </c>
      <c r="CA94" s="14">
        <f t="shared" si="93"/>
        <v>79.274348782791407</v>
      </c>
      <c r="CB94" s="22">
        <f t="shared" si="64"/>
        <v>728.33475209669507</v>
      </c>
      <c r="CC94" s="62">
        <f t="shared" si="65"/>
        <v>1021.6680854300284</v>
      </c>
      <c r="CD94" s="62">
        <f ca="1">AVERAGE(OFFSET($CC$3,0,0,'Données projet'!$E$12+1,1))-AVERAGE(OFFSET($H$3,0,0,'Données projet'!$E$12+1,1))</f>
        <v>323.41415875740768</v>
      </c>
      <c r="CE94" s="62">
        <f t="shared" si="94"/>
        <v>496.54020068152101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598.14</v>
      </c>
      <c r="CU94" s="18">
        <f>CT94*VLOOKUP('Données projet'!$B$13,Paramètres!$A$1:$I$89,3,0)*VLOOKUP('Données projet'!$B$13,Paramètres!$A$1:$I$89,5,0)</f>
        <v>643.837896</v>
      </c>
      <c r="CV94" s="14">
        <f t="shared" si="95"/>
        <v>139.76132574448636</v>
      </c>
      <c r="CW94" s="22">
        <f t="shared" si="67"/>
        <v>1364.7686445383138</v>
      </c>
      <c r="CX94" s="62">
        <f t="shared" si="68"/>
        <v>1658.101977871647</v>
      </c>
      <c r="CY94" s="62">
        <f ca="1">AVERAGE(OFFSET($CX$3,0,0,'Données projet'!$E$13+1,1))-AVERAGE(OFFSET($H$3,0,0,'Données projet'!$E$13+1,1))</f>
        <v>720.47588458554264</v>
      </c>
      <c r="CZ94" s="62">
        <f t="shared" si="96"/>
        <v>638.59686934821627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7.3634935892606039</v>
      </c>
      <c r="DG94" s="23">
        <f>EXP(-LN(2)/25)*DG93+(1-EXP(-LN(2)/25))/(LN(2)/25)*Calculateur!DB94*Calculateur!DD94*VLOOKUP('Données projet'!$B$13,Paramètres!$A$1:$I$89,3,0)*0.475*44/12</f>
        <v>4.9819473123600533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12.345440901620657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751.18</v>
      </c>
      <c r="O95" s="14">
        <f>N95*VLOOKUP('Données projet'!$B$9,Paramètres!$A$1:$I$89,3,0)*VLOOKUP('Données projet'!$B$9,Paramètres!$A$1:$I$89,5,0)</f>
        <v>351.55223999999993</v>
      </c>
      <c r="P95" s="14">
        <f t="shared" si="87"/>
        <v>81.882051211276618</v>
      </c>
      <c r="Q95" s="22">
        <f t="shared" si="54"/>
        <v>754.89805719297328</v>
      </c>
      <c r="R95" s="62">
        <f t="shared" si="55"/>
        <v>1048.2313905263065</v>
      </c>
      <c r="S95" s="62">
        <f ca="1">AVERAGE(OFFSET($R$3,0,0,'Données projet'!$E$9+1,1))-AVERAGE(OFFSET($H$3,0,0,'Données projet'!$E$9+1,1))</f>
        <v>309.95417097673084</v>
      </c>
      <c r="T95" s="62">
        <f t="shared" si="88"/>
        <v>170.83243426024433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6.362958611439514</v>
      </c>
      <c r="AA95" s="23">
        <f>EXP(-LN(2)/25)*AA94+(1-EXP(-LN(2)/25))/(LN(2)/25)*Calculateur!V95*Calculateur!X95*VLOOKUP('Données projet'!$B$9,Paramètres!$A$1:$I$89,3,0)*0.475*44/12</f>
        <v>29.629016067673799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35.991974679113312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4.4499999999999984</v>
      </c>
      <c r="AI95" s="14">
        <f>IF('Données projet'!$A$62&gt;35,AI94+AH95-AQ94,IF(A95&lt;'Données projet'!$A$62,$AF$205^A95,IF(A95='Données projet'!$A$62,'Données projet'!$B$62,AI94+AH95-AQ94)))</f>
        <v>287.07999999999936</v>
      </c>
      <c r="AJ95" s="14">
        <f>AI95*VLOOKUP('Données projet'!$B$10,Paramètres!$A$1:$I$89,3,0)*VLOOKUP('Données projet'!$B$10,Paramètres!$A$1:$I$89,5,0)</f>
        <v>291.09911999999935</v>
      </c>
      <c r="AK95" s="14">
        <f t="shared" si="89"/>
        <v>69.307238900760353</v>
      </c>
      <c r="AL95" s="22">
        <f t="shared" si="58"/>
        <v>627.70774175215638</v>
      </c>
      <c r="AM95" s="62">
        <f t="shared" si="59"/>
        <v>921.04107508548964</v>
      </c>
      <c r="AN95" s="62">
        <f ca="1">AVERAGE(OFFSET($AM$3,0,0,'Données projet'!$E$10+1,1))-AVERAGE(OFFSET($H$3,0,0,'Données projet'!$E$10+1,1))</f>
        <v>408.65944152905672</v>
      </c>
      <c r="AO95" s="62">
        <f t="shared" si="90"/>
        <v>248.55239719988651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4.480454155702545</v>
      </c>
      <c r="AV95" s="23">
        <f>EXP(-LN(2)/25)*AV94+(1-EXP(-LN(2)/25))/(LN(2)/25)*Calculateur!AQ95*Calculateur!AS95*VLOOKUP('Données projet'!$B$10,Paramètres!$A$1:$I$89,3,0)*0.475*44/12</f>
        <v>2.3139950581042008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6.7944492138067458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598.14</v>
      </c>
      <c r="BE95" s="14">
        <f>BD95*VLOOKUP('Données projet'!$B$11,Paramètres!$A$1:$I$89,3,0)*VLOOKUP('Données projet'!$B$11,Paramètres!$A$1:$I$89,5,0)</f>
        <v>578.52100799999994</v>
      </c>
      <c r="BF95" s="14">
        <f t="shared" si="91"/>
        <v>127.15611541885089</v>
      </c>
      <c r="BG95" s="22">
        <f t="shared" si="61"/>
        <v>1229.0543232878317</v>
      </c>
      <c r="BH95" s="62">
        <f t="shared" si="62"/>
        <v>1522.387656621165</v>
      </c>
      <c r="BI95" s="62">
        <f ca="1">AVERAGE(OFFSET($BH$3,0,0,'Données projet'!$E$11+1,1))-AVERAGE(OFFSET($H$3,0,0,'Données projet'!$E$11+1,1))</f>
        <v>643.38601112255424</v>
      </c>
      <c r="BJ95" s="62">
        <f t="shared" si="92"/>
        <v>572.76381622085694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6.4867275104100646</v>
      </c>
      <c r="BQ95" s="23">
        <f>EXP(-LN(2)/25)*BQ94+(1-EXP(-LN(2)/25))/(LN(2)/25)*Calculateur!BL95*Calculateur!BN95*VLOOKUP('Données projet'!$B$11,Paramètres!$A$1:$I$89,3,0)*0.475*44/12</f>
        <v>4.3541213546244846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10.840848865034548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505.23000000000025</v>
      </c>
      <c r="BZ95" s="14">
        <f>BY95*VLOOKUP('Données projet'!$B$12,Paramètres!$A$1:$I$89,3,0)*VLOOKUP('Données projet'!$B$12,Paramètres!$A$1:$I$89,5,0)</f>
        <v>338.90828400000015</v>
      </c>
      <c r="CA95" s="14">
        <f t="shared" si="93"/>
        <v>79.274348782791407</v>
      </c>
      <c r="CB95" s="22">
        <f t="shared" si="64"/>
        <v>728.33475209669507</v>
      </c>
      <c r="CC95" s="62">
        <f t="shared" si="65"/>
        <v>1021.6680854300284</v>
      </c>
      <c r="CD95" s="62">
        <f ca="1">AVERAGE(OFFSET($CC$3,0,0,'Données projet'!$E$12+1,1))-AVERAGE(OFFSET($H$3,0,0,'Données projet'!$E$12+1,1))</f>
        <v>323.41415875740768</v>
      </c>
      <c r="CE95" s="62">
        <f t="shared" si="94"/>
        <v>496.54020068152101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598.14</v>
      </c>
      <c r="CU95" s="18">
        <f>CT95*VLOOKUP('Données projet'!$B$13,Paramètres!$A$1:$I$89,3,0)*VLOOKUP('Données projet'!$B$13,Paramètres!$A$1:$I$89,5,0)</f>
        <v>643.837896</v>
      </c>
      <c r="CV95" s="14">
        <f t="shared" si="95"/>
        <v>139.76132574448636</v>
      </c>
      <c r="CW95" s="22">
        <f t="shared" si="67"/>
        <v>1364.7686445383138</v>
      </c>
      <c r="CX95" s="62">
        <f t="shared" si="68"/>
        <v>1658.101977871647</v>
      </c>
      <c r="CY95" s="62">
        <f ca="1">AVERAGE(OFFSET($CX$3,0,0,'Données projet'!$E$13+1,1))-AVERAGE(OFFSET($H$3,0,0,'Données projet'!$E$13+1,1))</f>
        <v>720.47588458554264</v>
      </c>
      <c r="CZ95" s="62">
        <f t="shared" si="96"/>
        <v>638.59686934821627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7.219099971262815</v>
      </c>
      <c r="DG95" s="23">
        <f>EXP(-LN(2)/25)*DG94+(1-EXP(-LN(2)/25))/(LN(2)/25)*Calculateur!DB95*Calculateur!DD95*VLOOKUP('Données projet'!$B$13,Paramètres!$A$1:$I$89,3,0)*0.475*44/12</f>
        <v>4.8457157011143446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12.06481567237716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751.18</v>
      </c>
      <c r="O96" s="14">
        <f>N96*VLOOKUP('Données projet'!$B$9,Paramètres!$A$1:$I$89,3,0)*VLOOKUP('Données projet'!$B$9,Paramètres!$A$1:$I$89,5,0)</f>
        <v>351.55223999999993</v>
      </c>
      <c r="P96" s="14">
        <f t="shared" si="87"/>
        <v>81.882051211276618</v>
      </c>
      <c r="Q96" s="22">
        <f t="shared" si="54"/>
        <v>754.89805719297328</v>
      </c>
      <c r="R96" s="62">
        <f t="shared" si="55"/>
        <v>1048.2313905263065</v>
      </c>
      <c r="S96" s="62">
        <f ca="1">AVERAGE(OFFSET($R$3,0,0,'Données projet'!$E$9+1,1))-AVERAGE(OFFSET($H$3,0,0,'Données projet'!$E$9+1,1))</f>
        <v>309.95417097673084</v>
      </c>
      <c r="T96" s="62">
        <f t="shared" si="88"/>
        <v>170.83243426024433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6.2381848740907193</v>
      </c>
      <c r="AA96" s="23">
        <f>EXP(-LN(2)/25)*AA95+(1-EXP(-LN(2)/25))/(LN(2)/25)*Calculateur!V96*Calculateur!X96*VLOOKUP('Données projet'!$B$9,Paramètres!$A$1:$I$89,3,0)*0.475*44/12</f>
        <v>28.818809065181021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35.056993939271742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4.4499999999999984</v>
      </c>
      <c r="AI96" s="14">
        <f>IF('Données projet'!$A$62&gt;35,AI95+AH96-AQ95,IF(A96&lt;'Données projet'!$A$62,$AF$205^A96,IF(A96='Données projet'!$A$62,'Données projet'!$B$62,AI95+AH96-AQ95)))</f>
        <v>291.52999999999935</v>
      </c>
      <c r="AJ96" s="14">
        <f>AI96*VLOOKUP('Données projet'!$B$10,Paramètres!$A$1:$I$89,3,0)*VLOOKUP('Données projet'!$B$10,Paramètres!$A$1:$I$89,5,0)</f>
        <v>295.61141999999938</v>
      </c>
      <c r="AK96" s="14">
        <f t="shared" si="89"/>
        <v>70.255660956642316</v>
      </c>
      <c r="AL96" s="22">
        <f t="shared" si="58"/>
        <v>637.2184993328176</v>
      </c>
      <c r="AM96" s="62">
        <f t="shared" si="59"/>
        <v>930.55183266615086</v>
      </c>
      <c r="AN96" s="62">
        <f ca="1">AVERAGE(OFFSET($AM$3,0,0,'Données projet'!$E$10+1,1))-AVERAGE(OFFSET($H$3,0,0,'Données projet'!$E$10+1,1))</f>
        <v>408.65944152905672</v>
      </c>
      <c r="AO96" s="62">
        <f t="shared" si="90"/>
        <v>248.55239719988651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4.3925951825164109</v>
      </c>
      <c r="AV96" s="23">
        <f>EXP(-LN(2)/25)*AV95+(1-EXP(-LN(2)/25))/(LN(2)/25)*Calculateur!AQ96*Calculateur!AS96*VLOOKUP('Données projet'!$B$10,Paramètres!$A$1:$I$89,3,0)*0.475*44/12</f>
        <v>2.25071874155263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6.6433139240690409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598.14</v>
      </c>
      <c r="BE96" s="14">
        <f>BD96*VLOOKUP('Données projet'!$B$11,Paramètres!$A$1:$I$89,3,0)*VLOOKUP('Données projet'!$B$11,Paramètres!$A$1:$I$89,5,0)</f>
        <v>578.52100799999994</v>
      </c>
      <c r="BF96" s="14">
        <f t="shared" si="91"/>
        <v>127.15611541885089</v>
      </c>
      <c r="BG96" s="22">
        <f t="shared" si="61"/>
        <v>1229.0543232878317</v>
      </c>
      <c r="BH96" s="62">
        <f t="shared" si="62"/>
        <v>1522.387656621165</v>
      </c>
      <c r="BI96" s="62">
        <f ca="1">AVERAGE(OFFSET($BH$3,0,0,'Données projet'!$E$11+1,1))-AVERAGE(OFFSET($H$3,0,0,'Données projet'!$E$11+1,1))</f>
        <v>643.38601112255424</v>
      </c>
      <c r="BJ96" s="62">
        <f t="shared" si="92"/>
        <v>572.76381622085694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6.3595267404440312</v>
      </c>
      <c r="BQ96" s="23">
        <f>EXP(-LN(2)/25)*BQ95+(1-EXP(-LN(2)/25))/(LN(2)/25)*Calculateur!BL96*Calculateur!BN96*VLOOKUP('Données projet'!$B$11,Paramètres!$A$1:$I$89,3,0)*0.475*44/12</f>
        <v>4.2350576772089878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10.594584417653019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505.23000000000025</v>
      </c>
      <c r="BZ96" s="14">
        <f>BY96*VLOOKUP('Données projet'!$B$12,Paramètres!$A$1:$I$89,3,0)*VLOOKUP('Données projet'!$B$12,Paramètres!$A$1:$I$89,5,0)</f>
        <v>338.90828400000015</v>
      </c>
      <c r="CA96" s="14">
        <f t="shared" si="93"/>
        <v>79.274348782791407</v>
      </c>
      <c r="CB96" s="22">
        <f t="shared" si="64"/>
        <v>728.33475209669507</v>
      </c>
      <c r="CC96" s="62">
        <f t="shared" si="65"/>
        <v>1021.6680854300284</v>
      </c>
      <c r="CD96" s="62">
        <f ca="1">AVERAGE(OFFSET($CC$3,0,0,'Données projet'!$E$12+1,1))-AVERAGE(OFFSET($H$3,0,0,'Données projet'!$E$12+1,1))</f>
        <v>323.41415875740768</v>
      </c>
      <c r="CE96" s="62">
        <f t="shared" si="94"/>
        <v>496.54020068152101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598.14</v>
      </c>
      <c r="CU96" s="18">
        <f>CT96*VLOOKUP('Données projet'!$B$13,Paramètres!$A$1:$I$89,3,0)*VLOOKUP('Données projet'!$B$13,Paramètres!$A$1:$I$89,5,0)</f>
        <v>643.837896</v>
      </c>
      <c r="CV96" s="14">
        <f t="shared" si="95"/>
        <v>139.76132574448636</v>
      </c>
      <c r="CW96" s="22">
        <f t="shared" si="67"/>
        <v>1364.7686445383138</v>
      </c>
      <c r="CX96" s="62">
        <f t="shared" si="68"/>
        <v>1658.101977871647</v>
      </c>
      <c r="CY96" s="62">
        <f ca="1">AVERAGE(OFFSET($CX$3,0,0,'Données projet'!$E$13+1,1))-AVERAGE(OFFSET($H$3,0,0,'Données projet'!$E$13+1,1))</f>
        <v>720.47588458554264</v>
      </c>
      <c r="CZ96" s="62">
        <f t="shared" si="96"/>
        <v>638.59686934821627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7.0775378240425519</v>
      </c>
      <c r="DG96" s="23">
        <f>EXP(-LN(2)/25)*DG95+(1-EXP(-LN(2)/25))/(LN(2)/25)*Calculateur!DB96*Calculateur!DD96*VLOOKUP('Données projet'!$B$13,Paramètres!$A$1:$I$89,3,0)*0.475*44/12</f>
        <v>4.7132093504422592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11.79074717448481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751.18</v>
      </c>
      <c r="O97" s="14">
        <f>N97*VLOOKUP('Données projet'!$B$9,Paramètres!$A$1:$I$89,3,0)*VLOOKUP('Données projet'!$B$9,Paramètres!$A$1:$I$89,5,0)</f>
        <v>351.55223999999993</v>
      </c>
      <c r="P97" s="14">
        <f t="shared" si="87"/>
        <v>81.882051211276618</v>
      </c>
      <c r="Q97" s="22">
        <f t="shared" si="54"/>
        <v>754.89805719297328</v>
      </c>
      <c r="R97" s="62">
        <f t="shared" si="55"/>
        <v>1048.2313905263065</v>
      </c>
      <c r="S97" s="62">
        <f ca="1">AVERAGE(OFFSET($R$3,0,0,'Données projet'!$E$9+1,1))-AVERAGE(OFFSET($H$3,0,0,'Données projet'!$E$9+1,1))</f>
        <v>309.95417097673084</v>
      </c>
      <c r="T97" s="62">
        <f t="shared" si="88"/>
        <v>170.83243426024433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6.1158578736268687</v>
      </c>
      <c r="AA97" s="23">
        <f>EXP(-LN(2)/25)*AA96+(1-EXP(-LN(2)/25))/(LN(2)/25)*Calculateur!V97*Calculateur!X97*VLOOKUP('Données projet'!$B$9,Paramètres!$A$1:$I$89,3,0)*0.475*44/12</f>
        <v>28.030757215778344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34.146615089405216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4.4499999999999984</v>
      </c>
      <c r="AI97" s="14">
        <f>IF('Données projet'!$A$62&gt;35,AI96+AH97-AQ96,IF(A97&lt;'Données projet'!$A$62,$AF$205^A97,IF(A97='Données projet'!$A$62,'Données projet'!$B$62,AI96+AH97-AQ96)))</f>
        <v>295.97999999999934</v>
      </c>
      <c r="AJ97" s="14">
        <f>AI97*VLOOKUP('Données projet'!$B$10,Paramètres!$A$1:$I$89,3,0)*VLOOKUP('Données projet'!$B$10,Paramètres!$A$1:$I$89,5,0)</f>
        <v>300.12371999999937</v>
      </c>
      <c r="AK97" s="14">
        <f t="shared" si="89"/>
        <v>71.202399317402566</v>
      </c>
      <c r="AL97" s="22">
        <f t="shared" si="58"/>
        <v>646.72632447780836</v>
      </c>
      <c r="AM97" s="62">
        <f t="shared" si="59"/>
        <v>940.05965781114173</v>
      </c>
      <c r="AN97" s="62">
        <f ca="1">AVERAGE(OFFSET($AM$3,0,0,'Données projet'!$E$10+1,1))-AVERAGE(OFFSET($H$3,0,0,'Données projet'!$E$10+1,1))</f>
        <v>408.65944152905672</v>
      </c>
      <c r="AO97" s="62">
        <f t="shared" si="90"/>
        <v>248.55239719988651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4.3064590702057748</v>
      </c>
      <c r="AV97" s="23">
        <f>EXP(-LN(2)/25)*AV96+(1-EXP(-LN(2)/25))/(LN(2)/25)*Calculateur!AQ97*Calculateur!AS97*VLOOKUP('Données projet'!$B$10,Paramètres!$A$1:$I$89,3,0)*0.475*44/12</f>
        <v>2.1891727192047186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6.4956317894104938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598.14</v>
      </c>
      <c r="BE97" s="14">
        <f>BD97*VLOOKUP('Données projet'!$B$11,Paramètres!$A$1:$I$89,3,0)*VLOOKUP('Données projet'!$B$11,Paramètres!$A$1:$I$89,5,0)</f>
        <v>578.52100799999994</v>
      </c>
      <c r="BF97" s="14">
        <f t="shared" si="91"/>
        <v>127.15611541885089</v>
      </c>
      <c r="BG97" s="22">
        <f t="shared" si="61"/>
        <v>1229.0543232878317</v>
      </c>
      <c r="BH97" s="62">
        <f t="shared" si="62"/>
        <v>1522.387656621165</v>
      </c>
      <c r="BI97" s="62">
        <f ca="1">AVERAGE(OFFSET($BH$3,0,0,'Données projet'!$E$11+1,1))-AVERAGE(OFFSET($H$3,0,0,'Données projet'!$E$11+1,1))</f>
        <v>643.38601112255424</v>
      </c>
      <c r="BJ97" s="62">
        <f t="shared" si="92"/>
        <v>572.76381622085694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6.2348202999922231</v>
      </c>
      <c r="BQ97" s="23">
        <f>EXP(-LN(2)/25)*BQ96+(1-EXP(-LN(2)/25))/(LN(2)/25)*Calculateur!BL97*Calculateur!BN97*VLOOKUP('Données projet'!$B$11,Paramètres!$A$1:$I$89,3,0)*0.475*44/12</f>
        <v>4.1192498023137043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10.354070102305927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505.23000000000025</v>
      </c>
      <c r="BZ97" s="14">
        <f>BY97*VLOOKUP('Données projet'!$B$12,Paramètres!$A$1:$I$89,3,0)*VLOOKUP('Données projet'!$B$12,Paramètres!$A$1:$I$89,5,0)</f>
        <v>338.90828400000015</v>
      </c>
      <c r="CA97" s="14">
        <f t="shared" si="93"/>
        <v>79.274348782791407</v>
      </c>
      <c r="CB97" s="22">
        <f t="shared" si="64"/>
        <v>728.33475209669507</v>
      </c>
      <c r="CC97" s="62">
        <f t="shared" si="65"/>
        <v>1021.6680854300284</v>
      </c>
      <c r="CD97" s="62">
        <f ca="1">AVERAGE(OFFSET($CC$3,0,0,'Données projet'!$E$12+1,1))-AVERAGE(OFFSET($H$3,0,0,'Données projet'!$E$12+1,1))</f>
        <v>323.41415875740768</v>
      </c>
      <c r="CE97" s="62">
        <f t="shared" si="94"/>
        <v>496.54020068152101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598.14</v>
      </c>
      <c r="CU97" s="18">
        <f>CT97*VLOOKUP('Données projet'!$B$13,Paramètres!$A$1:$I$89,3,0)*VLOOKUP('Données projet'!$B$13,Paramètres!$A$1:$I$89,5,0)</f>
        <v>643.837896</v>
      </c>
      <c r="CV97" s="14">
        <f t="shared" si="95"/>
        <v>139.76132574448636</v>
      </c>
      <c r="CW97" s="22">
        <f t="shared" si="67"/>
        <v>1364.7686445383138</v>
      </c>
      <c r="CX97" s="62">
        <f t="shared" si="68"/>
        <v>1658.101977871647</v>
      </c>
      <c r="CY97" s="62">
        <f ca="1">AVERAGE(OFFSET($CX$3,0,0,'Données projet'!$E$13+1,1))-AVERAGE(OFFSET($H$3,0,0,'Données projet'!$E$13+1,1))</f>
        <v>720.47588458554264</v>
      </c>
      <c r="CZ97" s="62">
        <f t="shared" si="96"/>
        <v>638.59686934821627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6.9387516241848948</v>
      </c>
      <c r="DG97" s="23">
        <f>EXP(-LN(2)/25)*DG96+(1-EXP(-LN(2)/25))/(LN(2)/25)*Calculateur!DB97*Calculateur!DD97*VLOOKUP('Données projet'!$B$13,Paramètres!$A$1:$I$89,3,0)*0.475*44/12</f>
        <v>4.5843263928975082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11.523078017082403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751.18</v>
      </c>
      <c r="O98" s="14">
        <f>N98*VLOOKUP('Données projet'!$B$9,Paramètres!$A$1:$I$89,3,0)*VLOOKUP('Données projet'!$B$9,Paramètres!$A$1:$I$89,5,0)</f>
        <v>351.55223999999993</v>
      </c>
      <c r="P98" s="14">
        <f t="shared" si="87"/>
        <v>81.882051211276618</v>
      </c>
      <c r="Q98" s="22">
        <f t="shared" si="54"/>
        <v>754.89805719297328</v>
      </c>
      <c r="R98" s="62">
        <f t="shared" si="55"/>
        <v>1048.2313905263065</v>
      </c>
      <c r="S98" s="62">
        <f ca="1">AVERAGE(OFFSET($R$3,0,0,'Données projet'!$E$9+1,1))-AVERAGE(OFFSET($H$3,0,0,'Données projet'!$E$9+1,1))</f>
        <v>309.95417097673084</v>
      </c>
      <c r="T98" s="62">
        <f t="shared" si="88"/>
        <v>170.83243426024433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5.9959296310300116</v>
      </c>
      <c r="AA98" s="23">
        <f>EXP(-LN(2)/25)*AA97+(1-EXP(-LN(2)/25))/(LN(2)/25)*Calculateur!V98*Calculateur!X98*VLOOKUP('Données projet'!$B$9,Paramètres!$A$1:$I$89,3,0)*0.475*44/12</f>
        <v>27.264254685639429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33.260184316669438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4.4499999999999984</v>
      </c>
      <c r="AI98" s="14">
        <f>IF('Données projet'!$A$62&gt;35,AI97+AH98-AQ97,IF(A98&lt;'Données projet'!$A$62,$AF$205^A98,IF(A98='Données projet'!$A$62,'Données projet'!$B$62,AI97+AH98-AQ97)))</f>
        <v>300.42999999999932</v>
      </c>
      <c r="AJ98" s="14">
        <f>AI98*VLOOKUP('Données projet'!$B$10,Paramètres!$A$1:$I$89,3,0)*VLOOKUP('Données projet'!$B$10,Paramètres!$A$1:$I$89,5,0)</f>
        <v>304.63601999999935</v>
      </c>
      <c r="AK98" s="14">
        <f t="shared" si="89"/>
        <v>72.147482221039724</v>
      </c>
      <c r="AL98" s="22">
        <f t="shared" si="58"/>
        <v>656.23126636830955</v>
      </c>
      <c r="AM98" s="62">
        <f t="shared" si="59"/>
        <v>949.56459970164292</v>
      </c>
      <c r="AN98" s="62">
        <f ca="1">AVERAGE(OFFSET($AM$3,0,0,'Données projet'!$E$10+1,1))-AVERAGE(OFFSET($H$3,0,0,'Données projet'!$E$10+1,1))</f>
        <v>408.65944152905672</v>
      </c>
      <c r="AO98" s="62">
        <f t="shared" si="90"/>
        <v>248.55239719988651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4.2220120345197092</v>
      </c>
      <c r="AV98" s="23">
        <f>EXP(-LN(2)/25)*AV97+(1-EXP(-LN(2)/25))/(LN(2)/25)*Calculateur!AQ98*Calculateur!AS98*VLOOKUP('Données projet'!$B$10,Paramètres!$A$1:$I$89,3,0)*0.475*44/12</f>
        <v>2.1293096760744756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6.3513217105941848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598.14</v>
      </c>
      <c r="BE98" s="14">
        <f>BD98*VLOOKUP('Données projet'!$B$11,Paramètres!$A$1:$I$89,3,0)*VLOOKUP('Données projet'!$B$11,Paramètres!$A$1:$I$89,5,0)</f>
        <v>578.52100799999994</v>
      </c>
      <c r="BF98" s="14">
        <f t="shared" si="91"/>
        <v>127.15611541885089</v>
      </c>
      <c r="BG98" s="22">
        <f t="shared" si="61"/>
        <v>1229.0543232878317</v>
      </c>
      <c r="BH98" s="62">
        <f t="shared" si="62"/>
        <v>1522.387656621165</v>
      </c>
      <c r="BI98" s="62">
        <f ca="1">AVERAGE(OFFSET($BH$3,0,0,'Données projet'!$E$11+1,1))-AVERAGE(OFFSET($H$3,0,0,'Données projet'!$E$11+1,1))</f>
        <v>643.38601112255424</v>
      </c>
      <c r="BJ98" s="62">
        <f t="shared" si="92"/>
        <v>572.76381622085694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6.1125592767742569</v>
      </c>
      <c r="BQ98" s="23">
        <f>EXP(-LN(2)/25)*BQ97+(1-EXP(-LN(2)/25))/(LN(2)/25)*Calculateur!BL98*Calculateur!BN98*VLOOKUP('Données projet'!$B$11,Paramètres!$A$1:$I$89,3,0)*0.475*44/12</f>
        <v>4.0066086998475035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10.11916797662176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505.23000000000025</v>
      </c>
      <c r="BZ98" s="14">
        <f>BY98*VLOOKUP('Données projet'!$B$12,Paramètres!$A$1:$I$89,3,0)*VLOOKUP('Données projet'!$B$12,Paramètres!$A$1:$I$89,5,0)</f>
        <v>338.90828400000015</v>
      </c>
      <c r="CA98" s="14">
        <f t="shared" si="93"/>
        <v>79.274348782791407</v>
      </c>
      <c r="CB98" s="22">
        <f t="shared" si="64"/>
        <v>728.33475209669507</v>
      </c>
      <c r="CC98" s="62">
        <f t="shared" si="65"/>
        <v>1021.6680854300284</v>
      </c>
      <c r="CD98" s="62">
        <f ca="1">AVERAGE(OFFSET($CC$3,0,0,'Données projet'!$E$12+1,1))-AVERAGE(OFFSET($H$3,0,0,'Données projet'!$E$12+1,1))</f>
        <v>323.41415875740768</v>
      </c>
      <c r="CE98" s="62">
        <f t="shared" si="94"/>
        <v>496.54020068152101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598.14</v>
      </c>
      <c r="CU98" s="18">
        <f>CT98*VLOOKUP('Données projet'!$B$13,Paramètres!$A$1:$I$89,3,0)*VLOOKUP('Données projet'!$B$13,Paramètres!$A$1:$I$89,5,0)</f>
        <v>643.837896</v>
      </c>
      <c r="CV98" s="14">
        <f t="shared" si="95"/>
        <v>139.76132574448636</v>
      </c>
      <c r="CW98" s="22">
        <f t="shared" si="67"/>
        <v>1364.7686445383138</v>
      </c>
      <c r="CX98" s="62">
        <f t="shared" si="68"/>
        <v>1658.101977871647</v>
      </c>
      <c r="CY98" s="62">
        <f ca="1">AVERAGE(OFFSET($CX$3,0,0,'Données projet'!$E$13+1,1))-AVERAGE(OFFSET($H$3,0,0,'Données projet'!$E$13+1,1))</f>
        <v>720.47588458554264</v>
      </c>
      <c r="CZ98" s="62">
        <f t="shared" si="96"/>
        <v>638.59686934821627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6.8026869370552223</v>
      </c>
      <c r="DG98" s="23">
        <f>EXP(-LN(2)/25)*DG97+(1-EXP(-LN(2)/25))/(LN(2)/25)*Calculateur!DB98*Calculateur!DD98*VLOOKUP('Données projet'!$B$13,Paramètres!$A$1:$I$89,3,0)*0.475*44/12</f>
        <v>4.4589677466044781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11.2616546836597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751.18</v>
      </c>
      <c r="O99" s="14">
        <f>N99*VLOOKUP('Données projet'!$B$9,Paramètres!$A$1:$I$89,3,0)*VLOOKUP('Données projet'!$B$9,Paramètres!$A$1:$I$89,5,0)</f>
        <v>351.55223999999993</v>
      </c>
      <c r="P99" s="14">
        <f t="shared" si="87"/>
        <v>81.882051211276618</v>
      </c>
      <c r="Q99" s="22">
        <f t="shared" ref="Q99:Q130" si="107">(O99+P99)*0.475*44/12</f>
        <v>754.89805719297328</v>
      </c>
      <c r="R99" s="62">
        <f t="shared" si="55"/>
        <v>1048.2313905263065</v>
      </c>
      <c r="S99" s="62">
        <f ca="1">AVERAGE(OFFSET($R$3,0,0,'Données projet'!$E$9+1,1))-AVERAGE(OFFSET($H$3,0,0,'Données projet'!$E$9+1,1))</f>
        <v>309.95417097673084</v>
      </c>
      <c r="T99" s="62">
        <f t="shared" si="88"/>
        <v>170.83243426024433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5.8783531081214742</v>
      </c>
      <c r="AA99" s="23">
        <f>EXP(-LN(2)/25)*AA98+(1-EXP(-LN(2)/25))/(LN(2)/25)*Calculateur!V99*Calculateur!X99*VLOOKUP('Données projet'!$B$9,Paramètres!$A$1:$I$89,3,0)*0.475*44/12</f>
        <v>26.518712207495778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32.397065315617255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4.4499999999999984</v>
      </c>
      <c r="AI99" s="14">
        <f>IF('Données projet'!$A$62&gt;35,AI98+AH99-AQ98,IF(A99&lt;'Données projet'!$A$62,$AF$205^A99,IF(A99='Données projet'!$A$62,'Données projet'!$B$62,AI98+AH99-AQ98)))</f>
        <v>304.87999999999931</v>
      </c>
      <c r="AJ99" s="14">
        <f>AI99*VLOOKUP('Données projet'!$B$10,Paramètres!$A$1:$I$89,3,0)*VLOOKUP('Données projet'!$B$10,Paramètres!$A$1:$I$89,5,0)</f>
        <v>309.14831999999933</v>
      </c>
      <c r="AK99" s="14">
        <f t="shared" si="89"/>
        <v>73.090937021004052</v>
      </c>
      <c r="AL99" s="22">
        <f t="shared" si="58"/>
        <v>665.7333726449142</v>
      </c>
      <c r="AM99" s="62">
        <f t="shared" si="59"/>
        <v>959.06670597824746</v>
      </c>
      <c r="AN99" s="62">
        <f ca="1">AVERAGE(OFFSET($AM$3,0,0,'Données projet'!$E$10+1,1))-AVERAGE(OFFSET($H$3,0,0,'Données projet'!$E$10+1,1))</f>
        <v>408.65944152905672</v>
      </c>
      <c r="AO99" s="62">
        <f t="shared" si="90"/>
        <v>248.55239719988651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4.1392209536958413</v>
      </c>
      <c r="AV99" s="23">
        <f>EXP(-LN(2)/25)*AV98+(1-EXP(-LN(2)/25))/(LN(2)/25)*Calculateur!AQ99*Calculateur!AS99*VLOOKUP('Données projet'!$B$10,Paramètres!$A$1:$I$89,3,0)*0.475*44/12</f>
        <v>2.07108359100669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6.2103045447025309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598.14</v>
      </c>
      <c r="BE99" s="14">
        <f>BD99*VLOOKUP('Données projet'!$B$11,Paramètres!$A$1:$I$89,3,0)*VLOOKUP('Données projet'!$B$11,Paramètres!$A$1:$I$89,5,0)</f>
        <v>578.52100799999994</v>
      </c>
      <c r="BF99" s="14">
        <f t="shared" si="91"/>
        <v>127.15611541885089</v>
      </c>
      <c r="BG99" s="22">
        <f t="shared" si="61"/>
        <v>1229.0543232878317</v>
      </c>
      <c r="BH99" s="62">
        <f t="shared" si="62"/>
        <v>1522.387656621165</v>
      </c>
      <c r="BI99" s="62">
        <f ca="1">AVERAGE(OFFSET($BH$3,0,0,'Données projet'!$E$11+1,1))-AVERAGE(OFFSET($H$3,0,0,'Données projet'!$E$11+1,1))</f>
        <v>643.38601112255424</v>
      </c>
      <c r="BJ99" s="62">
        <f t="shared" si="92"/>
        <v>572.76381622085694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5.9926957176497346</v>
      </c>
      <c r="BQ99" s="23">
        <f>EXP(-LN(2)/25)*BQ98+(1-EXP(-LN(2)/25))/(LN(2)/25)*Calculateur!BL99*Calculateur!BN99*VLOOKUP('Données projet'!$B$11,Paramètres!$A$1:$I$89,3,0)*0.475*44/12</f>
        <v>3.8970477742517793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9.8897434919015144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505.23000000000025</v>
      </c>
      <c r="BZ99" s="14">
        <f>BY99*VLOOKUP('Données projet'!$B$12,Paramètres!$A$1:$I$89,3,0)*VLOOKUP('Données projet'!$B$12,Paramètres!$A$1:$I$89,5,0)</f>
        <v>338.90828400000015</v>
      </c>
      <c r="CA99" s="14">
        <f t="shared" si="93"/>
        <v>79.274348782791407</v>
      </c>
      <c r="CB99" s="22">
        <f t="shared" si="64"/>
        <v>728.33475209669507</v>
      </c>
      <c r="CC99" s="62">
        <f t="shared" si="65"/>
        <v>1021.6680854300284</v>
      </c>
      <c r="CD99" s="62">
        <f ca="1">AVERAGE(OFFSET($CC$3,0,0,'Données projet'!$E$12+1,1))-AVERAGE(OFFSET($H$3,0,0,'Données projet'!$E$12+1,1))</f>
        <v>323.41415875740768</v>
      </c>
      <c r="CE99" s="62">
        <f t="shared" si="94"/>
        <v>496.54020068152101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598.14</v>
      </c>
      <c r="CU99" s="18">
        <f>CT99*VLOOKUP('Données projet'!$B$13,Paramètres!$A$1:$I$89,3,0)*VLOOKUP('Données projet'!$B$13,Paramètres!$A$1:$I$89,5,0)</f>
        <v>643.837896</v>
      </c>
      <c r="CV99" s="14">
        <f t="shared" si="95"/>
        <v>139.76132574448636</v>
      </c>
      <c r="CW99" s="22">
        <f t="shared" si="67"/>
        <v>1364.7686445383138</v>
      </c>
      <c r="CX99" s="62">
        <f t="shared" si="68"/>
        <v>1658.101977871647</v>
      </c>
      <c r="CY99" s="62">
        <f ca="1">AVERAGE(OFFSET($CX$3,0,0,'Données projet'!$E$13+1,1))-AVERAGE(OFFSET($H$3,0,0,'Données projet'!$E$13+1,1))</f>
        <v>720.47588458554264</v>
      </c>
      <c r="CZ99" s="62">
        <f t="shared" si="96"/>
        <v>638.59686934821627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6.6692903954488987</v>
      </c>
      <c r="DG99" s="23">
        <f>EXP(-LN(2)/25)*DG98+(1-EXP(-LN(2)/25))/(LN(2)/25)*Calculateur!DB99*Calculateur!DD99*VLOOKUP('Données projet'!$B$13,Paramètres!$A$1:$I$89,3,0)*0.475*44/12</f>
        <v>4.3370370390866562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11.006327434535555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751.18</v>
      </c>
      <c r="O100" s="14">
        <f>N100*VLOOKUP('Données projet'!$B$9,Paramètres!$A$1:$I$89,3,0)*VLOOKUP('Données projet'!$B$9,Paramètres!$A$1:$I$89,5,0)</f>
        <v>351.55223999999993</v>
      </c>
      <c r="P100" s="14">
        <f t="shared" si="87"/>
        <v>81.882051211276618</v>
      </c>
      <c r="Q100" s="22">
        <f t="shared" si="107"/>
        <v>754.89805719297328</v>
      </c>
      <c r="R100" s="62">
        <f t="shared" si="55"/>
        <v>1048.2313905263065</v>
      </c>
      <c r="S100" s="62">
        <f ca="1">AVERAGE(OFFSET($R$3,0,0,'Données projet'!$E$9+1,1))-AVERAGE(OFFSET($H$3,0,0,'Données projet'!$E$9+1,1))</f>
        <v>309.95417097673084</v>
      </c>
      <c r="T100" s="62">
        <f t="shared" si="88"/>
        <v>170.83243426024433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5.7630821891125752</v>
      </c>
      <c r="AA100" s="23">
        <f>EXP(-LN(2)/25)*AA99+(1-EXP(-LN(2)/25))/(LN(2)/25)*Calculateur!V100*Calculateur!X100*VLOOKUP('Données projet'!$B$9,Paramètres!$A$1:$I$89,3,0)*0.475*44/12</f>
        <v>25.793556627623339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31.556638816735912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>
        <f>VLOOKUP(A100,'Données projet'!$A$61:$I$81,2,0)</f>
        <v>309.33</v>
      </c>
      <c r="AG100" s="13">
        <f>VLOOKUP(A100,'Données projet'!$A$61:$I$81,9,0)</f>
        <v>4.4499999999999984</v>
      </c>
      <c r="AH100" s="13">
        <f t="array" ref="AH100">INDEX(AG:AG,MIN(IF(ISNUMBER(AG100:AG296),ROW(AG100:AG296),"")))</f>
        <v>4.4499999999999984</v>
      </c>
      <c r="AI100" s="14">
        <f>IF('Données projet'!$A$62&gt;35,AI99+AH100-AQ99,IF(A100&lt;'Données projet'!$A$62,$AF$205^A100,IF(A100='Données projet'!$A$62,'Données projet'!$B$62,AI99+AH100-AQ99)))</f>
        <v>309.3299999999993</v>
      </c>
      <c r="AJ100" s="14">
        <f>AI100*VLOOKUP('Données projet'!$B$10,Paramètres!$A$1:$I$89,3,0)*VLOOKUP('Données projet'!$B$10,Paramètres!$A$1:$I$89,5,0)</f>
        <v>313.66061999999931</v>
      </c>
      <c r="AK100" s="14">
        <f t="shared" si="89"/>
        <v>74.032790226404629</v>
      </c>
      <c r="AL100" s="22">
        <f t="shared" si="58"/>
        <v>675.23268947765348</v>
      </c>
      <c r="AM100" s="62">
        <f t="shared" si="59"/>
        <v>968.56602281098685</v>
      </c>
      <c r="AN100" s="62">
        <f ca="1">AVERAGE(OFFSET($AM$3,0,0,'Données projet'!$E$10+1,1))-AVERAGE(OFFSET($H$3,0,0,'Données projet'!$E$10+1,1))</f>
        <v>408.65944152905672</v>
      </c>
      <c r="AO100" s="62">
        <f t="shared" si="90"/>
        <v>248.55239719988651</v>
      </c>
      <c r="AP100" s="16">
        <f>IF(ISNA(VLOOKUP(A100,'Données projet'!$A$61:$I$81,3,0)),0,VLOOKUP(A100,'Données projet'!$A$61:$I$81,3,0))</f>
        <v>8</v>
      </c>
      <c r="AQ100" s="16">
        <f>IF(ISNA(VLOOKUP(A100,'Données projet'!$A$61:$I$81,4,0)),0,VLOOKUP(A100,'Données projet'!$A$61:$I$81,4,0))</f>
        <v>30.93</v>
      </c>
      <c r="AR100" s="17">
        <f>IF(ISNA(VLOOKUP(A100,'Données projet'!$A$61:$I$81,5,0)),0%,VLOOKUP(A100,'Données projet'!$A$61:$I$81,5,0)*VLOOKUP('Données projet'!$B$10,Paramètres!$A$1:$I$89,7,0))</f>
        <v>7.3099999999999998E-2</v>
      </c>
      <c r="AS100" s="17">
        <f>IF(ISNA(VLOOKUP(A100,'Données projet'!$A$61:$I$81,6,0)),0%,VLOOKUP(A100,'Données projet'!$A$61:$I$81,6,0)*VLOOKUP('Données projet'!$B$10,Paramètres!$A$1:$I$89,7,0))</f>
        <v>4.7300000000000002E-2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6.5924953868886904</v>
      </c>
      <c r="AV100" s="23">
        <f>EXP(-LN(2)/25)*AV99+(1-EXP(-LN(2)/25))/(LN(2)/25)*Calculateur!AQ100*Calculateur!AS100*VLOOKUP('Données projet'!$B$10,Paramètres!$A$1:$I$89,3,0)*0.475*44/12</f>
        <v>3.6479257390546262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10.240421125943318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598.14</v>
      </c>
      <c r="BE100" s="14">
        <f>BD100*VLOOKUP('Données projet'!$B$11,Paramètres!$A$1:$I$89,3,0)*VLOOKUP('Données projet'!$B$11,Paramètres!$A$1:$I$89,5,0)</f>
        <v>578.52100799999994</v>
      </c>
      <c r="BF100" s="14">
        <f t="shared" si="91"/>
        <v>127.15611541885089</v>
      </c>
      <c r="BG100" s="22">
        <f t="shared" si="61"/>
        <v>1229.0543232878317</v>
      </c>
      <c r="BH100" s="62">
        <f t="shared" si="62"/>
        <v>1522.387656621165</v>
      </c>
      <c r="BI100" s="62">
        <f ca="1">AVERAGE(OFFSET($BH$3,0,0,'Données projet'!$E$11+1,1))-AVERAGE(OFFSET($H$3,0,0,'Données projet'!$E$11+1,1))</f>
        <v>643.38601112255424</v>
      </c>
      <c r="BJ100" s="62">
        <f t="shared" si="92"/>
        <v>572.76381622085694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5.8751826098100919</v>
      </c>
      <c r="BQ100" s="23">
        <f>EXP(-LN(2)/25)*BQ99+(1-EXP(-LN(2)/25))/(LN(2)/25)*Calculateur!BL100*Calculateur!BN100*VLOOKUP('Données projet'!$B$11,Paramètres!$A$1:$I$89,3,0)*0.475*44/12</f>
        <v>3.7904827979280289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9.6656654077381212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505.23000000000025</v>
      </c>
      <c r="BZ100" s="14">
        <f>BY100*VLOOKUP('Données projet'!$B$12,Paramètres!$A$1:$I$89,3,0)*VLOOKUP('Données projet'!$B$12,Paramètres!$A$1:$I$89,5,0)</f>
        <v>338.90828400000015</v>
      </c>
      <c r="CA100" s="14">
        <f t="shared" si="93"/>
        <v>79.274348782791407</v>
      </c>
      <c r="CB100" s="22">
        <f t="shared" si="64"/>
        <v>728.33475209669507</v>
      </c>
      <c r="CC100" s="62">
        <f t="shared" si="65"/>
        <v>1021.6680854300284</v>
      </c>
      <c r="CD100" s="62">
        <f ca="1">AVERAGE(OFFSET($CC$3,0,0,'Données projet'!$E$12+1,1))-AVERAGE(OFFSET($H$3,0,0,'Données projet'!$E$12+1,1))</f>
        <v>323.41415875740768</v>
      </c>
      <c r="CE100" s="62">
        <f t="shared" si="94"/>
        <v>496.54020068152101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598.14</v>
      </c>
      <c r="CU100" s="18">
        <f>CT100*VLOOKUP('Données projet'!$B$13,Paramètres!$A$1:$I$89,3,0)*VLOOKUP('Données projet'!$B$13,Paramètres!$A$1:$I$89,5,0)</f>
        <v>643.837896</v>
      </c>
      <c r="CV100" s="14">
        <f t="shared" si="95"/>
        <v>139.76132574448636</v>
      </c>
      <c r="CW100" s="22">
        <f t="shared" si="67"/>
        <v>1364.7686445383138</v>
      </c>
      <c r="CX100" s="62">
        <f t="shared" si="68"/>
        <v>1658.101977871647</v>
      </c>
      <c r="CY100" s="62">
        <f ca="1">AVERAGE(OFFSET($CX$3,0,0,'Données projet'!$E$13+1,1))-AVERAGE(OFFSET($H$3,0,0,'Données projet'!$E$13+1,1))</f>
        <v>720.47588458554264</v>
      </c>
      <c r="CZ100" s="62">
        <f t="shared" si="96"/>
        <v>638.59686934821627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6.5385096786596186</v>
      </c>
      <c r="DG100" s="23">
        <f>EXP(-LN(2)/25)*DG99+(1-EXP(-LN(2)/25))/(LN(2)/25)*Calculateur!DB100*Calculateur!DD100*VLOOKUP('Données projet'!$B$13,Paramètres!$A$1:$I$89,3,0)*0.475*44/12</f>
        <v>4.218440533177966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10.756950211837584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751.18</v>
      </c>
      <c r="O101" s="14">
        <f>N101*VLOOKUP('Données projet'!$B$9,Paramètres!$A$1:$I$89,3,0)*VLOOKUP('Données projet'!$B$9,Paramètres!$A$1:$I$89,5,0)</f>
        <v>351.55223999999993</v>
      </c>
      <c r="P101" s="14">
        <f t="shared" si="87"/>
        <v>81.882051211276618</v>
      </c>
      <c r="Q101" s="22">
        <f t="shared" si="107"/>
        <v>754.89805719297328</v>
      </c>
      <c r="R101" s="62">
        <f t="shared" si="55"/>
        <v>1048.2313905263065</v>
      </c>
      <c r="S101" s="62">
        <f ca="1">AVERAGE(OFFSET($R$3,0,0,'Données projet'!$E$9+1,1))-AVERAGE(OFFSET($H$3,0,0,'Données projet'!$E$9+1,1))</f>
        <v>309.95417097673084</v>
      </c>
      <c r="T101" s="62">
        <f t="shared" si="88"/>
        <v>170.83243426024433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5.6500716625171226</v>
      </c>
      <c r="AA101" s="23">
        <f>EXP(-LN(2)/25)*AA100+(1-EXP(-LN(2)/25))/(LN(2)/25)*Calculateur!V101*Calculateur!X101*VLOOKUP('Données projet'!$B$9,Paramètres!$A$1:$I$89,3,0)*0.475*44/12</f>
        <v>25.088230465216789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30.73830212773391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4.4500000000000028</v>
      </c>
      <c r="AI101" s="14">
        <f>IF('Données projet'!$A$62&gt;35,AI100+AH101-AQ100,IF(A101&lt;'Données projet'!$A$62,$AF$205^A101,IF(A101='Données projet'!$A$62,'Données projet'!$B$62,AI100+AH101-AQ100)))</f>
        <v>282.84999999999928</v>
      </c>
      <c r="AJ101" s="14">
        <f>AI101*VLOOKUP('Données projet'!$B$10,Paramètres!$A$1:$I$89,3,0)*VLOOKUP('Données projet'!$B$10,Paramètres!$A$1:$I$89,5,0)</f>
        <v>286.80989999999929</v>
      </c>
      <c r="AK101" s="14">
        <f t="shared" si="89"/>
        <v>68.404117650153026</v>
      </c>
      <c r="AL101" s="22">
        <f t="shared" si="58"/>
        <v>618.66441407401521</v>
      </c>
      <c r="AM101" s="62">
        <f t="shared" si="59"/>
        <v>911.99774740734847</v>
      </c>
      <c r="AN101" s="62">
        <f ca="1">AVERAGE(OFFSET($AM$3,0,0,'Données projet'!$E$10+1,1))-AVERAGE(OFFSET($H$3,0,0,'Données projet'!$E$10+1,1))</f>
        <v>408.65944152905672</v>
      </c>
      <c r="AO101" s="62">
        <f t="shared" si="90"/>
        <v>248.55239719988651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6.4632205733769457</v>
      </c>
      <c r="AV101" s="23">
        <f>EXP(-LN(2)/25)*AV100+(1-EXP(-LN(2)/25))/(LN(2)/25)*Calculateur!AQ101*Calculateur!AS101*VLOOKUP('Données projet'!$B$10,Paramètres!$A$1:$I$89,3,0)*0.475*44/12</f>
        <v>3.5481730178841002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10.011393591261045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598.14</v>
      </c>
      <c r="BE101" s="14">
        <f>BD101*VLOOKUP('Données projet'!$B$11,Paramètres!$A$1:$I$89,3,0)*VLOOKUP('Données projet'!$B$11,Paramètres!$A$1:$I$89,5,0)</f>
        <v>578.52100799999994</v>
      </c>
      <c r="BF101" s="14">
        <f t="shared" si="91"/>
        <v>127.15611541885089</v>
      </c>
      <c r="BG101" s="22">
        <f t="shared" si="61"/>
        <v>1229.0543232878317</v>
      </c>
      <c r="BH101" s="62">
        <f t="shared" si="62"/>
        <v>1522.387656621165</v>
      </c>
      <c r="BI101" s="62">
        <f ca="1">AVERAGE(OFFSET($BH$3,0,0,'Données projet'!$E$11+1,1))-AVERAGE(OFFSET($H$3,0,0,'Données projet'!$E$11+1,1))</f>
        <v>643.38601112255424</v>
      </c>
      <c r="BJ101" s="62">
        <f t="shared" si="92"/>
        <v>572.76381622085694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5.7599738623392662</v>
      </c>
      <c r="BQ101" s="23">
        <f>EXP(-LN(2)/25)*BQ100+(1-EXP(-LN(2)/25))/(LN(2)/25)*Calculateur!BL101*Calculateur!BN101*VLOOKUP('Données projet'!$B$11,Paramètres!$A$1:$I$89,3,0)*0.475*44/12</f>
        <v>3.6868318464858598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9.446805708825126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505.23000000000025</v>
      </c>
      <c r="BZ101" s="14">
        <f>BY101*VLOOKUP('Données projet'!$B$12,Paramètres!$A$1:$I$89,3,0)*VLOOKUP('Données projet'!$B$12,Paramètres!$A$1:$I$89,5,0)</f>
        <v>338.90828400000015</v>
      </c>
      <c r="CA101" s="14">
        <f t="shared" si="93"/>
        <v>79.274348782791407</v>
      </c>
      <c r="CB101" s="22">
        <f t="shared" si="64"/>
        <v>728.33475209669507</v>
      </c>
      <c r="CC101" s="62">
        <f t="shared" si="65"/>
        <v>1021.6680854300284</v>
      </c>
      <c r="CD101" s="62">
        <f ca="1">AVERAGE(OFFSET($CC$3,0,0,'Données projet'!$E$12+1,1))-AVERAGE(OFFSET($H$3,0,0,'Données projet'!$E$12+1,1))</f>
        <v>323.41415875740768</v>
      </c>
      <c r="CE101" s="62">
        <f t="shared" si="94"/>
        <v>496.54020068152101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598.14</v>
      </c>
      <c r="CU101" s="18">
        <f>CT101*VLOOKUP('Données projet'!$B$13,Paramètres!$A$1:$I$89,3,0)*VLOOKUP('Données projet'!$B$13,Paramètres!$A$1:$I$89,5,0)</f>
        <v>643.837896</v>
      </c>
      <c r="CV101" s="14">
        <f t="shared" si="95"/>
        <v>139.76132574448636</v>
      </c>
      <c r="CW101" s="22">
        <f t="shared" si="67"/>
        <v>1364.7686445383138</v>
      </c>
      <c r="CX101" s="62">
        <f t="shared" si="68"/>
        <v>1658.101977871647</v>
      </c>
      <c r="CY101" s="62">
        <f ca="1">AVERAGE(OFFSET($CX$3,0,0,'Données projet'!$E$13+1,1))-AVERAGE(OFFSET($H$3,0,0,'Données projet'!$E$13+1,1))</f>
        <v>720.47588458554264</v>
      </c>
      <c r="CZ101" s="62">
        <f t="shared" si="96"/>
        <v>638.59686934821627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6.4102934919582157</v>
      </c>
      <c r="DG101" s="23">
        <f>EXP(-LN(2)/25)*DG100+(1-EXP(-LN(2)/25))/(LN(2)/25)*Calculateur!DB101*Calculateur!DD101*VLOOKUP('Données projet'!$B$13,Paramètres!$A$1:$I$89,3,0)*0.475*44/12</f>
        <v>4.103087054960068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10.513380546918285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751.18</v>
      </c>
      <c r="O102" s="14">
        <f>N102*VLOOKUP('Données projet'!$B$9,Paramètres!$A$1:$I$89,3,0)*VLOOKUP('Données projet'!$B$9,Paramètres!$A$1:$I$89,5,0)</f>
        <v>351.55223999999993</v>
      </c>
      <c r="P102" s="14">
        <f t="shared" si="87"/>
        <v>81.882051211276618</v>
      </c>
      <c r="Q102" s="22">
        <f t="shared" si="107"/>
        <v>754.89805719297328</v>
      </c>
      <c r="R102" s="62">
        <f t="shared" si="55"/>
        <v>1048.2313905263065</v>
      </c>
      <c r="S102" s="62">
        <f ca="1">AVERAGE(OFFSET($R$3,0,0,'Données projet'!$E$9+1,1))-AVERAGE(OFFSET($H$3,0,0,'Données projet'!$E$9+1,1))</f>
        <v>309.95417097673084</v>
      </c>
      <c r="T102" s="62">
        <f t="shared" si="88"/>
        <v>170.83243426024433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5.5392772034185915</v>
      </c>
      <c r="AA102" s="23">
        <f>EXP(-LN(2)/25)*AA101+(1-EXP(-LN(2)/25))/(LN(2)/25)*Calculateur!V102*Calculateur!X102*VLOOKUP('Données projet'!$B$9,Paramètres!$A$1:$I$89,3,0)*0.475*44/12</f>
        <v>24.402191483812736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29.941468687231328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4.4500000000000028</v>
      </c>
      <c r="AI102" s="14">
        <f>IF('Données projet'!$A$62&gt;35,AI101+AH102-AQ101,IF(A102&lt;'Données projet'!$A$62,$AF$205^A102,IF(A102='Données projet'!$A$62,'Données projet'!$B$62,AI101+AH102-AQ101)))</f>
        <v>287.29999999999927</v>
      </c>
      <c r="AJ102" s="14">
        <f>AI102*VLOOKUP('Données projet'!$B$10,Paramètres!$A$1:$I$89,3,0)*VLOOKUP('Données projet'!$B$10,Paramètres!$A$1:$I$89,5,0)</f>
        <v>291.32219999999927</v>
      </c>
      <c r="AK102" s="14">
        <f t="shared" si="89"/>
        <v>69.354167185765021</v>
      </c>
      <c r="AL102" s="22">
        <f t="shared" si="58"/>
        <v>628.17800618187289</v>
      </c>
      <c r="AM102" s="62">
        <f t="shared" si="59"/>
        <v>921.51133951520615</v>
      </c>
      <c r="AN102" s="62">
        <f ca="1">AVERAGE(OFFSET($AM$3,0,0,'Données projet'!$E$10+1,1))-AVERAGE(OFFSET($H$3,0,0,'Données projet'!$E$10+1,1))</f>
        <v>408.65944152905672</v>
      </c>
      <c r="AO102" s="62">
        <f t="shared" si="90"/>
        <v>248.55239719988651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6.3364807601083157</v>
      </c>
      <c r="AV102" s="23">
        <f>EXP(-LN(2)/25)*AV101+(1-EXP(-LN(2)/25))/(LN(2)/25)*Calculateur!AQ102*Calculateur!AS102*VLOOKUP('Données projet'!$B$10,Paramètres!$A$1:$I$89,3,0)*0.475*44/12</f>
        <v>3.4511480401197501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9.7876288002280667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598.14</v>
      </c>
      <c r="BE102" s="14">
        <f>BD102*VLOOKUP('Données projet'!$B$11,Paramètres!$A$1:$I$89,3,0)*VLOOKUP('Données projet'!$B$11,Paramètres!$A$1:$I$89,5,0)</f>
        <v>578.52100799999994</v>
      </c>
      <c r="BF102" s="14">
        <f t="shared" si="91"/>
        <v>127.15611541885089</v>
      </c>
      <c r="BG102" s="22">
        <f t="shared" si="61"/>
        <v>1229.0543232878317</v>
      </c>
      <c r="BH102" s="62">
        <f t="shared" si="62"/>
        <v>1522.387656621165</v>
      </c>
      <c r="BI102" s="62">
        <f ca="1">AVERAGE(OFFSET($BH$3,0,0,'Données projet'!$E$11+1,1))-AVERAGE(OFFSET($H$3,0,0,'Données projet'!$E$11+1,1))</f>
        <v>643.38601112255424</v>
      </c>
      <c r="BJ102" s="62">
        <f t="shared" si="92"/>
        <v>572.76381622085694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5.6470242881359463</v>
      </c>
      <c r="BQ102" s="23">
        <f>EXP(-LN(2)/25)*BQ101+(1-EXP(-LN(2)/25))/(LN(2)/25)*Calculateur!BL102*Calculateur!BN102*VLOOKUP('Données projet'!$B$11,Paramètres!$A$1:$I$89,3,0)*0.475*44/12</f>
        <v>3.5860152357616437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9.23303952389759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505.23000000000025</v>
      </c>
      <c r="BZ102" s="14">
        <f>BY102*VLOOKUP('Données projet'!$B$12,Paramètres!$A$1:$I$89,3,0)*VLOOKUP('Données projet'!$B$12,Paramètres!$A$1:$I$89,5,0)</f>
        <v>338.90828400000015</v>
      </c>
      <c r="CA102" s="14">
        <f t="shared" si="93"/>
        <v>79.274348782791407</v>
      </c>
      <c r="CB102" s="22">
        <f t="shared" si="64"/>
        <v>728.33475209669507</v>
      </c>
      <c r="CC102" s="62">
        <f t="shared" si="65"/>
        <v>1021.6680854300284</v>
      </c>
      <c r="CD102" s="62">
        <f ca="1">AVERAGE(OFFSET($CC$3,0,0,'Données projet'!$E$12+1,1))-AVERAGE(OFFSET($H$3,0,0,'Données projet'!$E$12+1,1))</f>
        <v>323.41415875740768</v>
      </c>
      <c r="CE102" s="62">
        <f t="shared" si="94"/>
        <v>496.54020068152101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598.14</v>
      </c>
      <c r="CU102" s="18">
        <f>CT102*VLOOKUP('Données projet'!$B$13,Paramètres!$A$1:$I$89,3,0)*VLOOKUP('Données projet'!$B$13,Paramètres!$A$1:$I$89,5,0)</f>
        <v>643.837896</v>
      </c>
      <c r="CV102" s="14">
        <f t="shared" si="95"/>
        <v>139.76132574448636</v>
      </c>
      <c r="CW102" s="22">
        <f t="shared" si="67"/>
        <v>1364.7686445383138</v>
      </c>
      <c r="CX102" s="62">
        <f t="shared" si="68"/>
        <v>1658.101977871647</v>
      </c>
      <c r="CY102" s="62">
        <f ca="1">AVERAGE(OFFSET($CX$3,0,0,'Données projet'!$E$13+1,1))-AVERAGE(OFFSET($H$3,0,0,'Données projet'!$E$13+1,1))</f>
        <v>720.47588458554264</v>
      </c>
      <c r="CZ102" s="62">
        <f t="shared" si="96"/>
        <v>638.59686934821627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6.2845915464738757</v>
      </c>
      <c r="DG102" s="23">
        <f>EXP(-LN(2)/25)*DG101+(1-EXP(-LN(2)/25))/(LN(2)/25)*Calculateur!DB102*Calculateur!DD102*VLOOKUP('Données projet'!$B$13,Paramètres!$A$1:$I$89,3,0)*0.475*44/12</f>
        <v>3.9908879236702144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10.27547947014409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751.18</v>
      </c>
      <c r="O103" s="14">
        <f>N103*VLOOKUP('Données projet'!$B$9,Paramètres!$A$1:$I$89,3,0)*VLOOKUP('Données projet'!$B$9,Paramètres!$A$1:$I$89,5,0)</f>
        <v>351.55223999999993</v>
      </c>
      <c r="P103" s="14">
        <f t="shared" si="87"/>
        <v>81.882051211276618</v>
      </c>
      <c r="Q103" s="22">
        <f t="shared" si="107"/>
        <v>754.89805719297328</v>
      </c>
      <c r="R103" s="62">
        <f t="shared" si="55"/>
        <v>1048.2313905263065</v>
      </c>
      <c r="S103" s="62">
        <f ca="1">AVERAGE(OFFSET($R$3,0,0,'Données projet'!$E$9+1,1))-AVERAGE(OFFSET($H$3,0,0,'Données projet'!$E$9+1,1))</f>
        <v>309.95417097673084</v>
      </c>
      <c r="T103" s="62">
        <f t="shared" si="88"/>
        <v>170.83243426024433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5.4306553560850359</v>
      </c>
      <c r="AA103" s="23">
        <f>EXP(-LN(2)/25)*AA102+(1-EXP(-LN(2)/25))/(LN(2)/25)*Calculateur!V103*Calculateur!X103*VLOOKUP('Données projet'!$B$9,Paramètres!$A$1:$I$89,3,0)*0.475*44/12</f>
        <v>23.7349122744324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29.165567630517437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4.4500000000000028</v>
      </c>
      <c r="AI103" s="14">
        <f>IF('Données projet'!$A$62&gt;35,AI102+AH103-AQ102,IF(A103&lt;'Données projet'!$A$62,$AF$205^A103,IF(A103='Données projet'!$A$62,'Données projet'!$B$62,AI102+AH103-AQ102)))</f>
        <v>291.74999999999926</v>
      </c>
      <c r="AJ103" s="14">
        <f>AI103*VLOOKUP('Données projet'!$B$10,Paramètres!$A$1:$I$89,3,0)*VLOOKUP('Données projet'!$B$10,Paramètres!$A$1:$I$89,5,0)</f>
        <v>295.83449999999931</v>
      </c>
      <c r="AK103" s="14">
        <f t="shared" si="89"/>
        <v>70.302505325288479</v>
      </c>
      <c r="AL103" s="22">
        <f t="shared" si="58"/>
        <v>637.68861760820948</v>
      </c>
      <c r="AM103" s="62">
        <f t="shared" si="59"/>
        <v>931.02195094154285</v>
      </c>
      <c r="AN103" s="62">
        <f ca="1">AVERAGE(OFFSET($AM$3,0,0,'Données projet'!$E$10+1,1))-AVERAGE(OFFSET($H$3,0,0,'Données projet'!$E$10+1,1))</f>
        <v>408.65944152905672</v>
      </c>
      <c r="AO103" s="62">
        <f t="shared" si="90"/>
        <v>248.55239719988651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6.2122262372742307</v>
      </c>
      <c r="AV103" s="23">
        <f>EXP(-LN(2)/25)*AV102+(1-EXP(-LN(2)/25))/(LN(2)/25)*Calculateur!AQ103*Calculateur!AS103*VLOOKUP('Données projet'!$B$10,Paramètres!$A$1:$I$89,3,0)*0.475*44/12</f>
        <v>3.3567762154746879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9.5690024527489186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598.14</v>
      </c>
      <c r="BE103" s="14">
        <f>BD103*VLOOKUP('Données projet'!$B$11,Paramètres!$A$1:$I$89,3,0)*VLOOKUP('Données projet'!$B$11,Paramètres!$A$1:$I$89,5,0)</f>
        <v>578.52100799999994</v>
      </c>
      <c r="BF103" s="14">
        <f t="shared" si="91"/>
        <v>127.15611541885089</v>
      </c>
      <c r="BG103" s="22">
        <f t="shared" si="61"/>
        <v>1229.0543232878317</v>
      </c>
      <c r="BH103" s="62">
        <f t="shared" si="62"/>
        <v>1522.387656621165</v>
      </c>
      <c r="BI103" s="62">
        <f ca="1">AVERAGE(OFFSET($BH$3,0,0,'Données projet'!$E$11+1,1))-AVERAGE(OFFSET($H$3,0,0,'Données projet'!$E$11+1,1))</f>
        <v>643.38601112255424</v>
      </c>
      <c r="BJ103" s="62">
        <f t="shared" si="92"/>
        <v>572.76381622085694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5.536289586190315</v>
      </c>
      <c r="BQ103" s="23">
        <f>EXP(-LN(2)/25)*BQ102+(1-EXP(-LN(2)/25))/(LN(2)/25)*Calculateur!BL103*Calculateur!BN103*VLOOKUP('Données projet'!$B$11,Paramètres!$A$1:$I$89,3,0)*0.475*44/12</f>
        <v>3.4879554605593963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9.0242450467497122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505.23000000000025</v>
      </c>
      <c r="BZ103" s="14">
        <f>BY103*VLOOKUP('Données projet'!$B$12,Paramètres!$A$1:$I$89,3,0)*VLOOKUP('Données projet'!$B$12,Paramètres!$A$1:$I$89,5,0)</f>
        <v>338.90828400000015</v>
      </c>
      <c r="CA103" s="14">
        <f t="shared" si="93"/>
        <v>79.274348782791407</v>
      </c>
      <c r="CB103" s="22">
        <f t="shared" si="64"/>
        <v>728.33475209669507</v>
      </c>
      <c r="CC103" s="62">
        <f t="shared" si="65"/>
        <v>1021.6680854300284</v>
      </c>
      <c r="CD103" s="62">
        <f ca="1">AVERAGE(OFFSET($CC$3,0,0,'Données projet'!$E$12+1,1))-AVERAGE(OFFSET($H$3,0,0,'Données projet'!$E$12+1,1))</f>
        <v>323.41415875740768</v>
      </c>
      <c r="CE103" s="62">
        <f t="shared" si="94"/>
        <v>496.54020068152101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598.14</v>
      </c>
      <c r="CU103" s="18">
        <f>CT103*VLOOKUP('Données projet'!$B$13,Paramètres!$A$1:$I$89,3,0)*VLOOKUP('Données projet'!$B$13,Paramètres!$A$1:$I$89,5,0)</f>
        <v>643.837896</v>
      </c>
      <c r="CV103" s="14">
        <f t="shared" si="95"/>
        <v>139.76132574448636</v>
      </c>
      <c r="CW103" s="22">
        <f t="shared" si="67"/>
        <v>1364.7686445383138</v>
      </c>
      <c r="CX103" s="62">
        <f t="shared" si="68"/>
        <v>1658.101977871647</v>
      </c>
      <c r="CY103" s="62">
        <f ca="1">AVERAGE(OFFSET($CX$3,0,0,'Données projet'!$E$13+1,1))-AVERAGE(OFFSET($H$3,0,0,'Données projet'!$E$13+1,1))</f>
        <v>720.47588458554264</v>
      </c>
      <c r="CZ103" s="62">
        <f t="shared" si="96"/>
        <v>638.59686934821627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6.1613545394698672</v>
      </c>
      <c r="DG103" s="23">
        <f>EXP(-LN(2)/25)*DG102+(1-EXP(-LN(2)/25))/(LN(2)/25)*Calculateur!DB103*Calculateur!DD103*VLOOKUP('Données projet'!$B$13,Paramètres!$A$1:$I$89,3,0)*0.475*44/12</f>
        <v>3.8817568835257776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10.043111422995645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751.18</v>
      </c>
      <c r="O104" s="14">
        <f>N104*VLOOKUP('Données projet'!$B$9,Paramètres!$A$1:$I$89,3,0)*VLOOKUP('Données projet'!$B$9,Paramètres!$A$1:$I$89,5,0)</f>
        <v>351.55223999999993</v>
      </c>
      <c r="P104" s="14">
        <f t="shared" si="87"/>
        <v>81.882051211276618</v>
      </c>
      <c r="Q104" s="22">
        <f t="shared" si="107"/>
        <v>754.89805719297328</v>
      </c>
      <c r="R104" s="62">
        <f t="shared" si="55"/>
        <v>1048.2313905263065</v>
      </c>
      <c r="S104" s="62">
        <f ca="1">AVERAGE(OFFSET($R$3,0,0,'Données projet'!$E$9+1,1))-AVERAGE(OFFSET($H$3,0,0,'Données projet'!$E$9+1,1))</f>
        <v>309.95417097673084</v>
      </c>
      <c r="T104" s="62">
        <f t="shared" si="88"/>
        <v>170.83243426024433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5.324163516924906</v>
      </c>
      <c r="AA104" s="23">
        <f>EXP(-LN(2)/25)*AA103+(1-EXP(-LN(2)/25))/(LN(2)/25)*Calculateur!V104*Calculateur!X104*VLOOKUP('Données projet'!$B$9,Paramètres!$A$1:$I$89,3,0)*0.475*44/12</f>
        <v>23.085879850123256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28.410043367048161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4.4500000000000028</v>
      </c>
      <c r="AI104" s="14">
        <f>IF('Données projet'!$A$62&gt;35,AI103+AH104-AQ103,IF(A104&lt;'Données projet'!$A$62,$AF$205^A104,IF(A104='Données projet'!$A$62,'Données projet'!$B$62,AI103+AH104-AQ103)))</f>
        <v>296.19999999999925</v>
      </c>
      <c r="AJ104" s="14">
        <f>AI104*VLOOKUP('Données projet'!$B$10,Paramètres!$A$1:$I$89,3,0)*VLOOKUP('Données projet'!$B$10,Paramètres!$A$1:$I$89,5,0)</f>
        <v>300.34679999999923</v>
      </c>
      <c r="AK104" s="14">
        <f t="shared" si="89"/>
        <v>71.249161187153177</v>
      </c>
      <c r="AL104" s="22">
        <f t="shared" si="58"/>
        <v>647.19629906762373</v>
      </c>
      <c r="AM104" s="62">
        <f t="shared" si="59"/>
        <v>940.5296324009571</v>
      </c>
      <c r="AN104" s="62">
        <f ca="1">AVERAGE(OFFSET($AM$3,0,0,'Données projet'!$E$10+1,1))-AVERAGE(OFFSET($H$3,0,0,'Données projet'!$E$10+1,1))</f>
        <v>408.65944152905672</v>
      </c>
      <c r="AO104" s="62">
        <f t="shared" si="90"/>
        <v>248.55239719988651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6.0904082698451472</v>
      </c>
      <c r="AV104" s="23">
        <f>EXP(-LN(2)/25)*AV103+(1-EXP(-LN(2)/25))/(LN(2)/25)*Calculateur!AQ104*Calculateur!AS104*VLOOKUP('Données projet'!$B$10,Paramètres!$A$1:$I$89,3,0)*0.475*44/12</f>
        <v>3.2649849933373432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9.3553932631824903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598.14</v>
      </c>
      <c r="BE104" s="14">
        <f>BD104*VLOOKUP('Données projet'!$B$11,Paramètres!$A$1:$I$89,3,0)*VLOOKUP('Données projet'!$B$11,Paramètres!$A$1:$I$89,5,0)</f>
        <v>578.52100799999994</v>
      </c>
      <c r="BF104" s="14">
        <f t="shared" si="91"/>
        <v>127.15611541885089</v>
      </c>
      <c r="BG104" s="22">
        <f t="shared" si="61"/>
        <v>1229.0543232878317</v>
      </c>
      <c r="BH104" s="62">
        <f t="shared" si="62"/>
        <v>1522.387656621165</v>
      </c>
      <c r="BI104" s="62">
        <f ca="1">AVERAGE(OFFSET($BH$3,0,0,'Données projet'!$E$11+1,1))-AVERAGE(OFFSET($H$3,0,0,'Données projet'!$E$11+1,1))</f>
        <v>643.38601112255424</v>
      </c>
      <c r="BJ104" s="62">
        <f t="shared" si="92"/>
        <v>572.76381622085694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5.4277263242083391</v>
      </c>
      <c r="BQ104" s="23">
        <f>EXP(-LN(2)/25)*BQ103+(1-EXP(-LN(2)/25))/(LN(2)/25)*Calculateur!BL104*Calculateur!BN104*VLOOKUP('Données projet'!$B$11,Paramètres!$A$1:$I$89,3,0)*0.475*44/12</f>
        <v>3.3925771350667939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8.8203034592751326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505.23000000000025</v>
      </c>
      <c r="BZ104" s="14">
        <f>BY104*VLOOKUP('Données projet'!$B$12,Paramètres!$A$1:$I$89,3,0)*VLOOKUP('Données projet'!$B$12,Paramètres!$A$1:$I$89,5,0)</f>
        <v>338.90828400000015</v>
      </c>
      <c r="CA104" s="14">
        <f t="shared" si="93"/>
        <v>79.274348782791407</v>
      </c>
      <c r="CB104" s="22">
        <f t="shared" si="64"/>
        <v>728.33475209669507</v>
      </c>
      <c r="CC104" s="62">
        <f t="shared" si="65"/>
        <v>1021.6680854300284</v>
      </c>
      <c r="CD104" s="62">
        <f ca="1">AVERAGE(OFFSET($CC$3,0,0,'Données projet'!$E$12+1,1))-AVERAGE(OFFSET($H$3,0,0,'Données projet'!$E$12+1,1))</f>
        <v>323.41415875740768</v>
      </c>
      <c r="CE104" s="62">
        <f t="shared" si="94"/>
        <v>496.54020068152101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598.14</v>
      </c>
      <c r="CU104" s="18">
        <f>CT104*VLOOKUP('Données projet'!$B$13,Paramètres!$A$1:$I$89,3,0)*VLOOKUP('Données projet'!$B$13,Paramètres!$A$1:$I$89,5,0)</f>
        <v>643.837896</v>
      </c>
      <c r="CV104" s="14">
        <f t="shared" si="95"/>
        <v>139.76132574448636</v>
      </c>
      <c r="CW104" s="22">
        <f t="shared" si="67"/>
        <v>1364.7686445383138</v>
      </c>
      <c r="CX104" s="62">
        <f t="shared" si="68"/>
        <v>1658.101977871647</v>
      </c>
      <c r="CY104" s="62">
        <f ca="1">AVERAGE(OFFSET($CX$3,0,0,'Données projet'!$E$13+1,1))-AVERAGE(OFFSET($H$3,0,0,'Données projet'!$E$13+1,1))</f>
        <v>720.47588458554264</v>
      </c>
      <c r="CZ104" s="62">
        <f t="shared" si="96"/>
        <v>638.59686934821627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6.0405341350060553</v>
      </c>
      <c r="DG104" s="23">
        <f>EXP(-LN(2)/25)*DG103+(1-EXP(-LN(2)/25))/(LN(2)/25)*Calculateur!DB104*Calculateur!DD104*VLOOKUP('Données projet'!$B$13,Paramètres!$A$1:$I$89,3,0)*0.475*44/12</f>
        <v>3.7756100374130428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9.8161441724190972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751.18</v>
      </c>
      <c r="O105" s="14">
        <f>N105*VLOOKUP('Données projet'!$B$9,Paramètres!$A$1:$I$89,3,0)*VLOOKUP('Données projet'!$B$9,Paramètres!$A$1:$I$89,5,0)</f>
        <v>351.55223999999993</v>
      </c>
      <c r="P105" s="14">
        <f t="shared" si="87"/>
        <v>81.882051211276618</v>
      </c>
      <c r="Q105" s="22">
        <f t="shared" si="107"/>
        <v>754.89805719297328</v>
      </c>
      <c r="R105" s="62">
        <f t="shared" si="55"/>
        <v>1048.2313905263065</v>
      </c>
      <c r="S105" s="62">
        <f ca="1">AVERAGE(OFFSET($R$3,0,0,'Données projet'!$E$9+1,1))-AVERAGE(OFFSET($H$3,0,0,'Données projet'!$E$9+1,1))</f>
        <v>309.95417097673084</v>
      </c>
      <c r="T105" s="62">
        <f t="shared" si="88"/>
        <v>170.83243426024433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5.2197599177770977</v>
      </c>
      <c r="AA105" s="23">
        <f>EXP(-LN(2)/25)*AA104+(1-EXP(-LN(2)/25))/(LN(2)/25)*Calculateur!V105*Calculateur!X105*VLOOKUP('Données projet'!$B$9,Paramètres!$A$1:$I$89,3,0)*0.475*44/12</f>
        <v>22.454595251587978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27.674355169365075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4.4500000000000028</v>
      </c>
      <c r="AI105" s="14">
        <f>IF('Données projet'!$A$62&gt;35,AI104+AH105-AQ104,IF(A105&lt;'Données projet'!$A$62,$AF$205^A105,IF(A105='Données projet'!$A$62,'Données projet'!$B$62,AI104+AH105-AQ104)))</f>
        <v>300.64999999999924</v>
      </c>
      <c r="AJ105" s="14">
        <f>AI105*VLOOKUP('Données projet'!$B$10,Paramètres!$A$1:$I$89,3,0)*VLOOKUP('Données projet'!$B$10,Paramètres!$A$1:$I$89,5,0)</f>
        <v>304.85909999999922</v>
      </c>
      <c r="AK105" s="14">
        <f t="shared" si="89"/>
        <v>72.194162964643894</v>
      </c>
      <c r="AL105" s="22">
        <f t="shared" si="58"/>
        <v>656.70109966342</v>
      </c>
      <c r="AM105" s="62">
        <f t="shared" si="59"/>
        <v>950.03443299675337</v>
      </c>
      <c r="AN105" s="62">
        <f ca="1">AVERAGE(OFFSET($AM$3,0,0,'Données projet'!$E$10+1,1))-AVERAGE(OFFSET($H$3,0,0,'Données projet'!$E$10+1,1))</f>
        <v>408.65944152905672</v>
      </c>
      <c r="AO105" s="62">
        <f t="shared" si="90"/>
        <v>248.55239719988651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5.9709790784557244</v>
      </c>
      <c r="AV105" s="23">
        <f>EXP(-LN(2)/25)*AV104+(1-EXP(-LN(2)/25))/(LN(2)/25)*Calculateur!AQ105*Calculateur!AS105*VLOOKUP('Données projet'!$B$10,Paramètres!$A$1:$I$89,3,0)*0.475*44/12</f>
        <v>3.175703806996435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9.1466828854521598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598.14</v>
      </c>
      <c r="BE105" s="14">
        <f>BD105*VLOOKUP('Données projet'!$B$11,Paramètres!$A$1:$I$89,3,0)*VLOOKUP('Données projet'!$B$11,Paramètres!$A$1:$I$89,5,0)</f>
        <v>578.52100799999994</v>
      </c>
      <c r="BF105" s="14">
        <f t="shared" si="91"/>
        <v>127.15611541885089</v>
      </c>
      <c r="BG105" s="22">
        <f t="shared" si="61"/>
        <v>1229.0543232878317</v>
      </c>
      <c r="BH105" s="62">
        <f t="shared" si="62"/>
        <v>1522.387656621165</v>
      </c>
      <c r="BI105" s="62">
        <f ca="1">AVERAGE(OFFSET($BH$3,0,0,'Données projet'!$E$11+1,1))-AVERAGE(OFFSET($H$3,0,0,'Données projet'!$E$11+1,1))</f>
        <v>643.38601112255424</v>
      </c>
      <c r="BJ105" s="62">
        <f t="shared" si="92"/>
        <v>572.76381622085694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5.321291921576778</v>
      </c>
      <c r="BQ105" s="23">
        <f>EXP(-LN(2)/25)*BQ104+(1-EXP(-LN(2)/25))/(LN(2)/25)*Calculateur!BL105*Calculateur!BN105*VLOOKUP('Données projet'!$B$11,Paramètres!$A$1:$I$89,3,0)*0.475*44/12</f>
        <v>3.2998069349005146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8.6210988564772926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505.23000000000025</v>
      </c>
      <c r="BZ105" s="14">
        <f>BY105*VLOOKUP('Données projet'!$B$12,Paramètres!$A$1:$I$89,3,0)*VLOOKUP('Données projet'!$B$12,Paramètres!$A$1:$I$89,5,0)</f>
        <v>338.90828400000015</v>
      </c>
      <c r="CA105" s="14">
        <f t="shared" si="93"/>
        <v>79.274348782791407</v>
      </c>
      <c r="CB105" s="22">
        <f t="shared" si="64"/>
        <v>728.33475209669507</v>
      </c>
      <c r="CC105" s="62">
        <f t="shared" si="65"/>
        <v>1021.6680854300284</v>
      </c>
      <c r="CD105" s="62">
        <f ca="1">AVERAGE(OFFSET($CC$3,0,0,'Données projet'!$E$12+1,1))-AVERAGE(OFFSET($H$3,0,0,'Données projet'!$E$12+1,1))</f>
        <v>323.41415875740768</v>
      </c>
      <c r="CE105" s="62">
        <f t="shared" si="94"/>
        <v>496.54020068152101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598.14</v>
      </c>
      <c r="CU105" s="18">
        <f>CT105*VLOOKUP('Données projet'!$B$13,Paramètres!$A$1:$I$89,3,0)*VLOOKUP('Données projet'!$B$13,Paramètres!$A$1:$I$89,5,0)</f>
        <v>643.837896</v>
      </c>
      <c r="CV105" s="14">
        <f t="shared" si="95"/>
        <v>139.76132574448636</v>
      </c>
      <c r="CW105" s="22">
        <f t="shared" si="67"/>
        <v>1364.7686445383138</v>
      </c>
      <c r="CX105" s="62">
        <f t="shared" si="68"/>
        <v>1658.101977871647</v>
      </c>
      <c r="CY105" s="62">
        <f ca="1">AVERAGE(OFFSET($CX$3,0,0,'Données projet'!$E$13+1,1))-AVERAGE(OFFSET($H$3,0,0,'Données projet'!$E$13+1,1))</f>
        <v>720.47588458554264</v>
      </c>
      <c r="CZ105" s="62">
        <f t="shared" si="96"/>
        <v>638.59686934821627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5.9220829449806081</v>
      </c>
      <c r="DG105" s="23">
        <f>EXP(-LN(2)/25)*DG104+(1-EXP(-LN(2)/25))/(LN(2)/25)*Calculateur!DB105*Calculateur!DD105*VLOOKUP('Données projet'!$B$13,Paramètres!$A$1:$I$89,3,0)*0.475*44/12</f>
        <v>3.6723657823892806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9.5944487273698886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751.18</v>
      </c>
      <c r="O106" s="14">
        <f>N106*VLOOKUP('Données projet'!$B$9,Paramètres!$A$1:$I$89,3,0)*VLOOKUP('Données projet'!$B$9,Paramètres!$A$1:$I$89,5,0)</f>
        <v>351.55223999999993</v>
      </c>
      <c r="P106" s="14">
        <f t="shared" si="87"/>
        <v>81.882051211276618</v>
      </c>
      <c r="Q106" s="22">
        <f t="shared" si="107"/>
        <v>754.89805719297328</v>
      </c>
      <c r="R106" s="62">
        <f t="shared" si="55"/>
        <v>1048.2313905263065</v>
      </c>
      <c r="S106" s="62">
        <f ca="1">AVERAGE(OFFSET($R$3,0,0,'Données projet'!$E$9+1,1))-AVERAGE(OFFSET($H$3,0,0,'Données projet'!$E$9+1,1))</f>
        <v>309.95417097673084</v>
      </c>
      <c r="T106" s="62">
        <f t="shared" si="88"/>
        <v>170.83243426024433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5.1174036095286706</v>
      </c>
      <c r="AA106" s="23">
        <f>EXP(-LN(2)/25)*AA105+(1-EXP(-LN(2)/25))/(LN(2)/25)*Calculateur!V106*Calculateur!X106*VLOOKUP('Données projet'!$B$9,Paramètres!$A$1:$I$89,3,0)*0.475*44/12</f>
        <v>21.840573163597462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26.957976773126134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4.4500000000000028</v>
      </c>
      <c r="AI106" s="14">
        <f>IF('Données projet'!$A$62&gt;35,AI105+AH106-AQ105,IF(A106&lt;'Données projet'!$A$62,$AF$205^A106,IF(A106='Données projet'!$A$62,'Données projet'!$B$62,AI105+AH106-AQ105)))</f>
        <v>305.09999999999923</v>
      </c>
      <c r="AJ106" s="14">
        <f>AI106*VLOOKUP('Données projet'!$B$10,Paramètres!$A$1:$I$89,3,0)*VLOOKUP('Données projet'!$B$10,Paramètres!$A$1:$I$89,5,0)</f>
        <v>309.37139999999926</v>
      </c>
      <c r="AK106" s="14">
        <f t="shared" si="89"/>
        <v>73.137537968543896</v>
      </c>
      <c r="AL106" s="22">
        <f t="shared" si="58"/>
        <v>666.20306696187924</v>
      </c>
      <c r="AM106" s="62">
        <f t="shared" si="59"/>
        <v>959.53640029521262</v>
      </c>
      <c r="AN106" s="62">
        <f ca="1">AVERAGE(OFFSET($AM$3,0,0,'Données projet'!$E$10+1,1))-AVERAGE(OFFSET($H$3,0,0,'Données projet'!$E$10+1,1))</f>
        <v>408.65944152905672</v>
      </c>
      <c r="AO106" s="62">
        <f t="shared" si="90"/>
        <v>248.55239719988651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5.8538918206648338</v>
      </c>
      <c r="AV106" s="23">
        <f>EXP(-LN(2)/25)*AV105+(1-EXP(-LN(2)/25))/(LN(2)/25)*Calculateur!AQ106*Calculateur!AS106*VLOOKUP('Données projet'!$B$10,Paramètres!$A$1:$I$89,3,0)*0.475*44/12</f>
        <v>3.0888640193911123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8.9427558400559466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598.14</v>
      </c>
      <c r="BE106" s="14">
        <f>BD106*VLOOKUP('Données projet'!$B$11,Paramètres!$A$1:$I$89,3,0)*VLOOKUP('Données projet'!$B$11,Paramètres!$A$1:$I$89,5,0)</f>
        <v>578.52100799999994</v>
      </c>
      <c r="BF106" s="14">
        <f t="shared" si="91"/>
        <v>127.15611541885089</v>
      </c>
      <c r="BG106" s="22">
        <f t="shared" si="61"/>
        <v>1229.0543232878317</v>
      </c>
      <c r="BH106" s="62">
        <f t="shared" si="62"/>
        <v>1522.387656621165</v>
      </c>
      <c r="BI106" s="62">
        <f ca="1">AVERAGE(OFFSET($BH$3,0,0,'Données projet'!$E$11+1,1))-AVERAGE(OFFSET($H$3,0,0,'Données projet'!$E$11+1,1))</f>
        <v>643.38601112255424</v>
      </c>
      <c r="BJ106" s="62">
        <f t="shared" si="92"/>
        <v>572.76381622085694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5.2169446326622468</v>
      </c>
      <c r="BQ106" s="23">
        <f>EXP(-LN(2)/25)*BQ105+(1-EXP(-LN(2)/25))/(LN(2)/25)*Calculateur!BL106*Calculateur!BN106*VLOOKUP('Données projet'!$B$11,Paramètres!$A$1:$I$89,3,0)*0.475*44/12</f>
        <v>3.209573540736355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8.4265181733986019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505.23000000000025</v>
      </c>
      <c r="BZ106" s="14">
        <f>BY106*VLOOKUP('Données projet'!$B$12,Paramètres!$A$1:$I$89,3,0)*VLOOKUP('Données projet'!$B$12,Paramètres!$A$1:$I$89,5,0)</f>
        <v>338.90828400000015</v>
      </c>
      <c r="CA106" s="14">
        <f t="shared" si="93"/>
        <v>79.274348782791407</v>
      </c>
      <c r="CB106" s="22">
        <f t="shared" si="64"/>
        <v>728.33475209669507</v>
      </c>
      <c r="CC106" s="62">
        <f t="shared" si="65"/>
        <v>1021.6680854300284</v>
      </c>
      <c r="CD106" s="62">
        <f ca="1">AVERAGE(OFFSET($CC$3,0,0,'Données projet'!$E$12+1,1))-AVERAGE(OFFSET($H$3,0,0,'Données projet'!$E$12+1,1))</f>
        <v>323.41415875740768</v>
      </c>
      <c r="CE106" s="62">
        <f t="shared" si="94"/>
        <v>496.54020068152101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598.14</v>
      </c>
      <c r="CU106" s="18">
        <f>CT106*VLOOKUP('Données projet'!$B$13,Paramètres!$A$1:$I$89,3,0)*VLOOKUP('Données projet'!$B$13,Paramètres!$A$1:$I$89,5,0)</f>
        <v>643.837896</v>
      </c>
      <c r="CV106" s="14">
        <f t="shared" si="95"/>
        <v>139.76132574448636</v>
      </c>
      <c r="CW106" s="22">
        <f t="shared" si="67"/>
        <v>1364.7686445383138</v>
      </c>
      <c r="CX106" s="62">
        <f t="shared" si="68"/>
        <v>1658.101977871647</v>
      </c>
      <c r="CY106" s="62">
        <f ca="1">AVERAGE(OFFSET($CX$3,0,0,'Données projet'!$E$13+1,1))-AVERAGE(OFFSET($H$3,0,0,'Données projet'!$E$13+1,1))</f>
        <v>720.47588458554264</v>
      </c>
      <c r="CZ106" s="62">
        <f t="shared" si="96"/>
        <v>638.59686934821627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5.8059545105434678</v>
      </c>
      <c r="DG106" s="23">
        <f>EXP(-LN(2)/25)*DG105+(1-EXP(-LN(2)/25))/(LN(2)/25)*Calculateur!DB106*Calculateur!DD106*VLOOKUP('Données projet'!$B$13,Paramètres!$A$1:$I$89,3,0)*0.475*44/12</f>
        <v>3.5719447469485224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9.3778992574919897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751.18</v>
      </c>
      <c r="O107" s="14">
        <f>N107*VLOOKUP('Données projet'!$B$9,Paramètres!$A$1:$I$89,3,0)*VLOOKUP('Données projet'!$B$9,Paramètres!$A$1:$I$89,5,0)</f>
        <v>351.55223999999993</v>
      </c>
      <c r="P107" s="14">
        <f t="shared" si="87"/>
        <v>81.882051211276618</v>
      </c>
      <c r="Q107" s="22">
        <f t="shared" si="107"/>
        <v>754.89805719297328</v>
      </c>
      <c r="R107" s="62">
        <f t="shared" si="55"/>
        <v>1048.2313905263065</v>
      </c>
      <c r="S107" s="62">
        <f ca="1">AVERAGE(OFFSET($R$3,0,0,'Données projet'!$E$9+1,1))-AVERAGE(OFFSET($H$3,0,0,'Données projet'!$E$9+1,1))</f>
        <v>309.95417097673084</v>
      </c>
      <c r="T107" s="62">
        <f t="shared" si="88"/>
        <v>170.83243426024433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5.0170544460538116</v>
      </c>
      <c r="AA107" s="23">
        <f>EXP(-LN(2)/25)*AA106+(1-EXP(-LN(2)/25))/(LN(2)/25)*Calculateur!V107*Calculateur!X107*VLOOKUP('Données projet'!$B$9,Paramètres!$A$1:$I$89,3,0)*0.475*44/12</f>
        <v>21.243341541893063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26.260395987946875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4.4500000000000028</v>
      </c>
      <c r="AI107" s="14">
        <f>IF('Données projet'!$A$62&gt;35,AI106+AH107-AQ106,IF(A107&lt;'Données projet'!$A$62,$AF$205^A107,IF(A107='Données projet'!$A$62,'Données projet'!$B$62,AI106+AH107-AQ106)))</f>
        <v>309.54999999999922</v>
      </c>
      <c r="AJ107" s="14">
        <f>AI107*VLOOKUP('Données projet'!$B$10,Paramètres!$A$1:$I$89,3,0)*VLOOKUP('Données projet'!$B$10,Paramètres!$A$1:$I$89,5,0)</f>
        <v>313.88369999999924</v>
      </c>
      <c r="AK107" s="14">
        <f t="shared" si="89"/>
        <v>74.079312667219668</v>
      </c>
      <c r="AL107" s="22">
        <f t="shared" si="58"/>
        <v>675.70224706207284</v>
      </c>
      <c r="AM107" s="62">
        <f t="shared" si="59"/>
        <v>969.03558039540621</v>
      </c>
      <c r="AN107" s="62">
        <f ca="1">AVERAGE(OFFSET($AM$3,0,0,'Données projet'!$E$10+1,1))-AVERAGE(OFFSET($H$3,0,0,'Données projet'!$E$10+1,1))</f>
        <v>408.65944152905672</v>
      </c>
      <c r="AO107" s="62">
        <f t="shared" si="90"/>
        <v>248.55239719988651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5.7391005725830473</v>
      </c>
      <c r="AV107" s="23">
        <f>EXP(-LN(2)/25)*AV106+(1-EXP(-LN(2)/25))/(LN(2)/25)*Calculateur!AQ107*Calculateur!AS107*VLOOKUP('Données projet'!$B$10,Paramètres!$A$1:$I$89,3,0)*0.475*44/12</f>
        <v>3.0043988703445632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8.7434994429276109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598.14</v>
      </c>
      <c r="BE107" s="14">
        <f>BD107*VLOOKUP('Données projet'!$B$11,Paramètres!$A$1:$I$89,3,0)*VLOOKUP('Données projet'!$B$11,Paramètres!$A$1:$I$89,5,0)</f>
        <v>578.52100799999994</v>
      </c>
      <c r="BF107" s="14">
        <f t="shared" si="91"/>
        <v>127.15611541885089</v>
      </c>
      <c r="BG107" s="22">
        <f t="shared" si="61"/>
        <v>1229.0543232878317</v>
      </c>
      <c r="BH107" s="62">
        <f t="shared" si="62"/>
        <v>1522.387656621165</v>
      </c>
      <c r="BI107" s="62">
        <f ca="1">AVERAGE(OFFSET($BH$3,0,0,'Données projet'!$E$11+1,1))-AVERAGE(OFFSET($H$3,0,0,'Données projet'!$E$11+1,1))</f>
        <v>643.38601112255424</v>
      </c>
      <c r="BJ107" s="62">
        <f t="shared" si="92"/>
        <v>572.76381622085694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5.1146435304377675</v>
      </c>
      <c r="BQ107" s="23">
        <f>EXP(-LN(2)/25)*BQ106+(1-EXP(-LN(2)/25))/(LN(2)/25)*Calculateur!BL107*Calculateur!BN107*VLOOKUP('Données projet'!$B$11,Paramètres!$A$1:$I$89,3,0)*0.475*44/12</f>
        <v>3.1218075834807824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8.2364511139185499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505.23000000000025</v>
      </c>
      <c r="BZ107" s="14">
        <f>BY107*VLOOKUP('Données projet'!$B$12,Paramètres!$A$1:$I$89,3,0)*VLOOKUP('Données projet'!$B$12,Paramètres!$A$1:$I$89,5,0)</f>
        <v>338.90828400000015</v>
      </c>
      <c r="CA107" s="14">
        <f t="shared" si="93"/>
        <v>79.274348782791407</v>
      </c>
      <c r="CB107" s="22">
        <f t="shared" si="64"/>
        <v>728.33475209669507</v>
      </c>
      <c r="CC107" s="62">
        <f t="shared" si="65"/>
        <v>1021.6680854300284</v>
      </c>
      <c r="CD107" s="62">
        <f ca="1">AVERAGE(OFFSET($CC$3,0,0,'Données projet'!$E$12+1,1))-AVERAGE(OFFSET($H$3,0,0,'Données projet'!$E$12+1,1))</f>
        <v>323.41415875740768</v>
      </c>
      <c r="CE107" s="62">
        <f t="shared" si="94"/>
        <v>496.54020068152101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598.14</v>
      </c>
      <c r="CU107" s="18">
        <f>CT107*VLOOKUP('Données projet'!$B$13,Paramètres!$A$1:$I$89,3,0)*VLOOKUP('Données projet'!$B$13,Paramètres!$A$1:$I$89,5,0)</f>
        <v>643.837896</v>
      </c>
      <c r="CV107" s="14">
        <f t="shared" si="95"/>
        <v>139.76132574448636</v>
      </c>
      <c r="CW107" s="22">
        <f t="shared" si="67"/>
        <v>1364.7686445383138</v>
      </c>
      <c r="CX107" s="62">
        <f t="shared" si="68"/>
        <v>1658.101977871647</v>
      </c>
      <c r="CY107" s="62">
        <f ca="1">AVERAGE(OFFSET($CX$3,0,0,'Données projet'!$E$13+1,1))-AVERAGE(OFFSET($H$3,0,0,'Données projet'!$E$13+1,1))</f>
        <v>720.47588458554264</v>
      </c>
      <c r="CZ107" s="62">
        <f t="shared" si="96"/>
        <v>638.59686934821627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5.6921032838742889</v>
      </c>
      <c r="DG107" s="23">
        <f>EXP(-LN(2)/25)*DG106+(1-EXP(-LN(2)/25))/(LN(2)/25)*Calculateur!DB107*Calculateur!DD107*VLOOKUP('Données projet'!$B$13,Paramètres!$A$1:$I$89,3,0)*0.475*44/12</f>
        <v>3.4742697300028045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9.1663730138770934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751.18</v>
      </c>
      <c r="O108" s="14">
        <f>N108*VLOOKUP('Données projet'!$B$9,Paramètres!$A$1:$I$89,3,0)*VLOOKUP('Données projet'!$B$9,Paramètres!$A$1:$I$89,5,0)</f>
        <v>351.55223999999993</v>
      </c>
      <c r="P108" s="14">
        <f t="shared" si="87"/>
        <v>81.882051211276618</v>
      </c>
      <c r="Q108" s="22">
        <f t="shared" si="107"/>
        <v>754.89805719297328</v>
      </c>
      <c r="R108" s="62">
        <f t="shared" si="55"/>
        <v>1048.2313905263065</v>
      </c>
      <c r="S108" s="62">
        <f ca="1">AVERAGE(OFFSET($R$3,0,0,'Données projet'!$E$9+1,1))-AVERAGE(OFFSET($H$3,0,0,'Données projet'!$E$9+1,1))</f>
        <v>309.95417097673084</v>
      </c>
      <c r="T108" s="62">
        <f t="shared" si="88"/>
        <v>170.83243426024433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4.9186730684677489</v>
      </c>
      <c r="AA108" s="23">
        <f>EXP(-LN(2)/25)*AA107+(1-EXP(-LN(2)/25))/(LN(2)/25)*Calculateur!V108*Calculateur!X108*VLOOKUP('Données projet'!$B$9,Paramètres!$A$1:$I$89,3,0)*0.475*44/12</f>
        <v>20.662441250291216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25.581114318758964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4.4500000000000028</v>
      </c>
      <c r="AI108" s="14">
        <f>IF('Données projet'!$A$62&gt;35,AI107+AH108-AQ107,IF(A108&lt;'Données projet'!$A$62,$AF$205^A108,IF(A108='Données projet'!$A$62,'Données projet'!$B$62,AI107+AH108-AQ107)))</f>
        <v>313.9999999999992</v>
      </c>
      <c r="AJ108" s="14">
        <f>AI108*VLOOKUP('Données projet'!$B$10,Paramètres!$A$1:$I$89,3,0)*VLOOKUP('Données projet'!$B$10,Paramètres!$A$1:$I$89,5,0)</f>
        <v>318.39599999999922</v>
      </c>
      <c r="AK108" s="14">
        <f t="shared" si="89"/>
        <v>75.019512724334803</v>
      </c>
      <c r="AL108" s="22">
        <f t="shared" si="58"/>
        <v>685.19868466154833</v>
      </c>
      <c r="AM108" s="62">
        <f t="shared" si="59"/>
        <v>978.5320179948817</v>
      </c>
      <c r="AN108" s="62">
        <f ca="1">AVERAGE(OFFSET($AM$3,0,0,'Données projet'!$E$10+1,1))-AVERAGE(OFFSET($H$3,0,0,'Données projet'!$E$10+1,1))</f>
        <v>408.65944152905672</v>
      </c>
      <c r="AO108" s="62">
        <f t="shared" si="90"/>
        <v>248.55239719988651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5.6265603108603965</v>
      </c>
      <c r="AV108" s="23">
        <f>EXP(-LN(2)/25)*AV107+(1-EXP(-LN(2)/25))/(LN(2)/25)*Calculateur!AQ108*Calculateur!AS108*VLOOKUP('Données projet'!$B$10,Paramètres!$A$1:$I$89,3,0)*0.475*44/12</f>
        <v>2.9222434252405214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8.5488037361009184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598.14</v>
      </c>
      <c r="BE108" s="14">
        <f>BD108*VLOOKUP('Données projet'!$B$11,Paramètres!$A$1:$I$89,3,0)*VLOOKUP('Données projet'!$B$11,Paramètres!$A$1:$I$89,5,0)</f>
        <v>578.52100799999994</v>
      </c>
      <c r="BF108" s="14">
        <f t="shared" si="91"/>
        <v>127.15611541885089</v>
      </c>
      <c r="BG108" s="22">
        <f t="shared" si="61"/>
        <v>1229.0543232878317</v>
      </c>
      <c r="BH108" s="62">
        <f t="shared" si="62"/>
        <v>1522.387656621165</v>
      </c>
      <c r="BI108" s="62">
        <f ca="1">AVERAGE(OFFSET($BH$3,0,0,'Données projet'!$E$11+1,1))-AVERAGE(OFFSET($H$3,0,0,'Données projet'!$E$11+1,1))</f>
        <v>643.38601112255424</v>
      </c>
      <c r="BJ108" s="62">
        <f t="shared" si="92"/>
        <v>572.76381622085694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5.0143484904303994</v>
      </c>
      <c r="BQ108" s="23">
        <f>EXP(-LN(2)/25)*BQ107+(1-EXP(-LN(2)/25))/(LN(2)/25)*Calculateur!BL108*Calculateur!BN108*VLOOKUP('Données projet'!$B$11,Paramètres!$A$1:$I$89,3,0)*0.475*44/12</f>
        <v>3.0364415909417746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8.050790081372174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505.23000000000025</v>
      </c>
      <c r="BZ108" s="14">
        <f>BY108*VLOOKUP('Données projet'!$B$12,Paramètres!$A$1:$I$89,3,0)*VLOOKUP('Données projet'!$B$12,Paramètres!$A$1:$I$89,5,0)</f>
        <v>338.90828400000015</v>
      </c>
      <c r="CA108" s="14">
        <f t="shared" si="93"/>
        <v>79.274348782791407</v>
      </c>
      <c r="CB108" s="22">
        <f t="shared" si="64"/>
        <v>728.33475209669507</v>
      </c>
      <c r="CC108" s="62">
        <f t="shared" si="65"/>
        <v>1021.6680854300284</v>
      </c>
      <c r="CD108" s="62">
        <f ca="1">AVERAGE(OFFSET($CC$3,0,0,'Données projet'!$E$12+1,1))-AVERAGE(OFFSET($H$3,0,0,'Données projet'!$E$12+1,1))</f>
        <v>323.41415875740768</v>
      </c>
      <c r="CE108" s="62">
        <f t="shared" si="94"/>
        <v>496.54020068152101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598.14</v>
      </c>
      <c r="CU108" s="18">
        <f>CT108*VLOOKUP('Données projet'!$B$13,Paramètres!$A$1:$I$89,3,0)*VLOOKUP('Données projet'!$B$13,Paramètres!$A$1:$I$89,5,0)</f>
        <v>643.837896</v>
      </c>
      <c r="CV108" s="14">
        <f t="shared" si="95"/>
        <v>139.76132574448636</v>
      </c>
      <c r="CW108" s="22">
        <f t="shared" si="67"/>
        <v>1364.7686445383138</v>
      </c>
      <c r="CX108" s="62">
        <f t="shared" si="68"/>
        <v>1658.101977871647</v>
      </c>
      <c r="CY108" s="62">
        <f ca="1">AVERAGE(OFFSET($CX$3,0,0,'Données projet'!$E$13+1,1))-AVERAGE(OFFSET($H$3,0,0,'Données projet'!$E$13+1,1))</f>
        <v>720.47588458554264</v>
      </c>
      <c r="CZ108" s="62">
        <f t="shared" si="96"/>
        <v>638.59686934821627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5.5804846103177015</v>
      </c>
      <c r="DG108" s="23">
        <f>EXP(-LN(2)/25)*DG107+(1-EXP(-LN(2)/25))/(LN(2)/25)*Calculateur!DB108*Calculateur!DD108*VLOOKUP('Données projet'!$B$13,Paramètres!$A$1:$I$89,3,0)*0.475*44/12</f>
        <v>3.3792656415319731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8.959750251849675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751.18</v>
      </c>
      <c r="O109" s="14">
        <f>N109*VLOOKUP('Données projet'!$B$9,Paramètres!$A$1:$I$89,3,0)*VLOOKUP('Données projet'!$B$9,Paramètres!$A$1:$I$89,5,0)</f>
        <v>351.55223999999993</v>
      </c>
      <c r="P109" s="14">
        <f t="shared" si="87"/>
        <v>81.882051211276618</v>
      </c>
      <c r="Q109" s="22">
        <f t="shared" si="107"/>
        <v>754.89805719297328</v>
      </c>
      <c r="R109" s="62">
        <f t="shared" si="55"/>
        <v>1048.2313905263065</v>
      </c>
      <c r="S109" s="62">
        <f ca="1">AVERAGE(OFFSET($R$3,0,0,'Données projet'!$E$9+1,1))-AVERAGE(OFFSET($H$3,0,0,'Données projet'!$E$9+1,1))</f>
        <v>309.95417097673084</v>
      </c>
      <c r="T109" s="62">
        <f t="shared" si="88"/>
        <v>170.83243426024433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4.822220889689433</v>
      </c>
      <c r="AA109" s="23">
        <f>EXP(-LN(2)/25)*AA108+(1-EXP(-LN(2)/25))/(LN(2)/25)*Calculateur!V109*Calculateur!X109*VLOOKUP('Données projet'!$B$9,Paramètres!$A$1:$I$89,3,0)*0.475*44/12</f>
        <v>20.097425707711441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24.919646597400874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4.4500000000000028</v>
      </c>
      <c r="AI109" s="14">
        <f>IF('Données projet'!$A$62&gt;35,AI108+AH109-AQ108,IF(A109&lt;'Données projet'!$A$62,$AF$205^A109,IF(A109='Données projet'!$A$62,'Données projet'!$B$62,AI108+AH109-AQ108)))</f>
        <v>318.44999999999919</v>
      </c>
      <c r="AJ109" s="14">
        <f>AI109*VLOOKUP('Données projet'!$B$10,Paramètres!$A$1:$I$89,3,0)*VLOOKUP('Données projet'!$B$10,Paramètres!$A$1:$I$89,5,0)</f>
        <v>322.9082999999992</v>
      </c>
      <c r="AK109" s="14">
        <f t="shared" si="89"/>
        <v>75.958163034366137</v>
      </c>
      <c r="AL109" s="22">
        <f t="shared" si="58"/>
        <v>694.69242311818618</v>
      </c>
      <c r="AM109" s="62">
        <f t="shared" si="59"/>
        <v>988.02575645151956</v>
      </c>
      <c r="AN109" s="62">
        <f ca="1">AVERAGE(OFFSET($AM$3,0,0,'Données projet'!$E$10+1,1))-AVERAGE(OFFSET($H$3,0,0,'Données projet'!$E$10+1,1))</f>
        <v>408.65944152905672</v>
      </c>
      <c r="AO109" s="62">
        <f t="shared" si="90"/>
        <v>248.55239719988651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5.5162268950273452</v>
      </c>
      <c r="AV109" s="23">
        <f>EXP(-LN(2)/25)*AV108+(1-EXP(-LN(2)/25))/(LN(2)/25)*Calculateur!AQ109*Calculateur!AS109*VLOOKUP('Données projet'!$B$10,Paramètres!$A$1:$I$89,3,0)*0.475*44/12</f>
        <v>2.8423345251032166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8.3585614201305614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598.14</v>
      </c>
      <c r="BE109" s="14">
        <f>BD109*VLOOKUP('Données projet'!$B$11,Paramètres!$A$1:$I$89,3,0)*VLOOKUP('Données projet'!$B$11,Paramètres!$A$1:$I$89,5,0)</f>
        <v>578.52100799999994</v>
      </c>
      <c r="BF109" s="14">
        <f t="shared" si="91"/>
        <v>127.15611541885089</v>
      </c>
      <c r="BG109" s="22">
        <f t="shared" si="61"/>
        <v>1229.0543232878317</v>
      </c>
      <c r="BH109" s="62">
        <f t="shared" si="62"/>
        <v>1522.387656621165</v>
      </c>
      <c r="BI109" s="62">
        <f ca="1">AVERAGE(OFFSET($BH$3,0,0,'Données projet'!$E$11+1,1))-AVERAGE(OFFSET($H$3,0,0,'Données projet'!$E$11+1,1))</f>
        <v>643.38601112255424</v>
      </c>
      <c r="BJ109" s="62">
        <f t="shared" si="92"/>
        <v>572.76381622085694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4.9160201749836414</v>
      </c>
      <c r="BQ109" s="23">
        <f>EXP(-LN(2)/25)*BQ108+(1-EXP(-LN(2)/25))/(LN(2)/25)*Calculateur!BL109*Calculateur!BN109*VLOOKUP('Données projet'!$B$11,Paramètres!$A$1:$I$89,3,0)*0.475*44/12</f>
        <v>2.9534099359579482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7.8694301109415896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505.23000000000025</v>
      </c>
      <c r="BZ109" s="14">
        <f>BY109*VLOOKUP('Données projet'!$B$12,Paramètres!$A$1:$I$89,3,0)*VLOOKUP('Données projet'!$B$12,Paramètres!$A$1:$I$89,5,0)</f>
        <v>338.90828400000015</v>
      </c>
      <c r="CA109" s="14">
        <f t="shared" si="93"/>
        <v>79.274348782791407</v>
      </c>
      <c r="CB109" s="22">
        <f t="shared" si="64"/>
        <v>728.33475209669507</v>
      </c>
      <c r="CC109" s="62">
        <f t="shared" si="65"/>
        <v>1021.6680854300284</v>
      </c>
      <c r="CD109" s="62">
        <f ca="1">AVERAGE(OFFSET($CC$3,0,0,'Données projet'!$E$12+1,1))-AVERAGE(OFFSET($H$3,0,0,'Données projet'!$E$12+1,1))</f>
        <v>323.41415875740768</v>
      </c>
      <c r="CE109" s="62">
        <f t="shared" si="94"/>
        <v>496.54020068152101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598.14</v>
      </c>
      <c r="CU109" s="18">
        <f>CT109*VLOOKUP('Données projet'!$B$13,Paramètres!$A$1:$I$89,3,0)*VLOOKUP('Données projet'!$B$13,Paramètres!$A$1:$I$89,5,0)</f>
        <v>643.837896</v>
      </c>
      <c r="CV109" s="14">
        <f t="shared" si="95"/>
        <v>139.76132574448636</v>
      </c>
      <c r="CW109" s="22">
        <f t="shared" si="67"/>
        <v>1364.7686445383138</v>
      </c>
      <c r="CX109" s="62">
        <f t="shared" si="68"/>
        <v>1658.101977871647</v>
      </c>
      <c r="CY109" s="62">
        <f ca="1">AVERAGE(OFFSET($CX$3,0,0,'Données projet'!$E$13+1,1))-AVERAGE(OFFSET($H$3,0,0,'Données projet'!$E$13+1,1))</f>
        <v>720.47588458554264</v>
      </c>
      <c r="CZ109" s="62">
        <f t="shared" si="96"/>
        <v>638.59686934821627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5.4710547108688905</v>
      </c>
      <c r="DG109" s="23">
        <f>EXP(-LN(2)/25)*DG108+(1-EXP(-LN(2)/25))/(LN(2)/25)*Calculateur!DB109*Calculateur!DD109*VLOOKUP('Données projet'!$B$13,Paramètres!$A$1:$I$89,3,0)*0.475*44/12</f>
        <v>3.2868594448564248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8.7579141557253148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751.18</v>
      </c>
      <c r="O110" s="14">
        <f>N110*VLOOKUP('Données projet'!$B$9,Paramètres!$A$1:$I$89,3,0)*VLOOKUP('Données projet'!$B$9,Paramètres!$A$1:$I$89,5,0)</f>
        <v>351.55223999999993</v>
      </c>
      <c r="P110" s="14">
        <f t="shared" si="87"/>
        <v>81.882051211276618</v>
      </c>
      <c r="Q110" s="22">
        <f t="shared" si="107"/>
        <v>754.89805719297328</v>
      </c>
      <c r="R110" s="62">
        <f t="shared" si="55"/>
        <v>1048.2313905263065</v>
      </c>
      <c r="S110" s="62">
        <f ca="1">AVERAGE(OFFSET($R$3,0,0,'Données projet'!$E$9+1,1))-AVERAGE(OFFSET($H$3,0,0,'Données projet'!$E$9+1,1))</f>
        <v>309.95417097673084</v>
      </c>
      <c r="T110" s="62">
        <f t="shared" si="88"/>
        <v>170.83243426024433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4.7276600793069399</v>
      </c>
      <c r="AA110" s="23">
        <f>EXP(-LN(2)/25)*AA109+(1-EXP(-LN(2)/25))/(LN(2)/25)*Calculateur!V110*Calculateur!X110*VLOOKUP('Données projet'!$B$9,Paramètres!$A$1:$I$89,3,0)*0.475*44/12</f>
        <v>19.547860544856388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24.275520624163327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4.4500000000000028</v>
      </c>
      <c r="AI110" s="14">
        <f>IF('Données projet'!$A$62&gt;35,AI109+AH110-AQ109,IF(A110&lt;'Données projet'!$A$62,$AF$205^A110,IF(A110='Données projet'!$A$62,'Données projet'!$B$62,AI109+AH110-AQ109)))</f>
        <v>322.89999999999918</v>
      </c>
      <c r="AJ110" s="14">
        <f>AI110*VLOOKUP('Données projet'!$B$10,Paramètres!$A$1:$I$89,3,0)*VLOOKUP('Données projet'!$B$10,Paramètres!$A$1:$I$89,5,0)</f>
        <v>327.42059999999918</v>
      </c>
      <c r="AK110" s="14">
        <f t="shared" si="89"/>
        <v>76.895287756077337</v>
      </c>
      <c r="AL110" s="22">
        <f t="shared" si="58"/>
        <v>704.18350450849994</v>
      </c>
      <c r="AM110" s="62">
        <f t="shared" si="59"/>
        <v>997.51683784183319</v>
      </c>
      <c r="AN110" s="62">
        <f ca="1">AVERAGE(OFFSET($AM$3,0,0,'Données projet'!$E$10+1,1))-AVERAGE(OFFSET($H$3,0,0,'Données projet'!$E$10+1,1))</f>
        <v>408.65944152905672</v>
      </c>
      <c r="AO110" s="62">
        <f t="shared" si="90"/>
        <v>248.55239719988651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5.408057050182042</v>
      </c>
      <c r="AV110" s="23">
        <f>EXP(-LN(2)/25)*AV109+(1-EXP(-LN(2)/25))/(LN(2)/25)*Calculateur!AQ110*Calculateur!AS110*VLOOKUP('Données projet'!$B$10,Paramètres!$A$1:$I$89,3,0)*0.475*44/12</f>
        <v>2.7646107380423928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8.1726677882244338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598.14</v>
      </c>
      <c r="BE110" s="14">
        <f>BD110*VLOOKUP('Données projet'!$B$11,Paramètres!$A$1:$I$89,3,0)*VLOOKUP('Données projet'!$B$11,Paramètres!$A$1:$I$89,5,0)</f>
        <v>578.52100799999994</v>
      </c>
      <c r="BF110" s="14">
        <f t="shared" si="91"/>
        <v>127.15611541885089</v>
      </c>
      <c r="BG110" s="22">
        <f t="shared" si="61"/>
        <v>1229.0543232878317</v>
      </c>
      <c r="BH110" s="62">
        <f t="shared" si="62"/>
        <v>1522.387656621165</v>
      </c>
      <c r="BI110" s="62">
        <f ca="1">AVERAGE(OFFSET($BH$3,0,0,'Données projet'!$E$11+1,1))-AVERAGE(OFFSET($H$3,0,0,'Données projet'!$E$11+1,1))</f>
        <v>643.38601112255424</v>
      </c>
      <c r="BJ110" s="62">
        <f t="shared" si="92"/>
        <v>572.76381622085694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4.8196200178284441</v>
      </c>
      <c r="BQ110" s="23">
        <f>EXP(-LN(2)/25)*BQ109+(1-EXP(-LN(2)/25))/(LN(2)/25)*Calculateur!BL110*Calculateur!BN110*VLOOKUP('Données projet'!$B$11,Paramètres!$A$1:$I$89,3,0)*0.475*44/12</f>
        <v>2.8726487859460996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7.6922688037745441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505.23000000000025</v>
      </c>
      <c r="BZ110" s="14">
        <f>BY110*VLOOKUP('Données projet'!$B$12,Paramètres!$A$1:$I$89,3,0)*VLOOKUP('Données projet'!$B$12,Paramètres!$A$1:$I$89,5,0)</f>
        <v>338.90828400000015</v>
      </c>
      <c r="CA110" s="14">
        <f t="shared" si="93"/>
        <v>79.274348782791407</v>
      </c>
      <c r="CB110" s="22">
        <f t="shared" si="64"/>
        <v>728.33475209669507</v>
      </c>
      <c r="CC110" s="62">
        <f t="shared" si="65"/>
        <v>1021.6680854300284</v>
      </c>
      <c r="CD110" s="62">
        <f ca="1">AVERAGE(OFFSET($CC$3,0,0,'Données projet'!$E$12+1,1))-AVERAGE(OFFSET($H$3,0,0,'Données projet'!$E$12+1,1))</f>
        <v>323.41415875740768</v>
      </c>
      <c r="CE110" s="62">
        <f t="shared" si="94"/>
        <v>496.54020068152101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598.14</v>
      </c>
      <c r="CU110" s="18">
        <f>CT110*VLOOKUP('Données projet'!$B$13,Paramètres!$A$1:$I$89,3,0)*VLOOKUP('Données projet'!$B$13,Paramètres!$A$1:$I$89,5,0)</f>
        <v>643.837896</v>
      </c>
      <c r="CV110" s="14">
        <f t="shared" si="95"/>
        <v>139.76132574448636</v>
      </c>
      <c r="CW110" s="22">
        <f t="shared" si="67"/>
        <v>1364.7686445383138</v>
      </c>
      <c r="CX110" s="62">
        <f t="shared" si="68"/>
        <v>1658.101977871647</v>
      </c>
      <c r="CY110" s="62">
        <f ca="1">AVERAGE(OFFSET($CX$3,0,0,'Données projet'!$E$13+1,1))-AVERAGE(OFFSET($H$3,0,0,'Données projet'!$E$13+1,1))</f>
        <v>720.47588458554264</v>
      </c>
      <c r="CZ110" s="62">
        <f t="shared" si="96"/>
        <v>638.59686934821627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5.3637706650026225</v>
      </c>
      <c r="DG110" s="23">
        <f>EXP(-LN(2)/25)*DG109+(1-EXP(-LN(2)/25))/(LN(2)/25)*Calculateur!DB110*Calculateur!DD110*VLOOKUP('Données projet'!$B$13,Paramètres!$A$1:$I$89,3,0)*0.475*44/12</f>
        <v>3.1969801004883998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8.5607507654910222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751.18</v>
      </c>
      <c r="O111" s="14">
        <f>N111*VLOOKUP('Données projet'!$B$9,Paramètres!$A$1:$I$89,3,0)*VLOOKUP('Données projet'!$B$9,Paramètres!$A$1:$I$89,5,0)</f>
        <v>351.55223999999993</v>
      </c>
      <c r="P111" s="14">
        <f t="shared" si="87"/>
        <v>81.882051211276618</v>
      </c>
      <c r="Q111" s="22">
        <f t="shared" si="107"/>
        <v>754.89805719297328</v>
      </c>
      <c r="R111" s="62">
        <f t="shared" si="55"/>
        <v>1048.2313905263065</v>
      </c>
      <c r="S111" s="62">
        <f ca="1">AVERAGE(OFFSET($R$3,0,0,'Données projet'!$E$9+1,1))-AVERAGE(OFFSET($H$3,0,0,'Données projet'!$E$9+1,1))</f>
        <v>309.95417097673084</v>
      </c>
      <c r="T111" s="62">
        <f t="shared" si="88"/>
        <v>170.83243426024433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4.6349535487396487</v>
      </c>
      <c r="AA111" s="23">
        <f>EXP(-LN(2)/25)*AA110+(1-EXP(-LN(2)/25))/(LN(2)/25)*Calculateur!V111*Calculateur!X111*VLOOKUP('Données projet'!$B$9,Paramètres!$A$1:$I$89,3,0)*0.475*44/12</f>
        <v>19.013323270279979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23.648276819019628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4.4500000000000028</v>
      </c>
      <c r="AI111" s="14">
        <f>IF('Données projet'!$A$62&gt;35,AI110+AH111-AQ110,IF(A111&lt;'Données projet'!$A$62,$AF$205^A111,IF(A111='Données projet'!$A$62,'Données projet'!$B$62,AI110+AH111-AQ110)))</f>
        <v>327.34999999999917</v>
      </c>
      <c r="AJ111" s="14">
        <f>AI111*VLOOKUP('Données projet'!$B$10,Paramètres!$A$1:$I$89,3,0)*VLOOKUP('Données projet'!$B$10,Paramètres!$A$1:$I$89,5,0)</f>
        <v>331.93289999999917</v>
      </c>
      <c r="AK111" s="14">
        <f t="shared" si="89"/>
        <v>77.830910344095116</v>
      </c>
      <c r="AL111" s="22">
        <f t="shared" si="58"/>
        <v>713.6719696826309</v>
      </c>
      <c r="AM111" s="62">
        <f t="shared" si="59"/>
        <v>1007.0053030159643</v>
      </c>
      <c r="AN111" s="62">
        <f ca="1">AVERAGE(OFFSET($AM$3,0,0,'Données projet'!$E$10+1,1))-AVERAGE(OFFSET($H$3,0,0,'Données projet'!$E$10+1,1))</f>
        <v>408.65944152905672</v>
      </c>
      <c r="AO111" s="62">
        <f t="shared" si="90"/>
        <v>248.55239719988651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5.3020083500170641</v>
      </c>
      <c r="AV111" s="23">
        <f>EXP(-LN(2)/25)*AV110+(1-EXP(-LN(2)/25))/(LN(2)/25)*Calculateur!AQ111*Calculateur!AS111*VLOOKUP('Données projet'!$B$10,Paramètres!$A$1:$I$89,3,0)*0.475*44/12</f>
        <v>2.6890123120260636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7.9910206620431277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598.14</v>
      </c>
      <c r="BE111" s="14">
        <f>BD111*VLOOKUP('Données projet'!$B$11,Paramètres!$A$1:$I$89,3,0)*VLOOKUP('Données projet'!$B$11,Paramètres!$A$1:$I$89,5,0)</f>
        <v>578.52100799999994</v>
      </c>
      <c r="BF111" s="14">
        <f t="shared" si="91"/>
        <v>127.15611541885089</v>
      </c>
      <c r="BG111" s="22">
        <f t="shared" si="61"/>
        <v>1229.0543232878317</v>
      </c>
      <c r="BH111" s="62">
        <f t="shared" si="62"/>
        <v>1522.387656621165</v>
      </c>
      <c r="BI111" s="62">
        <f ca="1">AVERAGE(OFFSET($BH$3,0,0,'Données projet'!$E$11+1,1))-AVERAGE(OFFSET($H$3,0,0,'Données projet'!$E$11+1,1))</f>
        <v>643.38601112255424</v>
      </c>
      <c r="BJ111" s="62">
        <f t="shared" si="92"/>
        <v>572.76381622085694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4.72511020895677</v>
      </c>
      <c r="BQ111" s="23">
        <f>EXP(-LN(2)/25)*BQ110+(1-EXP(-LN(2)/25))/(LN(2)/25)*Calculateur!BL111*Calculateur!BN111*VLOOKUP('Données projet'!$B$11,Paramètres!$A$1:$I$89,3,0)*0.475*44/12</f>
        <v>2.7940960538283695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7.5192062627851399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505.23000000000025</v>
      </c>
      <c r="BZ111" s="14">
        <f>BY111*VLOOKUP('Données projet'!$B$12,Paramètres!$A$1:$I$89,3,0)*VLOOKUP('Données projet'!$B$12,Paramètres!$A$1:$I$89,5,0)</f>
        <v>338.90828400000015</v>
      </c>
      <c r="CA111" s="14">
        <f t="shared" si="93"/>
        <v>79.274348782791407</v>
      </c>
      <c r="CB111" s="22">
        <f t="shared" si="64"/>
        <v>728.33475209669507</v>
      </c>
      <c r="CC111" s="62">
        <f t="shared" si="65"/>
        <v>1021.6680854300284</v>
      </c>
      <c r="CD111" s="62">
        <f ca="1">AVERAGE(OFFSET($CC$3,0,0,'Données projet'!$E$12+1,1))-AVERAGE(OFFSET($H$3,0,0,'Données projet'!$E$12+1,1))</f>
        <v>323.41415875740768</v>
      </c>
      <c r="CE111" s="62">
        <f t="shared" si="94"/>
        <v>496.54020068152101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598.14</v>
      </c>
      <c r="CU111" s="18">
        <f>CT111*VLOOKUP('Données projet'!$B$13,Paramètres!$A$1:$I$89,3,0)*VLOOKUP('Données projet'!$B$13,Paramètres!$A$1:$I$89,5,0)</f>
        <v>643.837896</v>
      </c>
      <c r="CV111" s="14">
        <f t="shared" si="95"/>
        <v>139.76132574448636</v>
      </c>
      <c r="CW111" s="22">
        <f t="shared" si="67"/>
        <v>1364.7686445383138</v>
      </c>
      <c r="CX111" s="62">
        <f t="shared" si="68"/>
        <v>1658.101977871647</v>
      </c>
      <c r="CY111" s="62">
        <f ca="1">AVERAGE(OFFSET($CX$3,0,0,'Données projet'!$E$13+1,1))-AVERAGE(OFFSET($H$3,0,0,'Données projet'!$E$13+1,1))</f>
        <v>720.47588458554264</v>
      </c>
      <c r="CZ111" s="62">
        <f t="shared" si="96"/>
        <v>638.59686934821627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5.2585903938389853</v>
      </c>
      <c r="DG111" s="23">
        <f>EXP(-LN(2)/25)*DG110+(1-EXP(-LN(2)/25))/(LN(2)/25)*Calculateur!DB111*Calculateur!DD111*VLOOKUP('Données projet'!$B$13,Paramètres!$A$1:$I$89,3,0)*0.475*44/12</f>
        <v>3.1095585115186677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8.3681489053576534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751.18</v>
      </c>
      <c r="O112" s="14">
        <f>N112*VLOOKUP('Données projet'!$B$9,Paramètres!$A$1:$I$89,3,0)*VLOOKUP('Données projet'!$B$9,Paramètres!$A$1:$I$89,5,0)</f>
        <v>351.55223999999993</v>
      </c>
      <c r="P112" s="14">
        <f t="shared" si="87"/>
        <v>81.882051211276618</v>
      </c>
      <c r="Q112" s="22">
        <f t="shared" si="107"/>
        <v>754.89805719297328</v>
      </c>
      <c r="R112" s="62">
        <f t="shared" si="55"/>
        <v>1048.2313905263065</v>
      </c>
      <c r="S112" s="62">
        <f ca="1">AVERAGE(OFFSET($R$3,0,0,'Données projet'!$E$9+1,1))-AVERAGE(OFFSET($H$3,0,0,'Données projet'!$E$9+1,1))</f>
        <v>309.95417097673084</v>
      </c>
      <c r="T112" s="62">
        <f t="shared" si="88"/>
        <v>170.83243426024433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4.5440649366913819</v>
      </c>
      <c r="AA112" s="23">
        <f>EXP(-LN(2)/25)*AA111+(1-EXP(-LN(2)/25))/(LN(2)/25)*Calculateur!V112*Calculateur!X112*VLOOKUP('Données projet'!$B$9,Paramètres!$A$1:$I$89,3,0)*0.475*44/12</f>
        <v>18.493402945586958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23.037467882278339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>
        <f>VLOOKUP(A112,'Données projet'!$A$61:$I$81,2,0)</f>
        <v>331.8</v>
      </c>
      <c r="AG112" s="13">
        <f>VLOOKUP(A112,'Données projet'!$A$61:$I$81,9,0)</f>
        <v>4.4500000000000028</v>
      </c>
      <c r="AH112" s="13">
        <f t="array" ref="AH112">INDEX(AG:AG,MIN(IF(ISNUMBER(AG112:AG308),ROW(AG112:AG308),"")))</f>
        <v>4.4500000000000028</v>
      </c>
      <c r="AI112" s="14">
        <f>IF('Données projet'!$A$62&gt;35,AI111+AH112-AQ111,IF(A112&lt;'Données projet'!$A$62,$AF$205^A112,IF(A112='Données projet'!$A$62,'Données projet'!$B$62,AI111+AH112-AQ111)))</f>
        <v>331.79999999999916</v>
      </c>
      <c r="AJ112" s="14">
        <f>AI112*VLOOKUP('Données projet'!$B$10,Paramètres!$A$1:$I$89,3,0)*VLOOKUP('Données projet'!$B$10,Paramètres!$A$1:$I$89,5,0)</f>
        <v>336.44519999999915</v>
      </c>
      <c r="AK112" s="14">
        <f t="shared" si="89"/>
        <v>78.765053578719517</v>
      </c>
      <c r="AL112" s="22">
        <f t="shared" si="58"/>
        <v>723.15785831626829</v>
      </c>
      <c r="AM112" s="62">
        <f t="shared" si="59"/>
        <v>1016.4911916496017</v>
      </c>
      <c r="AN112" s="62">
        <f ca="1">AVERAGE(OFFSET($AM$3,0,0,'Données projet'!$E$10+1,1))-AVERAGE(OFFSET($H$3,0,0,'Données projet'!$E$10+1,1))</f>
        <v>408.65944152905672</v>
      </c>
      <c r="AO112" s="62">
        <f t="shared" si="90"/>
        <v>248.55239719988651</v>
      </c>
      <c r="AP112" s="16">
        <f>IF(ISNA(VLOOKUP(A112,'Données projet'!$A$61:$I$81,3,0)),0,VLOOKUP(A112,'Données projet'!$A$61:$I$81,3,0))</f>
        <v>9</v>
      </c>
      <c r="AQ112" s="16">
        <f>IF(ISNA(VLOOKUP(A112,'Données projet'!$A$61:$I$81,4,0)),0,VLOOKUP(A112,'Données projet'!$A$61:$I$81,4,0))</f>
        <v>33.18</v>
      </c>
      <c r="AR112" s="17">
        <f>IF(ISNA(VLOOKUP(A112,'Données projet'!$A$61:$I$81,5,0)),0%,VLOOKUP(A112,'Données projet'!$A$61:$I$81,5,0)*VLOOKUP('Données projet'!$B$10,Paramètres!$A$1:$I$89,7,0))</f>
        <v>7.3099999999999998E-2</v>
      </c>
      <c r="AS112" s="17">
        <f>IF(ISNA(VLOOKUP(A112,'Données projet'!$A$61:$I$81,6,0)),0%,VLOOKUP(A112,'Données projet'!$A$61:$I$81,6,0)*VLOOKUP('Données projet'!$B$10,Paramètres!$A$1:$I$89,7,0))</f>
        <v>5.16E-2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7.9168489836414491</v>
      </c>
      <c r="AV112" s="23">
        <f>EXP(-LN(2)/25)*AV111+(1-EXP(-LN(2)/25))/(LN(2)/25)*Calculateur!AQ112*Calculateur!AS112*VLOOKUP('Données projet'!$B$10,Paramètres!$A$1:$I$89,3,0)*0.475*44/12</f>
        <v>4.5270845125192016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12.44393349616065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598.14</v>
      </c>
      <c r="BE112" s="14">
        <f>BD112*VLOOKUP('Données projet'!$B$11,Paramètres!$A$1:$I$89,3,0)*VLOOKUP('Données projet'!$B$11,Paramètres!$A$1:$I$89,5,0)</f>
        <v>578.52100799999994</v>
      </c>
      <c r="BF112" s="14">
        <f t="shared" si="91"/>
        <v>127.15611541885089</v>
      </c>
      <c r="BG112" s="22">
        <f t="shared" si="61"/>
        <v>1229.0543232878317</v>
      </c>
      <c r="BH112" s="62">
        <f t="shared" si="62"/>
        <v>1522.387656621165</v>
      </c>
      <c r="BI112" s="62">
        <f ca="1">AVERAGE(OFFSET($BH$3,0,0,'Données projet'!$E$11+1,1))-AVERAGE(OFFSET($H$3,0,0,'Données projet'!$E$11+1,1))</f>
        <v>643.38601112255424</v>
      </c>
      <c r="BJ112" s="62">
        <f t="shared" si="92"/>
        <v>572.76381622085694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4.6324536797917784</v>
      </c>
      <c r="BQ112" s="23">
        <f>EXP(-LN(2)/25)*BQ111+(1-EXP(-LN(2)/25))/(LN(2)/25)*Calculateur!BL112*Calculateur!BN112*VLOOKUP('Données projet'!$B$11,Paramètres!$A$1:$I$89,3,0)*0.475*44/12</f>
        <v>2.7176913503013074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7.3501450300930857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505.23000000000025</v>
      </c>
      <c r="BZ112" s="14">
        <f>BY112*VLOOKUP('Données projet'!$B$12,Paramètres!$A$1:$I$89,3,0)*VLOOKUP('Données projet'!$B$12,Paramètres!$A$1:$I$89,5,0)</f>
        <v>338.90828400000015</v>
      </c>
      <c r="CA112" s="14">
        <f t="shared" si="93"/>
        <v>79.274348782791407</v>
      </c>
      <c r="CB112" s="22">
        <f t="shared" si="64"/>
        <v>728.33475209669507</v>
      </c>
      <c r="CC112" s="62">
        <f t="shared" si="65"/>
        <v>1021.6680854300284</v>
      </c>
      <c r="CD112" s="62">
        <f ca="1">AVERAGE(OFFSET($CC$3,0,0,'Données projet'!$E$12+1,1))-AVERAGE(OFFSET($H$3,0,0,'Données projet'!$E$12+1,1))</f>
        <v>323.41415875740768</v>
      </c>
      <c r="CE112" s="62">
        <f t="shared" si="94"/>
        <v>496.54020068152101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598.14</v>
      </c>
      <c r="CU112" s="18">
        <f>CT112*VLOOKUP('Données projet'!$B$13,Paramètres!$A$1:$I$89,3,0)*VLOOKUP('Données projet'!$B$13,Paramètres!$A$1:$I$89,5,0)</f>
        <v>643.837896</v>
      </c>
      <c r="CV112" s="14">
        <f t="shared" si="95"/>
        <v>139.76132574448636</v>
      </c>
      <c r="CW112" s="22">
        <f t="shared" si="67"/>
        <v>1364.7686445383138</v>
      </c>
      <c r="CX112" s="62">
        <f t="shared" si="68"/>
        <v>1658.101977871647</v>
      </c>
      <c r="CY112" s="62">
        <f ca="1">AVERAGE(OFFSET($CX$3,0,0,'Données projet'!$E$13+1,1))-AVERAGE(OFFSET($H$3,0,0,'Données projet'!$E$13+1,1))</f>
        <v>720.47588458554264</v>
      </c>
      <c r="CZ112" s="62">
        <f t="shared" si="96"/>
        <v>638.59686934821627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5.1554726436392366</v>
      </c>
      <c r="DG112" s="23">
        <f>EXP(-LN(2)/25)*DG111+(1-EXP(-LN(2)/25))/(LN(2)/25)*Calculateur!DB112*Calculateur!DD112*VLOOKUP('Données projet'!$B$13,Paramètres!$A$1:$I$89,3,0)*0.475*44/12</f>
        <v>3.0245274704966145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8.1800001141358507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751.18</v>
      </c>
      <c r="O113" s="14">
        <f>N113*VLOOKUP('Données projet'!$B$9,Paramètres!$A$1:$I$89,3,0)*VLOOKUP('Données projet'!$B$9,Paramètres!$A$1:$I$89,5,0)</f>
        <v>351.55223999999993</v>
      </c>
      <c r="P113" s="14">
        <f t="shared" si="87"/>
        <v>81.882051211276618</v>
      </c>
      <c r="Q113" s="22">
        <f t="shared" si="107"/>
        <v>754.89805719297328</v>
      </c>
      <c r="R113" s="62">
        <f t="shared" si="55"/>
        <v>1048.2313905263065</v>
      </c>
      <c r="S113" s="62">
        <f ca="1">AVERAGE(OFFSET($R$3,0,0,'Données projet'!$E$9+1,1))-AVERAGE(OFFSET($H$3,0,0,'Données projet'!$E$9+1,1))</f>
        <v>309.95417097673084</v>
      </c>
      <c r="T113" s="62">
        <f t="shared" si="88"/>
        <v>170.83243426024433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4.4549585948888017</v>
      </c>
      <c r="AA113" s="23">
        <f>EXP(-LN(2)/25)*AA112+(1-EXP(-LN(2)/25))/(LN(2)/25)*Calculateur!V113*Calculateur!X113*VLOOKUP('Données projet'!$B$9,Paramètres!$A$1:$I$89,3,0)*0.475*44/12</f>
        <v>17.987699869514088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22.442658464402889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4.4499999999999984</v>
      </c>
      <c r="AI113" s="14">
        <f>IF('Données projet'!$A$62&gt;35,AI112+AH113-AQ112,IF(A113&lt;'Données projet'!$A$62,$AF$205^A113,IF(A113='Données projet'!$A$62,'Données projet'!$B$62,AI112+AH113-AQ112)))</f>
        <v>303.06999999999914</v>
      </c>
      <c r="AJ113" s="14">
        <f>AI113*VLOOKUP('Données projet'!$B$10,Paramètres!$A$1:$I$89,3,0)*VLOOKUP('Données projet'!$B$10,Paramètres!$A$1:$I$89,5,0)</f>
        <v>307.31297999999913</v>
      </c>
      <c r="AK113" s="14">
        <f t="shared" si="89"/>
        <v>72.707389447441386</v>
      </c>
      <c r="AL113" s="22">
        <f t="shared" si="58"/>
        <v>661.86881012095898</v>
      </c>
      <c r="AM113" s="62">
        <f t="shared" si="59"/>
        <v>955.20214345429235</v>
      </c>
      <c r="AN113" s="62">
        <f ca="1">AVERAGE(OFFSET($AM$3,0,0,'Données projet'!$E$10+1,1))-AVERAGE(OFFSET($H$3,0,0,'Données projet'!$E$10+1,1))</f>
        <v>408.65944152905672</v>
      </c>
      <c r="AO113" s="62">
        <f t="shared" si="90"/>
        <v>248.55239719988651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7.7616044038733154</v>
      </c>
      <c r="AV113" s="23">
        <f>EXP(-LN(2)/25)*AV112+(1-EXP(-LN(2)/25))/(LN(2)/25)*Calculateur!AQ113*Calculateur!AS113*VLOOKUP('Données projet'!$B$10,Paramètres!$A$1:$I$89,3,0)*0.475*44/12</f>
        <v>4.4032911484553363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12.164895552328652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598.14</v>
      </c>
      <c r="BE113" s="14">
        <f>BD113*VLOOKUP('Données projet'!$B$11,Paramètres!$A$1:$I$89,3,0)*VLOOKUP('Données projet'!$B$11,Paramètres!$A$1:$I$89,5,0)</f>
        <v>578.52100799999994</v>
      </c>
      <c r="BF113" s="14">
        <f t="shared" si="91"/>
        <v>127.15611541885089</v>
      </c>
      <c r="BG113" s="22">
        <f t="shared" si="61"/>
        <v>1229.0543232878317</v>
      </c>
      <c r="BH113" s="62">
        <f t="shared" si="62"/>
        <v>1522.387656621165</v>
      </c>
      <c r="BI113" s="62">
        <f ca="1">AVERAGE(OFFSET($BH$3,0,0,'Données projet'!$E$11+1,1))-AVERAGE(OFFSET($H$3,0,0,'Données projet'!$E$11+1,1))</f>
        <v>643.38601112255424</v>
      </c>
      <c r="BJ113" s="62">
        <f t="shared" si="92"/>
        <v>572.76381622085694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4.5416140886488092</v>
      </c>
      <c r="BQ113" s="23">
        <f>EXP(-LN(2)/25)*BQ112+(1-EXP(-LN(2)/25))/(LN(2)/25)*Calculateur!BL113*Calculateur!BN113*VLOOKUP('Données projet'!$B$11,Paramètres!$A$1:$I$89,3,0)*0.475*44/12</f>
        <v>2.6433759374101413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7.1849900260589505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505.23000000000025</v>
      </c>
      <c r="BZ113" s="14">
        <f>BY113*VLOOKUP('Données projet'!$B$12,Paramètres!$A$1:$I$89,3,0)*VLOOKUP('Données projet'!$B$12,Paramètres!$A$1:$I$89,5,0)</f>
        <v>338.90828400000015</v>
      </c>
      <c r="CA113" s="14">
        <f t="shared" si="93"/>
        <v>79.274348782791407</v>
      </c>
      <c r="CB113" s="22">
        <f t="shared" si="64"/>
        <v>728.33475209669507</v>
      </c>
      <c r="CC113" s="62">
        <f t="shared" si="65"/>
        <v>1021.6680854300284</v>
      </c>
      <c r="CD113" s="62">
        <f ca="1">AVERAGE(OFFSET($CC$3,0,0,'Données projet'!$E$12+1,1))-AVERAGE(OFFSET($H$3,0,0,'Données projet'!$E$12+1,1))</f>
        <v>323.41415875740768</v>
      </c>
      <c r="CE113" s="62">
        <f t="shared" si="94"/>
        <v>496.54020068152101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598.14</v>
      </c>
      <c r="CU113" s="18">
        <f>CT113*VLOOKUP('Données projet'!$B$13,Paramètres!$A$1:$I$89,3,0)*VLOOKUP('Données projet'!$B$13,Paramètres!$A$1:$I$89,5,0)</f>
        <v>643.837896</v>
      </c>
      <c r="CV113" s="14">
        <f t="shared" si="95"/>
        <v>139.76132574448636</v>
      </c>
      <c r="CW113" s="22">
        <f t="shared" si="67"/>
        <v>1364.7686445383138</v>
      </c>
      <c r="CX113" s="62">
        <f t="shared" si="68"/>
        <v>1658.101977871647</v>
      </c>
      <c r="CY113" s="62">
        <f ca="1">AVERAGE(OFFSET($CX$3,0,0,'Données projet'!$E$13+1,1))-AVERAGE(OFFSET($H$3,0,0,'Données projet'!$E$13+1,1))</f>
        <v>720.47588458554264</v>
      </c>
      <c r="CZ113" s="62">
        <f t="shared" si="96"/>
        <v>638.59686934821627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5.0543769696252872</v>
      </c>
      <c r="DG113" s="23">
        <f>EXP(-LN(2)/25)*DG112+(1-EXP(-LN(2)/25))/(LN(2)/25)*Calculateur!DB113*Calculateur!DD113*VLOOKUP('Données projet'!$B$13,Paramètres!$A$1:$I$89,3,0)*0.475*44/12</f>
        <v>2.9418216077628974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7.996198577388185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751.18</v>
      </c>
      <c r="O114" s="14">
        <f>N114*VLOOKUP('Données projet'!$B$9,Paramètres!$A$1:$I$89,3,0)*VLOOKUP('Données projet'!$B$9,Paramètres!$A$1:$I$89,5,0)</f>
        <v>351.55223999999993</v>
      </c>
      <c r="P114" s="14">
        <f t="shared" si="87"/>
        <v>81.882051211276618</v>
      </c>
      <c r="Q114" s="22">
        <f t="shared" si="107"/>
        <v>754.89805719297328</v>
      </c>
      <c r="R114" s="62">
        <f t="shared" si="55"/>
        <v>1048.2313905263065</v>
      </c>
      <c r="S114" s="62">
        <f ca="1">AVERAGE(OFFSET($R$3,0,0,'Données projet'!$E$9+1,1))-AVERAGE(OFFSET($H$3,0,0,'Données projet'!$E$9+1,1))</f>
        <v>309.95417097673084</v>
      </c>
      <c r="T114" s="62">
        <f t="shared" si="88"/>
        <v>170.83243426024433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4.3675995740994686</v>
      </c>
      <c r="AA114" s="23">
        <f>EXP(-LN(2)/25)*AA113+(1-EXP(-LN(2)/25))/(LN(2)/25)*Calculateur!V114*Calculateur!X114*VLOOKUP('Données projet'!$B$9,Paramètres!$A$1:$I$89,3,0)*0.475*44/12</f>
        <v>17.495825270650201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21.86342484474967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4.4499999999999984</v>
      </c>
      <c r="AI114" s="14">
        <f>IF('Données projet'!$A$62&gt;35,AI113+AH114-AQ113,IF(A114&lt;'Données projet'!$A$62,$AF$205^A114,IF(A114='Données projet'!$A$62,'Données projet'!$B$62,AI113+AH114-AQ113)))</f>
        <v>307.51999999999913</v>
      </c>
      <c r="AJ114" s="14">
        <f>AI114*VLOOKUP('Données projet'!$B$10,Paramètres!$A$1:$I$89,3,0)*VLOOKUP('Données projet'!$B$10,Paramètres!$A$1:$I$89,5,0)</f>
        <v>311.82527999999911</v>
      </c>
      <c r="AK114" s="14">
        <f t="shared" si="89"/>
        <v>73.649890942076581</v>
      </c>
      <c r="AL114" s="22">
        <f t="shared" si="58"/>
        <v>671.36925605744852</v>
      </c>
      <c r="AM114" s="62">
        <f t="shared" si="59"/>
        <v>964.7025893907819</v>
      </c>
      <c r="AN114" s="62">
        <f ca="1">AVERAGE(OFFSET($AM$3,0,0,'Données projet'!$E$10+1,1))-AVERAGE(OFFSET($H$3,0,0,'Données projet'!$E$10+1,1))</f>
        <v>408.65944152905672</v>
      </c>
      <c r="AO114" s="62">
        <f t="shared" si="90"/>
        <v>248.55239719988651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7.6094040756245915</v>
      </c>
      <c r="AV114" s="23">
        <f>EXP(-LN(2)/25)*AV113+(1-EXP(-LN(2)/25))/(LN(2)/25)*Calculateur!AQ114*Calculateur!AS114*VLOOKUP('Données projet'!$B$10,Paramètres!$A$1:$I$89,3,0)*0.475*44/12</f>
        <v>4.2828829204418071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11.892286996066399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598.14</v>
      </c>
      <c r="BE114" s="14">
        <f>BD114*VLOOKUP('Données projet'!$B$11,Paramètres!$A$1:$I$89,3,0)*VLOOKUP('Données projet'!$B$11,Paramètres!$A$1:$I$89,5,0)</f>
        <v>578.52100799999994</v>
      </c>
      <c r="BF114" s="14">
        <f t="shared" si="91"/>
        <v>127.15611541885089</v>
      </c>
      <c r="BG114" s="22">
        <f t="shared" si="61"/>
        <v>1229.0543232878317</v>
      </c>
      <c r="BH114" s="62">
        <f t="shared" si="62"/>
        <v>1522.387656621165</v>
      </c>
      <c r="BI114" s="62">
        <f ca="1">AVERAGE(OFFSET($BH$3,0,0,'Données projet'!$E$11+1,1))-AVERAGE(OFFSET($H$3,0,0,'Données projet'!$E$11+1,1))</f>
        <v>643.38601112255424</v>
      </c>
      <c r="BJ114" s="62">
        <f t="shared" si="92"/>
        <v>572.76381622085694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4.4525558064814748</v>
      </c>
      <c r="BQ114" s="23">
        <f>EXP(-LN(2)/25)*BQ113+(1-EXP(-LN(2)/25))/(LN(2)/25)*Calculateur!BL114*Calculateur!BN114*VLOOKUP('Données projet'!$B$11,Paramètres!$A$1:$I$89,3,0)*0.475*44/12</f>
        <v>2.5710926833925618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7.0236484898740361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505.23000000000025</v>
      </c>
      <c r="BZ114" s="14">
        <f>BY114*VLOOKUP('Données projet'!$B$12,Paramètres!$A$1:$I$89,3,0)*VLOOKUP('Données projet'!$B$12,Paramètres!$A$1:$I$89,5,0)</f>
        <v>338.90828400000015</v>
      </c>
      <c r="CA114" s="14">
        <f t="shared" si="93"/>
        <v>79.274348782791407</v>
      </c>
      <c r="CB114" s="22">
        <f t="shared" si="64"/>
        <v>728.33475209669507</v>
      </c>
      <c r="CC114" s="62">
        <f t="shared" si="65"/>
        <v>1021.6680854300284</v>
      </c>
      <c r="CD114" s="62">
        <f ca="1">AVERAGE(OFFSET($CC$3,0,0,'Données projet'!$E$12+1,1))-AVERAGE(OFFSET($H$3,0,0,'Données projet'!$E$12+1,1))</f>
        <v>323.41415875740768</v>
      </c>
      <c r="CE114" s="62">
        <f t="shared" si="94"/>
        <v>496.54020068152101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598.14</v>
      </c>
      <c r="CU114" s="18">
        <f>CT114*VLOOKUP('Données projet'!$B$13,Paramètres!$A$1:$I$89,3,0)*VLOOKUP('Données projet'!$B$13,Paramètres!$A$1:$I$89,5,0)</f>
        <v>643.837896</v>
      </c>
      <c r="CV114" s="14">
        <f t="shared" si="95"/>
        <v>139.76132574448636</v>
      </c>
      <c r="CW114" s="22">
        <f t="shared" si="67"/>
        <v>1364.7686445383138</v>
      </c>
      <c r="CX114" s="62">
        <f t="shared" si="68"/>
        <v>1658.101977871647</v>
      </c>
      <c r="CY114" s="62">
        <f ca="1">AVERAGE(OFFSET($CX$3,0,0,'Données projet'!$E$13+1,1))-AVERAGE(OFFSET($H$3,0,0,'Données projet'!$E$13+1,1))</f>
        <v>720.47588458554264</v>
      </c>
      <c r="CZ114" s="62">
        <f t="shared" si="96"/>
        <v>638.59686934821627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4.9552637201164789</v>
      </c>
      <c r="DG114" s="23">
        <f>EXP(-LN(2)/25)*DG113+(1-EXP(-LN(2)/25))/(LN(2)/25)*Calculateur!DB114*Calculateur!DD114*VLOOKUP('Données projet'!$B$13,Paramètres!$A$1:$I$89,3,0)*0.475*44/12</f>
        <v>2.8613773411949461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7.816641061311425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751.18</v>
      </c>
      <c r="O115" s="14">
        <f>N115*VLOOKUP('Données projet'!$B$9,Paramètres!$A$1:$I$89,3,0)*VLOOKUP('Données projet'!$B$9,Paramètres!$A$1:$I$89,5,0)</f>
        <v>351.55223999999993</v>
      </c>
      <c r="P115" s="14">
        <f t="shared" si="87"/>
        <v>81.882051211276618</v>
      </c>
      <c r="Q115" s="22">
        <f t="shared" si="107"/>
        <v>754.89805719297328</v>
      </c>
      <c r="R115" s="62">
        <f t="shared" si="55"/>
        <v>1048.2313905263065</v>
      </c>
      <c r="S115" s="62">
        <f ca="1">AVERAGE(OFFSET($R$3,0,0,'Données projet'!$E$9+1,1))-AVERAGE(OFFSET($H$3,0,0,'Données projet'!$E$9+1,1))</f>
        <v>309.95417097673084</v>
      </c>
      <c r="T115" s="62">
        <f t="shared" si="88"/>
        <v>170.83243426024433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4.2819536104240727</v>
      </c>
      <c r="AA115" s="23">
        <f>EXP(-LN(2)/25)*AA114+(1-EXP(-LN(2)/25))/(LN(2)/25)*Calculateur!V115*Calculateur!X115*VLOOKUP('Données projet'!$B$9,Paramètres!$A$1:$I$89,3,0)*0.475*44/12</f>
        <v>17.017401008558807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21.299354618982878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4.4499999999999984</v>
      </c>
      <c r="AI115" s="14">
        <f>IF('Données projet'!$A$62&gt;35,AI114+AH115-AQ114,IF(A115&lt;'Données projet'!$A$62,$AF$205^A115,IF(A115='Données projet'!$A$62,'Données projet'!$B$62,AI114+AH115-AQ114)))</f>
        <v>311.96999999999912</v>
      </c>
      <c r="AJ115" s="14">
        <f>AI115*VLOOKUP('Données projet'!$B$10,Paramètres!$A$1:$I$89,3,0)*VLOOKUP('Données projet'!$B$10,Paramètres!$A$1:$I$89,5,0)</f>
        <v>316.33757999999909</v>
      </c>
      <c r="AK115" s="14">
        <f t="shared" si="89"/>
        <v>74.590806185405853</v>
      </c>
      <c r="AL115" s="22">
        <f t="shared" si="58"/>
        <v>680.86693927291356</v>
      </c>
      <c r="AM115" s="62">
        <f t="shared" si="59"/>
        <v>974.20027260624693</v>
      </c>
      <c r="AN115" s="62">
        <f ca="1">AVERAGE(OFFSET($AM$3,0,0,'Données projet'!$E$10+1,1))-AVERAGE(OFFSET($H$3,0,0,'Données projet'!$E$10+1,1))</f>
        <v>408.65944152905672</v>
      </c>
      <c r="AO115" s="62">
        <f t="shared" si="90"/>
        <v>248.55239719988651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7.4601883029797911</v>
      </c>
      <c r="AV115" s="23">
        <f>EXP(-LN(2)/25)*AV114+(1-EXP(-LN(2)/25))/(LN(2)/25)*Calculateur!AQ115*Calculateur!AS115*VLOOKUP('Données projet'!$B$10,Paramètres!$A$1:$I$89,3,0)*0.475*44/12</f>
        <v>4.1657672617553017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11.625955564735094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598.14</v>
      </c>
      <c r="BE115" s="14">
        <f>BD115*VLOOKUP('Données projet'!$B$11,Paramètres!$A$1:$I$89,3,0)*VLOOKUP('Données projet'!$B$11,Paramètres!$A$1:$I$89,5,0)</f>
        <v>578.52100799999994</v>
      </c>
      <c r="BF115" s="14">
        <f t="shared" si="91"/>
        <v>127.15611541885089</v>
      </c>
      <c r="BG115" s="22">
        <f t="shared" si="61"/>
        <v>1229.0543232878317</v>
      </c>
      <c r="BH115" s="62">
        <f t="shared" si="62"/>
        <v>1522.387656621165</v>
      </c>
      <c r="BI115" s="62">
        <f ca="1">AVERAGE(OFFSET($BH$3,0,0,'Données projet'!$E$11+1,1))-AVERAGE(OFFSET($H$3,0,0,'Données projet'!$E$11+1,1))</f>
        <v>643.38601112255424</v>
      </c>
      <c r="BJ115" s="62">
        <f t="shared" si="92"/>
        <v>572.76381622085694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4.3652439029072525</v>
      </c>
      <c r="BQ115" s="23">
        <f>EXP(-LN(2)/25)*BQ114+(1-EXP(-LN(2)/25))/(LN(2)/25)*Calculateur!BL115*Calculateur!BN115*VLOOKUP('Données projet'!$B$11,Paramètres!$A$1:$I$89,3,0)*0.475*44/12</f>
        <v>2.5007860187573043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6.8660299216645573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505.23000000000025</v>
      </c>
      <c r="BZ115" s="14">
        <f>BY115*VLOOKUP('Données projet'!$B$12,Paramètres!$A$1:$I$89,3,0)*VLOOKUP('Données projet'!$B$12,Paramètres!$A$1:$I$89,5,0)</f>
        <v>338.90828400000015</v>
      </c>
      <c r="CA115" s="14">
        <f t="shared" si="93"/>
        <v>79.274348782791407</v>
      </c>
      <c r="CB115" s="22">
        <f t="shared" si="64"/>
        <v>728.33475209669507</v>
      </c>
      <c r="CC115" s="62">
        <f t="shared" si="65"/>
        <v>1021.6680854300284</v>
      </c>
      <c r="CD115" s="62">
        <f ca="1">AVERAGE(OFFSET($CC$3,0,0,'Données projet'!$E$12+1,1))-AVERAGE(OFFSET($H$3,0,0,'Données projet'!$E$12+1,1))</f>
        <v>323.41415875740768</v>
      </c>
      <c r="CE115" s="62">
        <f t="shared" si="94"/>
        <v>496.54020068152101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598.14</v>
      </c>
      <c r="CU115" s="18">
        <f>CT115*VLOOKUP('Données projet'!$B$13,Paramètres!$A$1:$I$89,3,0)*VLOOKUP('Données projet'!$B$13,Paramètres!$A$1:$I$89,5,0)</f>
        <v>643.837896</v>
      </c>
      <c r="CV115" s="14">
        <f t="shared" si="95"/>
        <v>139.76132574448636</v>
      </c>
      <c r="CW115" s="22">
        <f t="shared" si="67"/>
        <v>1364.7686445383138</v>
      </c>
      <c r="CX115" s="62">
        <f t="shared" si="68"/>
        <v>1658.101977871647</v>
      </c>
      <c r="CY115" s="62">
        <f ca="1">AVERAGE(OFFSET($CX$3,0,0,'Données projet'!$E$13+1,1))-AVERAGE(OFFSET($H$3,0,0,'Données projet'!$E$13+1,1))</f>
        <v>720.47588458554264</v>
      </c>
      <c r="CZ115" s="62">
        <f t="shared" si="96"/>
        <v>638.59686934821627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4.8580940209774255</v>
      </c>
      <c r="DG115" s="23">
        <f>EXP(-LN(2)/25)*DG114+(1-EXP(-LN(2)/25))/(LN(2)/25)*Calculateur!DB115*Calculateur!DD115*VLOOKUP('Données projet'!$B$13,Paramètres!$A$1:$I$89,3,0)*0.475*44/12</f>
        <v>2.7831328273266758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7.6412268483041013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751.18</v>
      </c>
      <c r="O116" s="14">
        <f>N116*VLOOKUP('Données projet'!$B$9,Paramètres!$A$1:$I$89,3,0)*VLOOKUP('Données projet'!$B$9,Paramètres!$A$1:$I$89,5,0)</f>
        <v>351.55223999999993</v>
      </c>
      <c r="P116" s="14">
        <f t="shared" si="87"/>
        <v>81.882051211276618</v>
      </c>
      <c r="Q116" s="22">
        <f t="shared" si="107"/>
        <v>754.89805719297328</v>
      </c>
      <c r="R116" s="62">
        <f t="shared" si="55"/>
        <v>1048.2313905263065</v>
      </c>
      <c r="S116" s="62">
        <f ca="1">AVERAGE(OFFSET($R$3,0,0,'Données projet'!$E$9+1,1))-AVERAGE(OFFSET($H$3,0,0,'Données projet'!$E$9+1,1))</f>
        <v>309.95417097673084</v>
      </c>
      <c r="T116" s="62">
        <f t="shared" si="88"/>
        <v>170.83243426024433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4.1979871118574721</v>
      </c>
      <c r="AA116" s="23">
        <f>EXP(-LN(2)/25)*AA115+(1-EXP(-LN(2)/25))/(LN(2)/25)*Calculateur!V116*Calculateur!X116*VLOOKUP('Données projet'!$B$9,Paramètres!$A$1:$I$89,3,0)*0.475*44/12</f>
        <v>16.55205928307354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20.750046394931012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4.4499999999999984</v>
      </c>
      <c r="AI116" s="14">
        <f>IF('Données projet'!$A$62&gt;35,AI115+AH116-AQ115,IF(A116&lt;'Données projet'!$A$62,$AF$205^A116,IF(A116='Données projet'!$A$62,'Données projet'!$B$62,AI115+AH116-AQ115)))</f>
        <v>316.41999999999911</v>
      </c>
      <c r="AJ116" s="14">
        <f>AI116*VLOOKUP('Données projet'!$B$10,Paramètres!$A$1:$I$89,3,0)*VLOOKUP('Données projet'!$B$10,Paramètres!$A$1:$I$89,5,0)</f>
        <v>320.84987999999913</v>
      </c>
      <c r="AK116" s="14">
        <f t="shared" si="89"/>
        <v>75.530160418522073</v>
      </c>
      <c r="AL116" s="22">
        <f t="shared" si="58"/>
        <v>690.36190372892452</v>
      </c>
      <c r="AM116" s="62">
        <f t="shared" si="59"/>
        <v>983.69523706225777</v>
      </c>
      <c r="AN116" s="62">
        <f ca="1">AVERAGE(OFFSET($AM$3,0,0,'Données projet'!$E$10+1,1))-AVERAGE(OFFSET($H$3,0,0,'Données projet'!$E$10+1,1))</f>
        <v>408.65944152905672</v>
      </c>
      <c r="AO116" s="62">
        <f t="shared" si="90"/>
        <v>248.55239719988651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7.3138985606239206</v>
      </c>
      <c r="AV116" s="23">
        <f>EXP(-LN(2)/25)*AV115+(1-EXP(-LN(2)/25))/(LN(2)/25)*Calculateur!AQ116*Calculateur!AS116*VLOOKUP('Données projet'!$B$10,Paramètres!$A$1:$I$89,3,0)*0.475*44/12</f>
        <v>4.0518541369144234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11.365752697538344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598.14</v>
      </c>
      <c r="BE116" s="14">
        <f>BD116*VLOOKUP('Données projet'!$B$11,Paramètres!$A$1:$I$89,3,0)*VLOOKUP('Données projet'!$B$11,Paramètres!$A$1:$I$89,5,0)</f>
        <v>578.52100799999994</v>
      </c>
      <c r="BF116" s="14">
        <f t="shared" si="91"/>
        <v>127.15611541885089</v>
      </c>
      <c r="BG116" s="22">
        <f t="shared" si="61"/>
        <v>1229.0543232878317</v>
      </c>
      <c r="BH116" s="62">
        <f t="shared" si="62"/>
        <v>1522.387656621165</v>
      </c>
      <c r="BI116" s="62">
        <f ca="1">AVERAGE(OFFSET($BH$3,0,0,'Données projet'!$E$11+1,1))-AVERAGE(OFFSET($H$3,0,0,'Données projet'!$E$11+1,1))</f>
        <v>643.38601112255424</v>
      </c>
      <c r="BJ116" s="62">
        <f t="shared" si="92"/>
        <v>572.76381622085694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4.2796441325071184</v>
      </c>
      <c r="BQ116" s="23">
        <f>EXP(-LN(2)/25)*BQ115+(1-EXP(-LN(2)/25))/(LN(2)/25)*Calculateur!BL116*Calculateur!BN116*VLOOKUP('Données projet'!$B$11,Paramètres!$A$1:$I$89,3,0)*0.475*44/12</f>
        <v>2.4324018935637648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6.7120460260708832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505.23000000000025</v>
      </c>
      <c r="BZ116" s="14">
        <f>BY116*VLOOKUP('Données projet'!$B$12,Paramètres!$A$1:$I$89,3,0)*VLOOKUP('Données projet'!$B$12,Paramètres!$A$1:$I$89,5,0)</f>
        <v>338.90828400000015</v>
      </c>
      <c r="CA116" s="14">
        <f t="shared" si="93"/>
        <v>79.274348782791407</v>
      </c>
      <c r="CB116" s="22">
        <f t="shared" si="64"/>
        <v>728.33475209669507</v>
      </c>
      <c r="CC116" s="62">
        <f t="shared" si="65"/>
        <v>1021.6680854300284</v>
      </c>
      <c r="CD116" s="62">
        <f ca="1">AVERAGE(OFFSET($CC$3,0,0,'Données projet'!$E$12+1,1))-AVERAGE(OFFSET($H$3,0,0,'Données projet'!$E$12+1,1))</f>
        <v>323.41415875740768</v>
      </c>
      <c r="CE116" s="62">
        <f t="shared" si="94"/>
        <v>496.54020068152101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598.14</v>
      </c>
      <c r="CU116" s="18">
        <f>CT116*VLOOKUP('Données projet'!$B$13,Paramètres!$A$1:$I$89,3,0)*VLOOKUP('Données projet'!$B$13,Paramètres!$A$1:$I$89,5,0)</f>
        <v>643.837896</v>
      </c>
      <c r="CV116" s="14">
        <f t="shared" si="95"/>
        <v>139.76132574448636</v>
      </c>
      <c r="CW116" s="22">
        <f t="shared" si="67"/>
        <v>1364.7686445383138</v>
      </c>
      <c r="CX116" s="62">
        <f t="shared" si="68"/>
        <v>1658.101977871647</v>
      </c>
      <c r="CY116" s="62">
        <f ca="1">AVERAGE(OFFSET($CX$3,0,0,'Données projet'!$E$13+1,1))-AVERAGE(OFFSET($H$3,0,0,'Données projet'!$E$13+1,1))</f>
        <v>720.47588458554264</v>
      </c>
      <c r="CZ116" s="62">
        <f t="shared" si="96"/>
        <v>638.59686934821627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4.7628297603708249</v>
      </c>
      <c r="DG116" s="23">
        <f>EXP(-LN(2)/25)*DG115+(1-EXP(-LN(2)/25))/(LN(2)/25)*Calculateur!DB116*Calculateur!DD116*VLOOKUP('Données projet'!$B$13,Paramètres!$A$1:$I$89,3,0)*0.475*44/12</f>
        <v>2.7070279138048332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7.4698576741756586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751.18</v>
      </c>
      <c r="O117" s="14">
        <f>N117*VLOOKUP('Données projet'!$B$9,Paramètres!$A$1:$I$89,3,0)*VLOOKUP('Données projet'!$B$9,Paramètres!$A$1:$I$89,5,0)</f>
        <v>351.55223999999993</v>
      </c>
      <c r="P117" s="14">
        <f t="shared" si="87"/>
        <v>81.882051211276618</v>
      </c>
      <c r="Q117" s="22">
        <f t="shared" si="107"/>
        <v>754.89805719297328</v>
      </c>
      <c r="R117" s="62">
        <f t="shared" si="55"/>
        <v>1048.2313905263065</v>
      </c>
      <c r="S117" s="62">
        <f ca="1">AVERAGE(OFFSET($R$3,0,0,'Données projet'!$E$9+1,1))-AVERAGE(OFFSET($H$3,0,0,'Données projet'!$E$9+1,1))</f>
        <v>309.95417097673084</v>
      </c>
      <c r="T117" s="62">
        <f t="shared" si="88"/>
        <v>170.83243426024433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4.1156671451132549</v>
      </c>
      <c r="AA117" s="23">
        <f>EXP(-LN(2)/25)*AA116+(1-EXP(-LN(2)/25))/(LN(2)/25)*Calculateur!V117*Calculateur!X117*VLOOKUP('Données projet'!$B$9,Paramètres!$A$1:$I$89,3,0)*0.475*44/12</f>
        <v>16.099442351542926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20.215109496656183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4.4499999999999984</v>
      </c>
      <c r="AI117" s="14">
        <f>IF('Données projet'!$A$62&gt;35,AI116+AH117-AQ116,IF(A117&lt;'Données projet'!$A$62,$AF$205^A117,IF(A117='Données projet'!$A$62,'Données projet'!$B$62,AI116+AH117-AQ116)))</f>
        <v>320.8699999999991</v>
      </c>
      <c r="AJ117" s="14">
        <f>AI117*VLOOKUP('Données projet'!$B$10,Paramètres!$A$1:$I$89,3,0)*VLOOKUP('Données projet'!$B$10,Paramètres!$A$1:$I$89,5,0)</f>
        <v>325.36217999999911</v>
      </c>
      <c r="AK117" s="14">
        <f t="shared" si="89"/>
        <v>76.467978131778366</v>
      </c>
      <c r="AL117" s="22">
        <f t="shared" si="58"/>
        <v>699.85419207951236</v>
      </c>
      <c r="AM117" s="62">
        <f t="shared" si="59"/>
        <v>993.18752541284562</v>
      </c>
      <c r="AN117" s="62">
        <f ca="1">AVERAGE(OFFSET($AM$3,0,0,'Données projet'!$E$10+1,1))-AVERAGE(OFFSET($H$3,0,0,'Données projet'!$E$10+1,1))</f>
        <v>408.65944152905672</v>
      </c>
      <c r="AO117" s="62">
        <f t="shared" si="90"/>
        <v>248.55239719988651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7.1704774708877164</v>
      </c>
      <c r="AV117" s="23">
        <f>EXP(-LN(2)/25)*AV116+(1-EXP(-LN(2)/25))/(LN(2)/25)*Calculateur!AQ117*Calculateur!AS117*VLOOKUP('Données projet'!$B$10,Paramètres!$A$1:$I$89,3,0)*0.475*44/12</f>
        <v>3.9410559724627503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11.111533443350467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598.14</v>
      </c>
      <c r="BE117" s="14">
        <f>BD117*VLOOKUP('Données projet'!$B$11,Paramètres!$A$1:$I$89,3,0)*VLOOKUP('Données projet'!$B$11,Paramètres!$A$1:$I$89,5,0)</f>
        <v>578.52100799999994</v>
      </c>
      <c r="BF117" s="14">
        <f t="shared" si="91"/>
        <v>127.15611541885089</v>
      </c>
      <c r="BG117" s="22">
        <f t="shared" si="61"/>
        <v>1229.0543232878317</v>
      </c>
      <c r="BH117" s="62">
        <f t="shared" si="62"/>
        <v>1522.387656621165</v>
      </c>
      <c r="BI117" s="62">
        <f ca="1">AVERAGE(OFFSET($BH$3,0,0,'Données projet'!$E$11+1,1))-AVERAGE(OFFSET($H$3,0,0,'Données projet'!$E$11+1,1))</f>
        <v>643.38601112255424</v>
      </c>
      <c r="BJ117" s="62">
        <f t="shared" si="92"/>
        <v>572.76381622085694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4.1957229213938261</v>
      </c>
      <c r="BQ117" s="23">
        <f>EXP(-LN(2)/25)*BQ116+(1-EXP(-LN(2)/25))/(LN(2)/25)*Calculateur!BL117*Calculateur!BN117*VLOOKUP('Données projet'!$B$11,Paramètres!$A$1:$I$89,3,0)*0.475*44/12</f>
        <v>2.3658877358698076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6.5616106572636337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505.23000000000025</v>
      </c>
      <c r="BZ117" s="14">
        <f>BY117*VLOOKUP('Données projet'!$B$12,Paramètres!$A$1:$I$89,3,0)*VLOOKUP('Données projet'!$B$12,Paramètres!$A$1:$I$89,5,0)</f>
        <v>338.90828400000015</v>
      </c>
      <c r="CA117" s="14">
        <f t="shared" si="93"/>
        <v>79.274348782791407</v>
      </c>
      <c r="CB117" s="22">
        <f t="shared" si="64"/>
        <v>728.33475209669507</v>
      </c>
      <c r="CC117" s="62">
        <f t="shared" si="65"/>
        <v>1021.6680854300284</v>
      </c>
      <c r="CD117" s="62">
        <f ca="1">AVERAGE(OFFSET($CC$3,0,0,'Données projet'!$E$12+1,1))-AVERAGE(OFFSET($H$3,0,0,'Données projet'!$E$12+1,1))</f>
        <v>323.41415875740768</v>
      </c>
      <c r="CE117" s="62">
        <f t="shared" si="94"/>
        <v>496.54020068152101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598.14</v>
      </c>
      <c r="CU117" s="18">
        <f>CT117*VLOOKUP('Données projet'!$B$13,Paramètres!$A$1:$I$89,3,0)*VLOOKUP('Données projet'!$B$13,Paramètres!$A$1:$I$89,5,0)</f>
        <v>643.837896</v>
      </c>
      <c r="CV117" s="14">
        <f t="shared" si="95"/>
        <v>139.76132574448636</v>
      </c>
      <c r="CW117" s="22">
        <f t="shared" si="67"/>
        <v>1364.7686445383138</v>
      </c>
      <c r="CX117" s="62">
        <f t="shared" si="68"/>
        <v>1658.101977871647</v>
      </c>
      <c r="CY117" s="62">
        <f ca="1">AVERAGE(OFFSET($CX$3,0,0,'Données projet'!$E$13+1,1))-AVERAGE(OFFSET($H$3,0,0,'Données projet'!$E$13+1,1))</f>
        <v>720.47588458554264</v>
      </c>
      <c r="CZ117" s="62">
        <f t="shared" si="96"/>
        <v>638.59686934821627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4.6694335738092585</v>
      </c>
      <c r="DG117" s="23">
        <f>EXP(-LN(2)/25)*DG116+(1-EXP(-LN(2)/25))/(LN(2)/25)*Calculateur!DB117*Calculateur!DD117*VLOOKUP('Données projet'!$B$13,Paramètres!$A$1:$I$89,3,0)*0.475*44/12</f>
        <v>2.6330040931454293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7.3024376669546882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751.18</v>
      </c>
      <c r="O118" s="14">
        <f>N118*VLOOKUP('Données projet'!$B$9,Paramètres!$A$1:$I$89,3,0)*VLOOKUP('Données projet'!$B$9,Paramètres!$A$1:$I$89,5,0)</f>
        <v>351.55223999999993</v>
      </c>
      <c r="P118" s="14">
        <f t="shared" si="87"/>
        <v>81.882051211276618</v>
      </c>
      <c r="Q118" s="22">
        <f t="shared" si="107"/>
        <v>754.89805719297328</v>
      </c>
      <c r="R118" s="62">
        <f t="shared" si="55"/>
        <v>1048.2313905263065</v>
      </c>
      <c r="S118" s="62">
        <f ca="1">AVERAGE(OFFSET($R$3,0,0,'Données projet'!$E$9+1,1))-AVERAGE(OFFSET($H$3,0,0,'Données projet'!$E$9+1,1))</f>
        <v>309.95417097673084</v>
      </c>
      <c r="T118" s="62">
        <f t="shared" si="88"/>
        <v>170.83243426024433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4.0349614227066697</v>
      </c>
      <c r="AA118" s="23">
        <f>EXP(-LN(2)/25)*AA117+(1-EXP(-LN(2)/25))/(LN(2)/25)*Calculateur!V118*Calculateur!X118*VLOOKUP('Données projet'!$B$9,Paramètres!$A$1:$I$89,3,0)*0.475*44/12</f>
        <v>15.659202253807107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19.694163676513778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4.4499999999999984</v>
      </c>
      <c r="AI118" s="14">
        <f>IF('Données projet'!$A$62&gt;35,AI117+AH118-AQ117,IF(A118&lt;'Données projet'!$A$62,$AF$205^A118,IF(A118='Données projet'!$A$62,'Données projet'!$B$62,AI117+AH118-AQ117)))</f>
        <v>325.31999999999908</v>
      </c>
      <c r="AJ118" s="14">
        <f>AI118*VLOOKUP('Données projet'!$B$10,Paramètres!$A$1:$I$89,3,0)*VLOOKUP('Données projet'!$B$10,Paramètres!$A$1:$I$89,5,0)</f>
        <v>329.8744799999991</v>
      </c>
      <c r="AK118" s="14">
        <f t="shared" si="89"/>
        <v>77.404283097213622</v>
      </c>
      <c r="AL118" s="22">
        <f t="shared" si="58"/>
        <v>709.34384572764554</v>
      </c>
      <c r="AM118" s="62">
        <f t="shared" si="59"/>
        <v>1002.6771790609789</v>
      </c>
      <c r="AN118" s="62">
        <f ca="1">AVERAGE(OFFSET($AM$3,0,0,'Données projet'!$E$10+1,1))-AVERAGE(OFFSET($H$3,0,0,'Données projet'!$E$10+1,1))</f>
        <v>408.65944152905672</v>
      </c>
      <c r="AO118" s="62">
        <f t="shared" si="90"/>
        <v>248.55239719988651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7.0298687812430121</v>
      </c>
      <c r="AV118" s="23">
        <f>EXP(-LN(2)/25)*AV117+(1-EXP(-LN(2)/25))/(LN(2)/25)*Calculateur!AQ118*Calculateur!AS118*VLOOKUP('Données projet'!$B$10,Paramètres!$A$1:$I$89,3,0)*0.475*44/12</f>
        <v>3.8332875896446303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10.863156370887642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598.14</v>
      </c>
      <c r="BE118" s="14">
        <f>BD118*VLOOKUP('Données projet'!$B$11,Paramètres!$A$1:$I$89,3,0)*VLOOKUP('Données projet'!$B$11,Paramètres!$A$1:$I$89,5,0)</f>
        <v>578.52100799999994</v>
      </c>
      <c r="BF118" s="14">
        <f t="shared" si="91"/>
        <v>127.15611541885089</v>
      </c>
      <c r="BG118" s="22">
        <f t="shared" si="61"/>
        <v>1229.0543232878317</v>
      </c>
      <c r="BH118" s="62">
        <f t="shared" si="62"/>
        <v>1522.387656621165</v>
      </c>
      <c r="BI118" s="62">
        <f ca="1">AVERAGE(OFFSET($BH$3,0,0,'Données projet'!$E$11+1,1))-AVERAGE(OFFSET($H$3,0,0,'Données projet'!$E$11+1,1))</f>
        <v>643.38601112255424</v>
      </c>
      <c r="BJ118" s="62">
        <f t="shared" si="92"/>
        <v>572.76381622085694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4.113447354043581</v>
      </c>
      <c r="BQ118" s="23">
        <f>EXP(-LN(2)/25)*BQ117+(1-EXP(-LN(2)/25))/(LN(2)/25)*Calculateur!BL118*Calculateur!BN118*VLOOKUP('Données projet'!$B$11,Paramètres!$A$1:$I$89,3,0)*0.475*44/12</f>
        <v>2.3011924113158191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6.4146397653594001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505.23000000000025</v>
      </c>
      <c r="BZ118" s="14">
        <f>BY118*VLOOKUP('Données projet'!$B$12,Paramètres!$A$1:$I$89,3,0)*VLOOKUP('Données projet'!$B$12,Paramètres!$A$1:$I$89,5,0)</f>
        <v>338.90828400000015</v>
      </c>
      <c r="CA118" s="14">
        <f t="shared" si="93"/>
        <v>79.274348782791407</v>
      </c>
      <c r="CB118" s="22">
        <f t="shared" si="64"/>
        <v>728.33475209669507</v>
      </c>
      <c r="CC118" s="62">
        <f t="shared" si="65"/>
        <v>1021.6680854300284</v>
      </c>
      <c r="CD118" s="62">
        <f ca="1">AVERAGE(OFFSET($CC$3,0,0,'Données projet'!$E$12+1,1))-AVERAGE(OFFSET($H$3,0,0,'Données projet'!$E$12+1,1))</f>
        <v>323.41415875740768</v>
      </c>
      <c r="CE118" s="62">
        <f t="shared" si="94"/>
        <v>496.54020068152101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598.14</v>
      </c>
      <c r="CU118" s="18">
        <f>CT118*VLOOKUP('Données projet'!$B$13,Paramètres!$A$1:$I$89,3,0)*VLOOKUP('Données projet'!$B$13,Paramètres!$A$1:$I$89,5,0)</f>
        <v>643.837896</v>
      </c>
      <c r="CV118" s="14">
        <f t="shared" si="95"/>
        <v>139.76132574448636</v>
      </c>
      <c r="CW118" s="22">
        <f t="shared" si="67"/>
        <v>1364.7686445383138</v>
      </c>
      <c r="CX118" s="62">
        <f t="shared" si="68"/>
        <v>1658.101977871647</v>
      </c>
      <c r="CY118" s="62">
        <f ca="1">AVERAGE(OFFSET($CX$3,0,0,'Données projet'!$E$13+1,1))-AVERAGE(OFFSET($H$3,0,0,'Données projet'!$E$13+1,1))</f>
        <v>720.47588458554264</v>
      </c>
      <c r="CZ118" s="62">
        <f t="shared" si="96"/>
        <v>638.59686934821627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4.5778688295001153</v>
      </c>
      <c r="DG118" s="23">
        <f>EXP(-LN(2)/25)*DG117+(1-EXP(-LN(2)/25))/(LN(2)/25)*Calculateur!DB118*Calculateur!DD118*VLOOKUP('Données projet'!$B$13,Paramètres!$A$1:$I$89,3,0)*0.475*44/12</f>
        <v>2.5610044577547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7.1388732872548157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751.18</v>
      </c>
      <c r="O119" s="14">
        <f>N119*VLOOKUP('Données projet'!$B$9,Paramètres!$A$1:$I$89,3,0)*VLOOKUP('Données projet'!$B$9,Paramètres!$A$1:$I$89,5,0)</f>
        <v>351.55223999999993</v>
      </c>
      <c r="P119" s="14">
        <f t="shared" si="87"/>
        <v>81.882051211276618</v>
      </c>
      <c r="Q119" s="22">
        <f t="shared" si="107"/>
        <v>754.89805719297328</v>
      </c>
      <c r="R119" s="62">
        <f t="shared" si="55"/>
        <v>1048.2313905263065</v>
      </c>
      <c r="S119" s="62">
        <f ca="1">AVERAGE(OFFSET($R$3,0,0,'Données projet'!$E$9+1,1))-AVERAGE(OFFSET($H$3,0,0,'Données projet'!$E$9+1,1))</f>
        <v>309.95417097673084</v>
      </c>
      <c r="T119" s="62">
        <f t="shared" si="88"/>
        <v>170.83243426024433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3.9558382902908478</v>
      </c>
      <c r="AA119" s="23">
        <f>EXP(-LN(2)/25)*AA118+(1-EXP(-LN(2)/25))/(LN(2)/25)*Calculateur!V119*Calculateur!X119*VLOOKUP('Données projet'!$B$9,Paramètres!$A$1:$I$89,3,0)*0.475*44/12</f>
        <v>15.231000544695094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19.186838834985942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4.4499999999999984</v>
      </c>
      <c r="AI119" s="14">
        <f>IF('Données projet'!$A$62&gt;35,AI118+AH119-AQ118,IF(A119&lt;'Données projet'!$A$62,$AF$205^A119,IF(A119='Données projet'!$A$62,'Données projet'!$B$62,AI118+AH119-AQ118)))</f>
        <v>329.76999999999907</v>
      </c>
      <c r="AJ119" s="14">
        <f>AI119*VLOOKUP('Données projet'!$B$10,Paramètres!$A$1:$I$89,3,0)*VLOOKUP('Données projet'!$B$10,Paramètres!$A$1:$I$89,5,0)</f>
        <v>334.38677999999908</v>
      </c>
      <c r="AK119" s="14">
        <f t="shared" si="89"/>
        <v>78.339098399151936</v>
      </c>
      <c r="AL119" s="22">
        <f t="shared" si="58"/>
        <v>718.83090487852132</v>
      </c>
      <c r="AM119" s="62">
        <f t="shared" si="59"/>
        <v>1012.1642382118546</v>
      </c>
      <c r="AN119" s="62">
        <f ca="1">AVERAGE(OFFSET($AM$3,0,0,'Données projet'!$E$10+1,1))-AVERAGE(OFFSET($H$3,0,0,'Données projet'!$E$10+1,1))</f>
        <v>408.65944152905672</v>
      </c>
      <c r="AO119" s="62">
        <f t="shared" si="90"/>
        <v>248.55239719988651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6.8920173422394084</v>
      </c>
      <c r="AV119" s="23">
        <f>EXP(-LN(2)/25)*AV118+(1-EXP(-LN(2)/25))/(LN(2)/25)*Calculateur!AQ119*Calculateur!AS119*VLOOKUP('Données projet'!$B$10,Paramètres!$A$1:$I$89,3,0)*0.475*44/12</f>
        <v>3.7284661389219647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10.620483481161372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598.14</v>
      </c>
      <c r="BE119" s="14">
        <f>BD119*VLOOKUP('Données projet'!$B$11,Paramètres!$A$1:$I$89,3,0)*VLOOKUP('Données projet'!$B$11,Paramètres!$A$1:$I$89,5,0)</f>
        <v>578.52100799999994</v>
      </c>
      <c r="BF119" s="14">
        <f t="shared" si="91"/>
        <v>127.15611541885089</v>
      </c>
      <c r="BG119" s="22">
        <f t="shared" si="61"/>
        <v>1229.0543232878317</v>
      </c>
      <c r="BH119" s="62">
        <f t="shared" si="62"/>
        <v>1522.387656621165</v>
      </c>
      <c r="BI119" s="62">
        <f ca="1">AVERAGE(OFFSET($BH$3,0,0,'Données projet'!$E$11+1,1))-AVERAGE(OFFSET($H$3,0,0,'Données projet'!$E$11+1,1))</f>
        <v>643.38601112255424</v>
      </c>
      <c r="BJ119" s="62">
        <f t="shared" si="92"/>
        <v>572.76381622085694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4.0327851603859335</v>
      </c>
      <c r="BQ119" s="23">
        <f>EXP(-LN(2)/25)*BQ118+(1-EXP(-LN(2)/25))/(LN(2)/25)*Calculateur!BL119*Calculateur!BN119*VLOOKUP('Données projet'!$B$11,Paramètres!$A$1:$I$89,3,0)*0.475*44/12</f>
        <v>2.2382661838139386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6.2710513441998721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505.23000000000025</v>
      </c>
      <c r="BZ119" s="14">
        <f>BY119*VLOOKUP('Données projet'!$B$12,Paramètres!$A$1:$I$89,3,0)*VLOOKUP('Données projet'!$B$12,Paramètres!$A$1:$I$89,5,0)</f>
        <v>338.90828400000015</v>
      </c>
      <c r="CA119" s="14">
        <f t="shared" si="93"/>
        <v>79.274348782791407</v>
      </c>
      <c r="CB119" s="22">
        <f t="shared" si="64"/>
        <v>728.33475209669507</v>
      </c>
      <c r="CC119" s="62">
        <f t="shared" si="65"/>
        <v>1021.6680854300284</v>
      </c>
      <c r="CD119" s="62">
        <f ca="1">AVERAGE(OFFSET($CC$3,0,0,'Données projet'!$E$12+1,1))-AVERAGE(OFFSET($H$3,0,0,'Données projet'!$E$12+1,1))</f>
        <v>323.41415875740768</v>
      </c>
      <c r="CE119" s="62">
        <f t="shared" si="94"/>
        <v>496.54020068152101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598.14</v>
      </c>
      <c r="CU119" s="18">
        <f>CT119*VLOOKUP('Données projet'!$B$13,Paramètres!$A$1:$I$89,3,0)*VLOOKUP('Données projet'!$B$13,Paramètres!$A$1:$I$89,5,0)</f>
        <v>643.837896</v>
      </c>
      <c r="CV119" s="14">
        <f t="shared" si="95"/>
        <v>139.76132574448636</v>
      </c>
      <c r="CW119" s="22">
        <f t="shared" si="67"/>
        <v>1364.7686445383138</v>
      </c>
      <c r="CX119" s="62">
        <f t="shared" si="68"/>
        <v>1658.101977871647</v>
      </c>
      <c r="CY119" s="62">
        <f ca="1">AVERAGE(OFFSET($CX$3,0,0,'Données projet'!$E$13+1,1))-AVERAGE(OFFSET($H$3,0,0,'Données projet'!$E$13+1,1))</f>
        <v>720.47588458554264</v>
      </c>
      <c r="CZ119" s="62">
        <f t="shared" si="96"/>
        <v>638.59686934821627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4.4880996139778944</v>
      </c>
      <c r="DG119" s="23">
        <f>EXP(-LN(2)/25)*DG118+(1-EXP(-LN(2)/25))/(LN(2)/25)*Calculateur!DB119*Calculateur!DD119*VLOOKUP('Données projet'!$B$13,Paramètres!$A$1:$I$89,3,0)*0.475*44/12</f>
        <v>2.4909736561800266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6.9790732701579206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751.18</v>
      </c>
      <c r="O120" s="14">
        <f>N120*VLOOKUP('Données projet'!$B$9,Paramètres!$A$1:$I$89,3,0)*VLOOKUP('Données projet'!$B$9,Paramètres!$A$1:$I$89,5,0)</f>
        <v>351.55223999999993</v>
      </c>
      <c r="P120" s="14">
        <f t="shared" si="87"/>
        <v>81.882051211276618</v>
      </c>
      <c r="Q120" s="22">
        <f t="shared" si="107"/>
        <v>754.89805719297328</v>
      </c>
      <c r="R120" s="62">
        <f t="shared" si="55"/>
        <v>1048.2313905263065</v>
      </c>
      <c r="S120" s="62">
        <f ca="1">AVERAGE(OFFSET($R$3,0,0,'Données projet'!$E$9+1,1))-AVERAGE(OFFSET($H$3,0,0,'Données projet'!$E$9+1,1))</f>
        <v>309.95417097673084</v>
      </c>
      <c r="T120" s="62">
        <f t="shared" si="88"/>
        <v>170.83243426024433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3.8782667142413549</v>
      </c>
      <c r="AA120" s="23">
        <f>EXP(-LN(2)/25)*AA119+(1-EXP(-LN(2)/25))/(LN(2)/25)*Calculateur!V120*Calculateur!X120*VLOOKUP('Données projet'!$B$9,Paramètres!$A$1:$I$89,3,0)*0.475*44/12</f>
        <v>14.8145080338369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18.692774748078254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4.4499999999999984</v>
      </c>
      <c r="AI120" s="14">
        <f>IF('Données projet'!$A$62&gt;35,AI119+AH120-AQ119,IF(A120&lt;'Données projet'!$A$62,$AF$205^A120,IF(A120='Données projet'!$A$62,'Données projet'!$B$62,AI119+AH120-AQ119)))</f>
        <v>334.21999999999906</v>
      </c>
      <c r="AJ120" s="14">
        <f>AI120*VLOOKUP('Données projet'!$B$10,Paramètres!$A$1:$I$89,3,0)*VLOOKUP('Données projet'!$B$10,Paramètres!$A$1:$I$89,5,0)</f>
        <v>338.89907999999906</v>
      </c>
      <c r="AK120" s="14">
        <f t="shared" si="89"/>
        <v>79.27244646310497</v>
      </c>
      <c r="AL120" s="22">
        <f t="shared" si="58"/>
        <v>728.31540858990627</v>
      </c>
      <c r="AM120" s="62">
        <f t="shared" si="59"/>
        <v>1021.6487419232396</v>
      </c>
      <c r="AN120" s="62">
        <f ca="1">AVERAGE(OFFSET($AM$3,0,0,'Données projet'!$E$10+1,1))-AVERAGE(OFFSET($H$3,0,0,'Données projet'!$E$10+1,1))</f>
        <v>408.65944152905672</v>
      </c>
      <c r="AO120" s="62">
        <f t="shared" si="90"/>
        <v>248.55239719988651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6.75686908587359</v>
      </c>
      <c r="AV120" s="23">
        <f>EXP(-LN(2)/25)*AV119+(1-EXP(-LN(2)/25))/(LN(2)/25)*Calculateur!AQ120*Calculateur!AS120*VLOOKUP('Données projet'!$B$10,Paramètres!$A$1:$I$89,3,0)*0.475*44/12</f>
        <v>3.6265110362816309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10.38338012215522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598.14</v>
      </c>
      <c r="BE120" s="14">
        <f>BD120*VLOOKUP('Données projet'!$B$11,Paramètres!$A$1:$I$89,3,0)*VLOOKUP('Données projet'!$B$11,Paramètres!$A$1:$I$89,5,0)</f>
        <v>578.52100799999994</v>
      </c>
      <c r="BF120" s="14">
        <f t="shared" si="91"/>
        <v>127.15611541885089</v>
      </c>
      <c r="BG120" s="22">
        <f t="shared" si="61"/>
        <v>1229.0543232878317</v>
      </c>
      <c r="BH120" s="62">
        <f t="shared" si="62"/>
        <v>1522.387656621165</v>
      </c>
      <c r="BI120" s="62">
        <f ca="1">AVERAGE(OFFSET($BH$3,0,0,'Données projet'!$E$11+1,1))-AVERAGE(OFFSET($H$3,0,0,'Données projet'!$E$11+1,1))</f>
        <v>643.38601112255424</v>
      </c>
      <c r="BJ120" s="62">
        <f t="shared" si="92"/>
        <v>572.76381622085694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3.9537047031468324</v>
      </c>
      <c r="BQ120" s="23">
        <f>EXP(-LN(2)/25)*BQ119+(1-EXP(-LN(2)/25))/(LN(2)/25)*Calculateur!BL120*Calculateur!BN120*VLOOKUP('Données projet'!$B$11,Paramètres!$A$1:$I$89,3,0)*0.475*44/12</f>
        <v>2.1770606773122436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6.130765380459076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505.23000000000025</v>
      </c>
      <c r="BZ120" s="14">
        <f>BY120*VLOOKUP('Données projet'!$B$12,Paramètres!$A$1:$I$89,3,0)*VLOOKUP('Données projet'!$B$12,Paramètres!$A$1:$I$89,5,0)</f>
        <v>338.90828400000015</v>
      </c>
      <c r="CA120" s="14">
        <f t="shared" si="93"/>
        <v>79.274348782791407</v>
      </c>
      <c r="CB120" s="22">
        <f t="shared" si="64"/>
        <v>728.33475209669507</v>
      </c>
      <c r="CC120" s="62">
        <f t="shared" si="65"/>
        <v>1021.6680854300284</v>
      </c>
      <c r="CD120" s="62">
        <f ca="1">AVERAGE(OFFSET($CC$3,0,0,'Données projet'!$E$12+1,1))-AVERAGE(OFFSET($H$3,0,0,'Données projet'!$E$12+1,1))</f>
        <v>323.41415875740768</v>
      </c>
      <c r="CE120" s="62">
        <f t="shared" si="94"/>
        <v>496.54020068152101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598.14</v>
      </c>
      <c r="CU120" s="18">
        <f>CT120*VLOOKUP('Données projet'!$B$13,Paramètres!$A$1:$I$89,3,0)*VLOOKUP('Données projet'!$B$13,Paramètres!$A$1:$I$89,5,0)</f>
        <v>643.837896</v>
      </c>
      <c r="CV120" s="14">
        <f t="shared" si="95"/>
        <v>139.76132574448636</v>
      </c>
      <c r="CW120" s="22">
        <f t="shared" si="67"/>
        <v>1364.7686445383138</v>
      </c>
      <c r="CX120" s="62">
        <f t="shared" si="68"/>
        <v>1658.101977871647</v>
      </c>
      <c r="CY120" s="62">
        <f ca="1">AVERAGE(OFFSET($CX$3,0,0,'Données projet'!$E$13+1,1))-AVERAGE(OFFSET($H$3,0,0,'Données projet'!$E$13+1,1))</f>
        <v>720.47588458554264</v>
      </c>
      <c r="CZ120" s="62">
        <f t="shared" si="96"/>
        <v>638.59686934821627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4.4000907180182498</v>
      </c>
      <c r="DG120" s="23">
        <f>EXP(-LN(2)/25)*DG119+(1-EXP(-LN(2)/25))/(LN(2)/25)*Calculateur!DB120*Calculateur!DD120*VLOOKUP('Données projet'!$B$13,Paramètres!$A$1:$I$89,3,0)*0.475*44/12</f>
        <v>2.4228578505571723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6.8229485685754216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751.18</v>
      </c>
      <c r="O121" s="14">
        <f>N121*VLOOKUP('Données projet'!$B$9,Paramètres!$A$1:$I$89,3,0)*VLOOKUP('Données projet'!$B$9,Paramètres!$A$1:$I$89,5,0)</f>
        <v>351.55223999999993</v>
      </c>
      <c r="P121" s="14">
        <f t="shared" si="87"/>
        <v>81.882051211276618</v>
      </c>
      <c r="Q121" s="22">
        <f t="shared" si="107"/>
        <v>754.89805719297328</v>
      </c>
      <c r="R121" s="62">
        <f t="shared" si="55"/>
        <v>1048.2313905263065</v>
      </c>
      <c r="S121" s="62">
        <f ca="1">AVERAGE(OFFSET($R$3,0,0,'Données projet'!$E$9+1,1))-AVERAGE(OFFSET($H$3,0,0,'Données projet'!$E$9+1,1))</f>
        <v>309.95417097673084</v>
      </c>
      <c r="T121" s="62">
        <f t="shared" si="88"/>
        <v>170.83243426024433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3.802216269484203</v>
      </c>
      <c r="AA121" s="23">
        <f>EXP(-LN(2)/25)*AA120+(1-EXP(-LN(2)/25))/(LN(2)/25)*Calculateur!V121*Calculateur!X121*VLOOKUP('Données projet'!$B$9,Paramètres!$A$1:$I$89,3,0)*0.475*44/12</f>
        <v>14.409404532590511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18.211620802074712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4.4499999999999984</v>
      </c>
      <c r="AI121" s="14">
        <f>IF('Données projet'!$A$62&gt;35,AI120+AH121-AQ120,IF(A121&lt;'Données projet'!$A$62,$AF$205^A121,IF(A121='Données projet'!$A$62,'Données projet'!$B$62,AI120+AH121-AQ120)))</f>
        <v>338.66999999999905</v>
      </c>
      <c r="AJ121" s="14">
        <f>AI121*VLOOKUP('Données projet'!$B$10,Paramètres!$A$1:$I$89,3,0)*VLOOKUP('Données projet'!$B$10,Paramètres!$A$1:$I$89,5,0)</f>
        <v>343.41137999999904</v>
      </c>
      <c r="AK121" s="14">
        <f t="shared" si="89"/>
        <v>80.204349083089753</v>
      </c>
      <c r="AL121" s="22">
        <f t="shared" si="58"/>
        <v>737.79739481971285</v>
      </c>
      <c r="AM121" s="62">
        <f t="shared" si="59"/>
        <v>1031.1307281530462</v>
      </c>
      <c r="AN121" s="62">
        <f ca="1">AVERAGE(OFFSET($AM$3,0,0,'Données projet'!$E$10+1,1))-AVERAGE(OFFSET($H$3,0,0,'Données projet'!$E$10+1,1))</f>
        <v>408.65944152905672</v>
      </c>
      <c r="AO121" s="62">
        <f t="shared" si="90"/>
        <v>248.55239719988651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6.6243710043828088</v>
      </c>
      <c r="AV121" s="23">
        <f>EXP(-LN(2)/25)*AV120+(1-EXP(-LN(2)/25))/(LN(2)/25)*Calculateur!AQ121*Calculateur!AS121*VLOOKUP('Données projet'!$B$10,Paramètres!$A$1:$I$89,3,0)*0.475*44/12</f>
        <v>3.5273439012845826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10.151714905667392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598.14</v>
      </c>
      <c r="BE121" s="14">
        <f>BD121*VLOOKUP('Données projet'!$B$11,Paramètres!$A$1:$I$89,3,0)*VLOOKUP('Données projet'!$B$11,Paramètres!$A$1:$I$89,5,0)</f>
        <v>578.52100799999994</v>
      </c>
      <c r="BF121" s="14">
        <f t="shared" si="91"/>
        <v>127.15611541885089</v>
      </c>
      <c r="BG121" s="22">
        <f t="shared" si="61"/>
        <v>1229.0543232878317</v>
      </c>
      <c r="BH121" s="62">
        <f t="shared" si="62"/>
        <v>1522.387656621165</v>
      </c>
      <c r="BI121" s="62">
        <f ca="1">AVERAGE(OFFSET($BH$3,0,0,'Données projet'!$E$11+1,1))-AVERAGE(OFFSET($H$3,0,0,'Données projet'!$E$11+1,1))</f>
        <v>643.38601112255424</v>
      </c>
      <c r="BJ121" s="62">
        <f t="shared" si="92"/>
        <v>572.76381622085694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3.8761749654398741</v>
      </c>
      <c r="BQ121" s="23">
        <f>EXP(-LN(2)/25)*BQ120+(1-EXP(-LN(2)/25))/(LN(2)/25)*Calculateur!BL121*Calculateur!BN121*VLOOKUP('Données projet'!$B$11,Paramètres!$A$1:$I$89,3,0)*0.475*44/12</f>
        <v>2.1175288386044953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5.9937038040443689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505.23000000000025</v>
      </c>
      <c r="BZ121" s="14">
        <f>BY121*VLOOKUP('Données projet'!$B$12,Paramètres!$A$1:$I$89,3,0)*VLOOKUP('Données projet'!$B$12,Paramètres!$A$1:$I$89,5,0)</f>
        <v>338.90828400000015</v>
      </c>
      <c r="CA121" s="14">
        <f t="shared" si="93"/>
        <v>79.274348782791407</v>
      </c>
      <c r="CB121" s="22">
        <f t="shared" si="64"/>
        <v>728.33475209669507</v>
      </c>
      <c r="CC121" s="62">
        <f t="shared" si="65"/>
        <v>1021.6680854300284</v>
      </c>
      <c r="CD121" s="62">
        <f ca="1">AVERAGE(OFFSET($CC$3,0,0,'Données projet'!$E$12+1,1))-AVERAGE(OFFSET($H$3,0,0,'Données projet'!$E$12+1,1))</f>
        <v>323.41415875740768</v>
      </c>
      <c r="CE121" s="62">
        <f t="shared" si="94"/>
        <v>496.54020068152101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598.14</v>
      </c>
      <c r="CU121" s="18">
        <f>CT121*VLOOKUP('Données projet'!$B$13,Paramètres!$A$1:$I$89,3,0)*VLOOKUP('Données projet'!$B$13,Paramètres!$A$1:$I$89,5,0)</f>
        <v>643.837896</v>
      </c>
      <c r="CV121" s="14">
        <f t="shared" si="95"/>
        <v>139.76132574448636</v>
      </c>
      <c r="CW121" s="22">
        <f t="shared" si="67"/>
        <v>1364.7686445383138</v>
      </c>
      <c r="CX121" s="62">
        <f t="shared" si="68"/>
        <v>1658.101977871647</v>
      </c>
      <c r="CY121" s="62">
        <f ca="1">AVERAGE(OFFSET($CX$3,0,0,'Données projet'!$E$13+1,1))-AVERAGE(OFFSET($H$3,0,0,'Données projet'!$E$13+1,1))</f>
        <v>720.47588458554264</v>
      </c>
      <c r="CZ121" s="62">
        <f t="shared" si="96"/>
        <v>638.59686934821627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4.3138076228282474</v>
      </c>
      <c r="DG121" s="23">
        <f>EXP(-LN(2)/25)*DG120+(1-EXP(-LN(2)/25))/(LN(2)/25)*Calculateur!DB121*Calculateur!DD121*VLOOKUP('Données projet'!$B$13,Paramètres!$A$1:$I$89,3,0)*0.475*44/12</f>
        <v>2.3566046752211296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6.670412298049377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751.18</v>
      </c>
      <c r="O122" s="14">
        <f>N122*VLOOKUP('Données projet'!$B$9,Paramètres!$A$1:$I$89,3,0)*VLOOKUP('Données projet'!$B$9,Paramètres!$A$1:$I$89,5,0)</f>
        <v>351.55223999999993</v>
      </c>
      <c r="P122" s="14">
        <f t="shared" si="87"/>
        <v>81.882051211276618</v>
      </c>
      <c r="Q122" s="22">
        <f t="shared" si="107"/>
        <v>754.89805719297328</v>
      </c>
      <c r="R122" s="62">
        <f t="shared" si="55"/>
        <v>1048.2313905263065</v>
      </c>
      <c r="S122" s="62">
        <f ca="1">AVERAGE(OFFSET($R$3,0,0,'Données projet'!$E$9+1,1))-AVERAGE(OFFSET($H$3,0,0,'Données projet'!$E$9+1,1))</f>
        <v>309.95417097673084</v>
      </c>
      <c r="T122" s="62">
        <f t="shared" si="88"/>
        <v>170.83243426024433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3.7276571275625479</v>
      </c>
      <c r="AA122" s="23">
        <f>EXP(-LN(2)/25)*AA121+(1-EXP(-LN(2)/25))/(LN(2)/25)*Calculateur!V122*Calculateur!X122*VLOOKUP('Données projet'!$B$9,Paramètres!$A$1:$I$89,3,0)*0.475*44/12</f>
        <v>14.015378607889172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17.74303573545172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4.4499999999999984</v>
      </c>
      <c r="AI122" s="14">
        <f>IF('Données projet'!$A$62&gt;35,AI121+AH122-AQ121,IF(A122&lt;'Données projet'!$A$62,$AF$205^A122,IF(A122='Données projet'!$A$62,'Données projet'!$B$62,AI121+AH122-AQ121)))</f>
        <v>343.11999999999904</v>
      </c>
      <c r="AJ122" s="14">
        <f>AI122*VLOOKUP('Données projet'!$B$10,Paramètres!$A$1:$I$89,3,0)*VLOOKUP('Données projet'!$B$10,Paramètres!$A$1:$I$89,5,0)</f>
        <v>347.92367999999908</v>
      </c>
      <c r="AK122" s="14">
        <f t="shared" si="89"/>
        <v>81.134827447471082</v>
      </c>
      <c r="AL122" s="22">
        <f t="shared" si="58"/>
        <v>747.27690047101044</v>
      </c>
      <c r="AM122" s="62">
        <f t="shared" si="59"/>
        <v>1040.6102338043438</v>
      </c>
      <c r="AN122" s="62">
        <f ca="1">AVERAGE(OFFSET($AM$3,0,0,'Données projet'!$E$10+1,1))-AVERAGE(OFFSET($H$3,0,0,'Données projet'!$E$10+1,1))</f>
        <v>408.65944152905672</v>
      </c>
      <c r="AO122" s="62">
        <f t="shared" si="90"/>
        <v>248.55239719988651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6.4944711294542117</v>
      </c>
      <c r="AV122" s="23">
        <f>EXP(-LN(2)/25)*AV121+(1-EXP(-LN(2)/25))/(LN(2)/25)*Calculateur!AQ122*Calculateur!AS122*VLOOKUP('Données projet'!$B$10,Paramètres!$A$1:$I$89,3,0)*0.475*44/12</f>
        <v>3.4308884968090019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9.925359626263214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598.14</v>
      </c>
      <c r="BE122" s="14">
        <f>BD122*VLOOKUP('Données projet'!$B$11,Paramètres!$A$1:$I$89,3,0)*VLOOKUP('Données projet'!$B$11,Paramètres!$A$1:$I$89,5,0)</f>
        <v>578.52100799999994</v>
      </c>
      <c r="BF122" s="14">
        <f t="shared" si="91"/>
        <v>127.15611541885089</v>
      </c>
      <c r="BG122" s="22">
        <f t="shared" si="61"/>
        <v>1229.0543232878317</v>
      </c>
      <c r="BH122" s="62">
        <f t="shared" si="62"/>
        <v>1522.387656621165</v>
      </c>
      <c r="BI122" s="62">
        <f ca="1">AVERAGE(OFFSET($BH$3,0,0,'Données projet'!$E$11+1,1))-AVERAGE(OFFSET($H$3,0,0,'Données projet'!$E$11+1,1))</f>
        <v>643.38601112255424</v>
      </c>
      <c r="BJ122" s="62">
        <f t="shared" si="92"/>
        <v>572.76381622085694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3.8001655386008784</v>
      </c>
      <c r="BQ122" s="23">
        <f>EXP(-LN(2)/25)*BQ121+(1-EXP(-LN(2)/25))/(LN(2)/25)*Calculateur!BL122*Calculateur!BN122*VLOOKUP('Données projet'!$B$11,Paramètres!$A$1:$I$89,3,0)*0.475*44/12</f>
        <v>2.0596249011568535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5.8597904397577318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505.23000000000025</v>
      </c>
      <c r="BZ122" s="14">
        <f>BY122*VLOOKUP('Données projet'!$B$12,Paramètres!$A$1:$I$89,3,0)*VLOOKUP('Données projet'!$B$12,Paramètres!$A$1:$I$89,5,0)</f>
        <v>338.90828400000015</v>
      </c>
      <c r="CA122" s="14">
        <f t="shared" si="93"/>
        <v>79.274348782791407</v>
      </c>
      <c r="CB122" s="22">
        <f t="shared" si="64"/>
        <v>728.33475209669507</v>
      </c>
      <c r="CC122" s="62">
        <f t="shared" si="65"/>
        <v>1021.6680854300284</v>
      </c>
      <c r="CD122" s="62">
        <f ca="1">AVERAGE(OFFSET($CC$3,0,0,'Données projet'!$E$12+1,1))-AVERAGE(OFFSET($H$3,0,0,'Données projet'!$E$12+1,1))</f>
        <v>323.41415875740768</v>
      </c>
      <c r="CE122" s="62">
        <f t="shared" si="94"/>
        <v>496.54020068152101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598.14</v>
      </c>
      <c r="CU122" s="18">
        <f>CT122*VLOOKUP('Données projet'!$B$13,Paramètres!$A$1:$I$89,3,0)*VLOOKUP('Données projet'!$B$13,Paramètres!$A$1:$I$89,5,0)</f>
        <v>643.837896</v>
      </c>
      <c r="CV122" s="14">
        <f t="shared" si="95"/>
        <v>139.76132574448636</v>
      </c>
      <c r="CW122" s="22">
        <f t="shared" si="67"/>
        <v>1364.7686445383138</v>
      </c>
      <c r="CX122" s="62">
        <f t="shared" si="68"/>
        <v>1658.101977871647</v>
      </c>
      <c r="CY122" s="62">
        <f ca="1">AVERAGE(OFFSET($CX$3,0,0,'Données projet'!$E$13+1,1))-AVERAGE(OFFSET($H$3,0,0,'Données projet'!$E$13+1,1))</f>
        <v>720.47588458554264</v>
      </c>
      <c r="CZ122" s="62">
        <f t="shared" si="96"/>
        <v>638.59686934821627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4.22921648650743</v>
      </c>
      <c r="DG122" s="23">
        <f>EXP(-LN(2)/25)*DG121+(1-EXP(-LN(2)/25))/(LN(2)/25)*Calculateur!DB122*Calculateur!DD122*VLOOKUP('Données projet'!$B$13,Paramètres!$A$1:$I$89,3,0)*0.475*44/12</f>
        <v>2.2921631964487541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6.5213796829561836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751.18</v>
      </c>
      <c r="O123" s="14">
        <f>N123*VLOOKUP('Données projet'!$B$9,Paramètres!$A$1:$I$89,3,0)*VLOOKUP('Données projet'!$B$9,Paramètres!$A$1:$I$89,5,0)</f>
        <v>351.55223999999993</v>
      </c>
      <c r="P123" s="14">
        <f t="shared" si="87"/>
        <v>81.882051211276618</v>
      </c>
      <c r="Q123" s="22">
        <f t="shared" si="107"/>
        <v>754.89805719297328</v>
      </c>
      <c r="R123" s="62">
        <f t="shared" si="55"/>
        <v>1048.2313905263065</v>
      </c>
      <c r="S123" s="62">
        <f ca="1">AVERAGE(OFFSET($R$3,0,0,'Données projet'!$E$9+1,1))-AVERAGE(OFFSET($H$3,0,0,'Données projet'!$E$9+1,1))</f>
        <v>309.95417097673084</v>
      </c>
      <c r="T123" s="62">
        <f t="shared" si="88"/>
        <v>170.83243426024433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3.6545600449373903</v>
      </c>
      <c r="AA123" s="23">
        <f>EXP(-LN(2)/25)*AA122+(1-EXP(-LN(2)/25))/(LN(2)/25)*Calculateur!V123*Calculateur!X123*VLOOKUP('Données projet'!$B$9,Paramètres!$A$1:$I$89,3,0)*0.475*44/12</f>
        <v>13.632127342819714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17.286687387757105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4.4499999999999984</v>
      </c>
      <c r="AI123" s="14">
        <f>IF('Données projet'!$A$62&gt;35,AI122+AH123-AQ122,IF(A123&lt;'Données projet'!$A$62,$AF$205^A123,IF(A123='Données projet'!$A$62,'Données projet'!$B$62,AI122+AH123-AQ122)))</f>
        <v>347.56999999999903</v>
      </c>
      <c r="AJ123" s="14">
        <f>AI123*VLOOKUP('Données projet'!$B$10,Paramètres!$A$1:$I$89,3,0)*VLOOKUP('Données projet'!$B$10,Paramètres!$A$1:$I$89,5,0)</f>
        <v>352.43597999999906</v>
      </c>
      <c r="AK123" s="14">
        <f t="shared" si="89"/>
        <v>82.063902163424331</v>
      </c>
      <c r="AL123" s="22">
        <f t="shared" si="58"/>
        <v>756.7539614346291</v>
      </c>
      <c r="AM123" s="62">
        <f t="shared" si="59"/>
        <v>1050.0872947679625</v>
      </c>
      <c r="AN123" s="62">
        <f ca="1">AVERAGE(OFFSET($AM$3,0,0,'Données projet'!$E$10+1,1))-AVERAGE(OFFSET($H$3,0,0,'Données projet'!$E$10+1,1))</f>
        <v>408.65944152905672</v>
      </c>
      <c r="AO123" s="62">
        <f t="shared" si="90"/>
        <v>248.55239719988651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6.3671185118418636</v>
      </c>
      <c r="AV123" s="23">
        <f>EXP(-LN(2)/25)*AV122+(1-EXP(-LN(2)/25))/(LN(2)/25)*Calculateur!AQ123*Calculateur!AS123*VLOOKUP('Données projet'!$B$10,Paramètres!$A$1:$I$89,3,0)*0.475*44/12</f>
        <v>3.3370706704411752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9.704189182283038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598.14</v>
      </c>
      <c r="BE123" s="14">
        <f>BD123*VLOOKUP('Données projet'!$B$11,Paramètres!$A$1:$I$89,3,0)*VLOOKUP('Données projet'!$B$11,Paramètres!$A$1:$I$89,5,0)</f>
        <v>578.52100799999994</v>
      </c>
      <c r="BF123" s="14">
        <f t="shared" si="91"/>
        <v>127.15611541885089</v>
      </c>
      <c r="BG123" s="22">
        <f t="shared" si="61"/>
        <v>1229.0543232878317</v>
      </c>
      <c r="BH123" s="62">
        <f t="shared" si="62"/>
        <v>1522.387656621165</v>
      </c>
      <c r="BI123" s="62">
        <f ca="1">AVERAGE(OFFSET($BH$3,0,0,'Données projet'!$E$11+1,1))-AVERAGE(OFFSET($H$3,0,0,'Données projet'!$E$11+1,1))</f>
        <v>643.38601112255424</v>
      </c>
      <c r="BJ123" s="62">
        <f t="shared" si="92"/>
        <v>572.76381622085694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3.7256466102610228</v>
      </c>
      <c r="BQ123" s="23">
        <f>EXP(-LN(2)/25)*BQ122+(1-EXP(-LN(2)/25))/(LN(2)/25)*Calculateur!BL123*Calculateur!BN123*VLOOKUP('Données projet'!$B$11,Paramètres!$A$1:$I$89,3,0)*0.475*44/12</f>
        <v>2.0033043499237531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5.7289509601847755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505.23000000000025</v>
      </c>
      <c r="BZ123" s="14">
        <f>BY123*VLOOKUP('Données projet'!$B$12,Paramètres!$A$1:$I$89,3,0)*VLOOKUP('Données projet'!$B$12,Paramètres!$A$1:$I$89,5,0)</f>
        <v>338.90828400000015</v>
      </c>
      <c r="CA123" s="14">
        <f t="shared" si="93"/>
        <v>79.274348782791407</v>
      </c>
      <c r="CB123" s="22">
        <f t="shared" si="64"/>
        <v>728.33475209669507</v>
      </c>
      <c r="CC123" s="62">
        <f t="shared" si="65"/>
        <v>1021.6680854300284</v>
      </c>
      <c r="CD123" s="62">
        <f ca="1">AVERAGE(OFFSET($CC$3,0,0,'Données projet'!$E$12+1,1))-AVERAGE(OFFSET($H$3,0,0,'Données projet'!$E$12+1,1))</f>
        <v>323.41415875740768</v>
      </c>
      <c r="CE123" s="62">
        <f t="shared" si="94"/>
        <v>496.54020068152101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598.14</v>
      </c>
      <c r="CU123" s="18">
        <f>CT123*VLOOKUP('Données projet'!$B$13,Paramètres!$A$1:$I$89,3,0)*VLOOKUP('Données projet'!$B$13,Paramètres!$A$1:$I$89,5,0)</f>
        <v>643.837896</v>
      </c>
      <c r="CV123" s="14">
        <f t="shared" si="95"/>
        <v>139.76132574448636</v>
      </c>
      <c r="CW123" s="22">
        <f t="shared" si="67"/>
        <v>1364.7686445383138</v>
      </c>
      <c r="CX123" s="62">
        <f t="shared" si="68"/>
        <v>1658.101977871647</v>
      </c>
      <c r="CY123" s="62">
        <f ca="1">AVERAGE(OFFSET($CX$3,0,0,'Données projet'!$E$13+1,1))-AVERAGE(OFFSET($H$3,0,0,'Données projet'!$E$13+1,1))</f>
        <v>720.47588458554264</v>
      </c>
      <c r="CZ123" s="62">
        <f t="shared" si="96"/>
        <v>638.59686934821627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4.1462841307743652</v>
      </c>
      <c r="DG123" s="23">
        <f>EXP(-LN(2)/25)*DG122+(1-EXP(-LN(2)/25))/(LN(2)/25)*Calculateur!DB123*Calculateur!DD123*VLOOKUP('Données projet'!$B$13,Paramètres!$A$1:$I$89,3,0)*0.475*44/12</f>
        <v>2.2294838733022391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6.3757680040766047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751.18</v>
      </c>
      <c r="O124" s="14">
        <f>N124*VLOOKUP('Données projet'!$B$9,Paramètres!$A$1:$I$89,3,0)*VLOOKUP('Données projet'!$B$9,Paramètres!$A$1:$I$89,5,0)</f>
        <v>351.55223999999993</v>
      </c>
      <c r="P124" s="14">
        <f t="shared" si="87"/>
        <v>81.882051211276618</v>
      </c>
      <c r="Q124" s="22">
        <f t="shared" si="107"/>
        <v>754.89805719297328</v>
      </c>
      <c r="R124" s="62">
        <f t="shared" si="55"/>
        <v>1048.2313905263065</v>
      </c>
      <c r="S124" s="62">
        <f ca="1">AVERAGE(OFFSET($R$3,0,0,'Données projet'!$E$9+1,1))-AVERAGE(OFFSET($H$3,0,0,'Données projet'!$E$9+1,1))</f>
        <v>309.95417097673084</v>
      </c>
      <c r="T124" s="62">
        <f t="shared" si="88"/>
        <v>170.83243426024433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3.5828963515176939</v>
      </c>
      <c r="AA124" s="23">
        <f>EXP(-LN(2)/25)*AA123+(1-EXP(-LN(2)/25))/(LN(2)/25)*Calculateur!V124*Calculateur!X124*VLOOKUP('Données projet'!$B$9,Paramètres!$A$1:$I$89,3,0)*0.475*44/12</f>
        <v>13.259356103747889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16.842252455265584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>
        <f>VLOOKUP(A124,'Données projet'!$A$61:$I$81,2,0)</f>
        <v>352.02</v>
      </c>
      <c r="AG124" s="13">
        <f>VLOOKUP(A124,'Données projet'!$A$61:$I$81,9,0)</f>
        <v>4.4499999999999984</v>
      </c>
      <c r="AH124" s="13">
        <f t="array" ref="AH124">INDEX(AG:AG,MIN(IF(ISNUMBER(AG124:AG320),ROW(AG124:AG320),"")))</f>
        <v>4.4499999999999984</v>
      </c>
      <c r="AI124" s="14">
        <f>IF('Données projet'!$A$62&gt;35,AI123+AH124-AQ123,IF(A124&lt;'Données projet'!$A$62,$AF$205^A124,IF(A124='Données projet'!$A$62,'Données projet'!$B$62,AI123+AH124-AQ123)))</f>
        <v>352.01999999999902</v>
      </c>
      <c r="AJ124" s="14">
        <f>AI124*VLOOKUP('Données projet'!$B$10,Paramètres!$A$1:$I$89,3,0)*VLOOKUP('Données projet'!$B$10,Paramètres!$A$1:$I$89,5,0)</f>
        <v>356.94827999999904</v>
      </c>
      <c r="AK124" s="14">
        <f t="shared" si="89"/>
        <v>82.991593280110081</v>
      </c>
      <c r="AL124" s="22">
        <f t="shared" si="58"/>
        <v>766.22861262952335</v>
      </c>
      <c r="AM124" s="62">
        <f t="shared" si="59"/>
        <v>1059.5619459628567</v>
      </c>
      <c r="AN124" s="62">
        <f ca="1">AVERAGE(OFFSET($AM$3,0,0,'Données projet'!$E$10+1,1))-AVERAGE(OFFSET($H$3,0,0,'Données projet'!$E$10+1,1))</f>
        <v>408.65944152905672</v>
      </c>
      <c r="AO124" s="62">
        <f t="shared" si="90"/>
        <v>248.55239719988651</v>
      </c>
      <c r="AP124" s="16">
        <f>IF(ISNA(VLOOKUP(A124,'Données projet'!$A$61:$I$81,3,0)),0,VLOOKUP(A124,'Données projet'!$A$61:$I$81,3,0))</f>
        <v>10</v>
      </c>
      <c r="AQ124" s="16">
        <f>IF(ISNA(VLOOKUP(A124,'Données projet'!$A$61:$I$81,4,0)),0,VLOOKUP(A124,'Données projet'!$A$61:$I$81,4,0))</f>
        <v>35.200000000000003</v>
      </c>
      <c r="AR124" s="17">
        <f>IF(ISNA(VLOOKUP(A124,'Données projet'!$A$61:$I$81,5,0)),0%,VLOOKUP(A124,'Données projet'!$A$61:$I$81,5,0)*VLOOKUP('Données projet'!$B$10,Paramètres!$A$1:$I$89,7,0))</f>
        <v>7.7399999999999997E-2</v>
      </c>
      <c r="AS124" s="17">
        <f>IF(ISNA(VLOOKUP(A124,'Données projet'!$A$61:$I$81,6,0)),0%,VLOOKUP(A124,'Données projet'!$A$61:$I$81,6,0)*VLOOKUP('Données projet'!$B$10,Paramètres!$A$1:$I$89,7,0))</f>
        <v>5.16E-2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9.2962607881682189</v>
      </c>
      <c r="AV124" s="23">
        <f>EXP(-LN(2)/25)*AV123+(1-EXP(-LN(2)/25))/(LN(2)/25)*Calculateur!AQ124*Calculateur!AS124*VLOOKUP('Données projet'!$B$10,Paramètres!$A$1:$I$89,3,0)*0.475*44/12</f>
        <v>5.2738001872165547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14.570060975384774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598.14</v>
      </c>
      <c r="BE124" s="14">
        <f>BD124*VLOOKUP('Données projet'!$B$11,Paramètres!$A$1:$I$89,3,0)*VLOOKUP('Données projet'!$B$11,Paramètres!$A$1:$I$89,5,0)</f>
        <v>578.52100799999994</v>
      </c>
      <c r="BF124" s="14">
        <f t="shared" si="91"/>
        <v>127.15611541885089</v>
      </c>
      <c r="BG124" s="22">
        <f t="shared" si="61"/>
        <v>1229.0543232878317</v>
      </c>
      <c r="BH124" s="62">
        <f t="shared" si="62"/>
        <v>1522.387656621165</v>
      </c>
      <c r="BI124" s="62">
        <f ca="1">AVERAGE(OFFSET($BH$3,0,0,'Données projet'!$E$11+1,1))-AVERAGE(OFFSET($H$3,0,0,'Données projet'!$E$11+1,1))</f>
        <v>643.38601112255424</v>
      </c>
      <c r="BJ124" s="62">
        <f t="shared" si="92"/>
        <v>572.76381622085694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3.6525889526538537</v>
      </c>
      <c r="BQ124" s="23">
        <f>EXP(-LN(2)/25)*BQ123+(1-EXP(-LN(2)/25))/(LN(2)/25)*Calculateur!BL124*Calculateur!BN124*VLOOKUP('Données projet'!$B$11,Paramètres!$A$1:$I$89,3,0)*0.475*44/12</f>
        <v>1.948523887125891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5.6011128397797449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505.23000000000025</v>
      </c>
      <c r="BZ124" s="14">
        <f>BY124*VLOOKUP('Données projet'!$B$12,Paramètres!$A$1:$I$89,3,0)*VLOOKUP('Données projet'!$B$12,Paramètres!$A$1:$I$89,5,0)</f>
        <v>338.90828400000015</v>
      </c>
      <c r="CA124" s="14">
        <f t="shared" si="93"/>
        <v>79.274348782791407</v>
      </c>
      <c r="CB124" s="22">
        <f t="shared" si="64"/>
        <v>728.33475209669507</v>
      </c>
      <c r="CC124" s="62">
        <f t="shared" si="65"/>
        <v>1021.6680854300284</v>
      </c>
      <c r="CD124" s="62">
        <f ca="1">AVERAGE(OFFSET($CC$3,0,0,'Données projet'!$E$12+1,1))-AVERAGE(OFFSET($H$3,0,0,'Données projet'!$E$12+1,1))</f>
        <v>323.41415875740768</v>
      </c>
      <c r="CE124" s="62">
        <f t="shared" si="94"/>
        <v>496.54020068152101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598.14</v>
      </c>
      <c r="CU124" s="18">
        <f>CT124*VLOOKUP('Données projet'!$B$13,Paramètres!$A$1:$I$89,3,0)*VLOOKUP('Données projet'!$B$13,Paramètres!$A$1:$I$89,5,0)</f>
        <v>643.837896</v>
      </c>
      <c r="CV124" s="14">
        <f t="shared" si="95"/>
        <v>139.76132574448636</v>
      </c>
      <c r="CW124" s="22">
        <f t="shared" si="67"/>
        <v>1364.7686445383138</v>
      </c>
      <c r="CX124" s="62">
        <f t="shared" si="68"/>
        <v>1658.101977871647</v>
      </c>
      <c r="CY124" s="62">
        <f ca="1">AVERAGE(OFFSET($CX$3,0,0,'Données projet'!$E$13+1,1))-AVERAGE(OFFSET($H$3,0,0,'Données projet'!$E$13+1,1))</f>
        <v>720.47588458554264</v>
      </c>
      <c r="CZ124" s="62">
        <f t="shared" si="96"/>
        <v>638.59686934821627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4.0649780279534831</v>
      </c>
      <c r="DG124" s="23">
        <f>EXP(-LN(2)/25)*DG123+(1-EXP(-LN(2)/25))/(LN(2)/25)*Calculateur!DB124*Calculateur!DD124*VLOOKUP('Données projet'!$B$13,Paramètres!$A$1:$I$89,3,0)*0.475*44/12</f>
        <v>2.1685185195433281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6.2334965474968111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751.18</v>
      </c>
      <c r="O125" s="14">
        <f>N125*VLOOKUP('Données projet'!$B$9,Paramètres!$A$1:$I$89,3,0)*VLOOKUP('Données projet'!$B$9,Paramètres!$A$1:$I$89,5,0)</f>
        <v>351.55223999999993</v>
      </c>
      <c r="P125" s="14">
        <f t="shared" si="87"/>
        <v>81.882051211276618</v>
      </c>
      <c r="Q125" s="22">
        <f t="shared" si="107"/>
        <v>754.89805719297328</v>
      </c>
      <c r="R125" s="62">
        <f t="shared" si="55"/>
        <v>1048.2313905263065</v>
      </c>
      <c r="S125" s="62">
        <f ca="1">AVERAGE(OFFSET($R$3,0,0,'Données projet'!$E$9+1,1))-AVERAGE(OFFSET($H$3,0,0,'Données projet'!$E$9+1,1))</f>
        <v>309.95417097673084</v>
      </c>
      <c r="T125" s="62">
        <f t="shared" si="88"/>
        <v>170.83243426024433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3.5126379394154208</v>
      </c>
      <c r="AA125" s="23">
        <f>EXP(-LN(2)/25)*AA124+(1-EXP(-LN(2)/25))/(LN(2)/25)*Calculateur!V125*Calculateur!X125*VLOOKUP('Données projet'!$B$9,Paramètres!$A$1:$I$89,3,0)*0.475*44/12</f>
        <v>12.896778313811669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16.409416253227089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4.4500000000000028</v>
      </c>
      <c r="AI125" s="14">
        <f>IF('Données projet'!$A$62&gt;35,AI124+AH125-AQ124,IF(A125&lt;'Données projet'!$A$62,$AF$205^A125,IF(A125='Données projet'!$A$62,'Données projet'!$B$62,AI124+AH125-AQ124)))</f>
        <v>321.26999999999902</v>
      </c>
      <c r="AJ125" s="14">
        <f>AI125*VLOOKUP('Données projet'!$B$10,Paramètres!$A$1:$I$89,3,0)*VLOOKUP('Données projet'!$B$10,Paramètres!$A$1:$I$89,5,0)</f>
        <v>325.76777999999905</v>
      </c>
      <c r="AK125" s="14">
        <f t="shared" si="89"/>
        <v>76.552201905357364</v>
      </c>
      <c r="AL125" s="22">
        <f t="shared" si="58"/>
        <v>700.70730181849569</v>
      </c>
      <c r="AM125" s="62">
        <f t="shared" si="59"/>
        <v>994.04063515182906</v>
      </c>
      <c r="AN125" s="62">
        <f ca="1">AVERAGE(OFFSET($AM$3,0,0,'Données projet'!$E$10+1,1))-AVERAGE(OFFSET($H$3,0,0,'Données projet'!$E$10+1,1))</f>
        <v>408.65944152905672</v>
      </c>
      <c r="AO125" s="62">
        <f t="shared" si="90"/>
        <v>248.55239719988651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9.1139667842714385</v>
      </c>
      <c r="AV125" s="23">
        <f>EXP(-LN(2)/25)*AV124+(1-EXP(-LN(2)/25))/(LN(2)/25)*Calculateur!AQ125*Calculateur!AS125*VLOOKUP('Données projet'!$B$10,Paramètres!$A$1:$I$89,3,0)*0.475*44/12</f>
        <v>5.12958784376002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14.243554628031458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598.14</v>
      </c>
      <c r="BE125" s="14">
        <f>BD125*VLOOKUP('Données projet'!$B$11,Paramètres!$A$1:$I$89,3,0)*VLOOKUP('Données projet'!$B$11,Paramètres!$A$1:$I$89,5,0)</f>
        <v>578.52100799999994</v>
      </c>
      <c r="BF125" s="14">
        <f t="shared" si="91"/>
        <v>127.15611541885089</v>
      </c>
      <c r="BG125" s="22">
        <f t="shared" si="61"/>
        <v>1229.0543232878317</v>
      </c>
      <c r="BH125" s="62">
        <f t="shared" si="62"/>
        <v>1522.387656621165</v>
      </c>
      <c r="BI125" s="62">
        <f ca="1">AVERAGE(OFFSET($BH$3,0,0,'Données projet'!$E$11+1,1))-AVERAGE(OFFSET($H$3,0,0,'Données projet'!$E$11+1,1))</f>
        <v>643.38601112255424</v>
      </c>
      <c r="BJ125" s="62">
        <f t="shared" si="92"/>
        <v>572.76381622085694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3.5809639111515899</v>
      </c>
      <c r="BQ125" s="23">
        <f>EXP(-LN(2)/25)*BQ124+(1-EXP(-LN(2)/25))/(LN(2)/25)*Calculateur!BL125*Calculateur!BN125*VLOOKUP('Données projet'!$B$11,Paramètres!$A$1:$I$89,3,0)*0.475*44/12</f>
        <v>1.8952413989640158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5.4762053101156054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505.23000000000025</v>
      </c>
      <c r="BZ125" s="14">
        <f>BY125*VLOOKUP('Données projet'!$B$12,Paramètres!$A$1:$I$89,3,0)*VLOOKUP('Données projet'!$B$12,Paramètres!$A$1:$I$89,5,0)</f>
        <v>338.90828400000015</v>
      </c>
      <c r="CA125" s="14">
        <f t="shared" si="93"/>
        <v>79.274348782791407</v>
      </c>
      <c r="CB125" s="22">
        <f t="shared" si="64"/>
        <v>728.33475209669507</v>
      </c>
      <c r="CC125" s="62">
        <f t="shared" si="65"/>
        <v>1021.6680854300284</v>
      </c>
      <c r="CD125" s="62">
        <f ca="1">AVERAGE(OFFSET($CC$3,0,0,'Données projet'!$E$12+1,1))-AVERAGE(OFFSET($H$3,0,0,'Données projet'!$E$12+1,1))</f>
        <v>323.41415875740768</v>
      </c>
      <c r="CE125" s="62">
        <f t="shared" si="94"/>
        <v>496.54020068152101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598.14</v>
      </c>
      <c r="CU125" s="18">
        <f>CT125*VLOOKUP('Données projet'!$B$13,Paramètres!$A$1:$I$89,3,0)*VLOOKUP('Données projet'!$B$13,Paramètres!$A$1:$I$89,5,0)</f>
        <v>643.837896</v>
      </c>
      <c r="CV125" s="14">
        <f t="shared" si="95"/>
        <v>139.76132574448636</v>
      </c>
      <c r="CW125" s="22">
        <f t="shared" si="67"/>
        <v>1364.7686445383138</v>
      </c>
      <c r="CX125" s="62">
        <f t="shared" si="68"/>
        <v>1658.101977871647</v>
      </c>
      <c r="CY125" s="62">
        <f ca="1">AVERAGE(OFFSET($CX$3,0,0,'Données projet'!$E$13+1,1))-AVERAGE(OFFSET($H$3,0,0,'Données projet'!$E$13+1,1))</f>
        <v>720.47588458554264</v>
      </c>
      <c r="CZ125" s="62">
        <f t="shared" si="96"/>
        <v>638.59686934821627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3.9852662882170926</v>
      </c>
      <c r="DG125" s="23">
        <f>EXP(-LN(2)/25)*DG124+(1-EXP(-LN(2)/25))/(LN(2)/25)*Calculateur!DB125*Calculateur!DD125*VLOOKUP('Données projet'!$B$13,Paramètres!$A$1:$I$89,3,0)*0.475*44/12</f>
        <v>2.109220266588983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6.0944865548060756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751.18</v>
      </c>
      <c r="O126" s="14">
        <f>N126*VLOOKUP('Données projet'!$B$9,Paramètres!$A$1:$I$89,3,0)*VLOOKUP('Données projet'!$B$9,Paramètres!$A$1:$I$89,5,0)</f>
        <v>351.55223999999993</v>
      </c>
      <c r="P126" s="14">
        <f t="shared" si="87"/>
        <v>81.882051211276618</v>
      </c>
      <c r="Q126" s="22">
        <f t="shared" si="107"/>
        <v>754.89805719297328</v>
      </c>
      <c r="R126" s="62">
        <f t="shared" si="55"/>
        <v>1048.2313905263065</v>
      </c>
      <c r="S126" s="62">
        <f ca="1">AVERAGE(OFFSET($R$3,0,0,'Données projet'!$E$9+1,1))-AVERAGE(OFFSET($H$3,0,0,'Données projet'!$E$9+1,1))</f>
        <v>309.95417097673084</v>
      </c>
      <c r="T126" s="62">
        <f t="shared" si="88"/>
        <v>170.83243426024433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3.4437572519210735</v>
      </c>
      <c r="AA126" s="23">
        <f>EXP(-LN(2)/25)*AA125+(1-EXP(-LN(2)/25))/(LN(2)/25)*Calculateur!V126*Calculateur!X126*VLOOKUP('Données projet'!$B$9,Paramètres!$A$1:$I$89,3,0)*0.475*44/12</f>
        <v>12.544115232608394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15.987872484529468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4.4500000000000028</v>
      </c>
      <c r="AI126" s="14">
        <f>IF('Données projet'!$A$62&gt;35,AI125+AH126-AQ125,IF(A126&lt;'Données projet'!$A$62,$AF$205^A126,IF(A126='Données projet'!$A$62,'Données projet'!$B$62,AI125+AH126-AQ125)))</f>
        <v>325.719999999999</v>
      </c>
      <c r="AJ126" s="14">
        <f>AI126*VLOOKUP('Données projet'!$B$10,Paramètres!$A$1:$I$89,3,0)*VLOOKUP('Données projet'!$B$10,Paramètres!$A$1:$I$89,5,0)</f>
        <v>330.28007999999903</v>
      </c>
      <c r="AK126" s="14">
        <f t="shared" si="89"/>
        <v>77.488372034206705</v>
      </c>
      <c r="AL126" s="22">
        <f t="shared" si="58"/>
        <v>710.19672062624159</v>
      </c>
      <c r="AM126" s="62">
        <f t="shared" si="59"/>
        <v>1003.5300539595748</v>
      </c>
      <c r="AN126" s="62">
        <f ca="1">AVERAGE(OFFSET($AM$3,0,0,'Données projet'!$E$10+1,1))-AVERAGE(OFFSET($H$3,0,0,'Données projet'!$E$10+1,1))</f>
        <v>408.65944152905672</v>
      </c>
      <c r="AO126" s="62">
        <f t="shared" si="90"/>
        <v>248.55239719988651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8.9352474546027114</v>
      </c>
      <c r="AV126" s="23">
        <f>EXP(-LN(2)/25)*AV125+(1-EXP(-LN(2)/25))/(LN(2)/25)*Calculateur!AQ126*Calculateur!AS126*VLOOKUP('Données projet'!$B$10,Paramètres!$A$1:$I$89,3,0)*0.475*44/12</f>
        <v>4.9893189944191016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13.924566449021814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598.14</v>
      </c>
      <c r="BE126" s="14">
        <f>BD126*VLOOKUP('Données projet'!$B$11,Paramètres!$A$1:$I$89,3,0)*VLOOKUP('Données projet'!$B$11,Paramètres!$A$1:$I$89,5,0)</f>
        <v>578.52100799999994</v>
      </c>
      <c r="BF126" s="14">
        <f t="shared" si="91"/>
        <v>127.15611541885089</v>
      </c>
      <c r="BG126" s="22">
        <f t="shared" si="61"/>
        <v>1229.0543232878317</v>
      </c>
      <c r="BH126" s="62">
        <f t="shared" si="62"/>
        <v>1522.387656621165</v>
      </c>
      <c r="BI126" s="62">
        <f ca="1">AVERAGE(OFFSET($BH$3,0,0,'Données projet'!$E$11+1,1))-AVERAGE(OFFSET($H$3,0,0,'Données projet'!$E$11+1,1))</f>
        <v>643.38601112255424</v>
      </c>
      <c r="BJ126" s="62">
        <f t="shared" si="92"/>
        <v>572.76381622085694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3.5107433930262237</v>
      </c>
      <c r="BQ126" s="23">
        <f>EXP(-LN(2)/25)*BQ125+(1-EXP(-LN(2)/25))/(LN(2)/25)*Calculateur!BL126*Calculateur!BN126*VLOOKUP('Données projet'!$B$11,Paramètres!$A$1:$I$89,3,0)*0.475*44/12</f>
        <v>1.8434159232429312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5.354159316269155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505.23000000000025</v>
      </c>
      <c r="BZ126" s="14">
        <f>BY126*VLOOKUP('Données projet'!$B$12,Paramètres!$A$1:$I$89,3,0)*VLOOKUP('Données projet'!$B$12,Paramètres!$A$1:$I$89,5,0)</f>
        <v>338.90828400000015</v>
      </c>
      <c r="CA126" s="14">
        <f t="shared" si="93"/>
        <v>79.274348782791407</v>
      </c>
      <c r="CB126" s="22">
        <f t="shared" si="64"/>
        <v>728.33475209669507</v>
      </c>
      <c r="CC126" s="62">
        <f t="shared" si="65"/>
        <v>1021.6680854300284</v>
      </c>
      <c r="CD126" s="62">
        <f ca="1">AVERAGE(OFFSET($CC$3,0,0,'Données projet'!$E$12+1,1))-AVERAGE(OFFSET($H$3,0,0,'Données projet'!$E$12+1,1))</f>
        <v>323.41415875740768</v>
      </c>
      <c r="CE126" s="62">
        <f t="shared" si="94"/>
        <v>496.54020068152101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598.14</v>
      </c>
      <c r="CU126" s="18">
        <f>CT126*VLOOKUP('Données projet'!$B$13,Paramètres!$A$1:$I$89,3,0)*VLOOKUP('Données projet'!$B$13,Paramètres!$A$1:$I$89,5,0)</f>
        <v>643.837896</v>
      </c>
      <c r="CV126" s="14">
        <f t="shared" si="95"/>
        <v>139.76132574448636</v>
      </c>
      <c r="CW126" s="22">
        <f t="shared" si="67"/>
        <v>1364.7686445383138</v>
      </c>
      <c r="CX126" s="62">
        <f t="shared" si="68"/>
        <v>1658.101977871647</v>
      </c>
      <c r="CY126" s="62">
        <f ca="1">AVERAGE(OFFSET($CX$3,0,0,'Données projet'!$E$13+1,1))-AVERAGE(OFFSET($H$3,0,0,'Données projet'!$E$13+1,1))</f>
        <v>720.47588458554264</v>
      </c>
      <c r="CZ126" s="62">
        <f t="shared" si="96"/>
        <v>638.59686934821627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3.9071176470775724</v>
      </c>
      <c r="DG126" s="23">
        <f>EXP(-LN(2)/25)*DG125+(1-EXP(-LN(2)/25))/(LN(2)/25)*Calculateur!DB126*Calculateur!DD126*VLOOKUP('Données projet'!$B$13,Paramètres!$A$1:$I$89,3,0)*0.475*44/12</f>
        <v>2.051543527480034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5.9586611745576068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751.18</v>
      </c>
      <c r="O127" s="14">
        <f>N127*VLOOKUP('Données projet'!$B$9,Paramètres!$A$1:$I$89,3,0)*VLOOKUP('Données projet'!$B$9,Paramètres!$A$1:$I$89,5,0)</f>
        <v>351.55223999999993</v>
      </c>
      <c r="P127" s="14">
        <f t="shared" si="87"/>
        <v>81.882051211276618</v>
      </c>
      <c r="Q127" s="22">
        <f t="shared" si="107"/>
        <v>754.89805719297328</v>
      </c>
      <c r="R127" s="62">
        <f t="shared" si="55"/>
        <v>1048.2313905263065</v>
      </c>
      <c r="S127" s="62">
        <f ca="1">AVERAGE(OFFSET($R$3,0,0,'Données projet'!$E$9+1,1))-AVERAGE(OFFSET($H$3,0,0,'Données projet'!$E$9+1,1))</f>
        <v>309.95417097673084</v>
      </c>
      <c r="T127" s="62">
        <f t="shared" si="88"/>
        <v>170.83243426024433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3.3762272726954192</v>
      </c>
      <c r="AA127" s="23">
        <f>EXP(-LN(2)/25)*AA126+(1-EXP(-LN(2)/25))/(LN(2)/25)*Calculateur!V127*Calculateur!X127*VLOOKUP('Données projet'!$B$9,Paramètres!$A$1:$I$89,3,0)*0.475*44/12</f>
        <v>12.201095741906368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15.577323014601788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4.4500000000000028</v>
      </c>
      <c r="AI127" s="14">
        <f>IF('Données projet'!$A$62&gt;35,AI126+AH127-AQ126,IF(A127&lt;'Données projet'!$A$62,$AF$205^A127,IF(A127='Données projet'!$A$62,'Données projet'!$B$62,AI126+AH127-AQ126)))</f>
        <v>330.16999999999899</v>
      </c>
      <c r="AJ127" s="14">
        <f>AI127*VLOOKUP('Données projet'!$B$10,Paramètres!$A$1:$I$89,3,0)*VLOOKUP('Données projet'!$B$10,Paramètres!$A$1:$I$89,5,0)</f>
        <v>334.79237999999901</v>
      </c>
      <c r="AK127" s="14">
        <f t="shared" si="89"/>
        <v>78.423054541866605</v>
      </c>
      <c r="AL127" s="22">
        <f t="shared" si="58"/>
        <v>719.6835484937493</v>
      </c>
      <c r="AM127" s="62">
        <f t="shared" si="59"/>
        <v>1013.0168818270827</v>
      </c>
      <c r="AN127" s="62">
        <f ca="1">AVERAGE(OFFSET($AM$3,0,0,'Données projet'!$E$10+1,1))-AVERAGE(OFFSET($H$3,0,0,'Données projet'!$E$10+1,1))</f>
        <v>408.65944152905672</v>
      </c>
      <c r="AO127" s="62">
        <f t="shared" si="90"/>
        <v>248.55239719988651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8.7600327019807605</v>
      </c>
      <c r="AV127" s="23">
        <f>EXP(-LN(2)/25)*AV126+(1-EXP(-LN(2)/25))/(LN(2)/25)*Calculateur!AQ127*Calculateur!AS127*VLOOKUP('Données projet'!$B$10,Paramètres!$A$1:$I$89,3,0)*0.475*44/12</f>
        <v>4.8528858041398291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13.61291850612059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598.14</v>
      </c>
      <c r="BE127" s="14">
        <f>BD127*VLOOKUP('Données projet'!$B$11,Paramètres!$A$1:$I$89,3,0)*VLOOKUP('Données projet'!$B$11,Paramètres!$A$1:$I$89,5,0)</f>
        <v>578.52100799999994</v>
      </c>
      <c r="BF127" s="14">
        <f t="shared" si="91"/>
        <v>127.15611541885089</v>
      </c>
      <c r="BG127" s="22">
        <f t="shared" si="61"/>
        <v>1229.0543232878317</v>
      </c>
      <c r="BH127" s="62">
        <f t="shared" si="62"/>
        <v>1522.387656621165</v>
      </c>
      <c r="BI127" s="62">
        <f ca="1">AVERAGE(OFFSET($BH$3,0,0,'Données projet'!$E$11+1,1))-AVERAGE(OFFSET($H$3,0,0,'Données projet'!$E$11+1,1))</f>
        <v>643.38601112255424</v>
      </c>
      <c r="BJ127" s="62">
        <f t="shared" si="92"/>
        <v>572.76381622085694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3.4418998564310095</v>
      </c>
      <c r="BQ127" s="23">
        <f>EXP(-LN(2)/25)*BQ126+(1-EXP(-LN(2)/25))/(LN(2)/25)*Calculateur!BL127*Calculateur!BN127*VLOOKUP('Données projet'!$B$11,Paramètres!$A$1:$I$89,3,0)*0.475*44/12</f>
        <v>1.793007617880823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5.2349074743118322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505.23000000000025</v>
      </c>
      <c r="BZ127" s="14">
        <f>BY127*VLOOKUP('Données projet'!$B$12,Paramètres!$A$1:$I$89,3,0)*VLOOKUP('Données projet'!$B$12,Paramètres!$A$1:$I$89,5,0)</f>
        <v>338.90828400000015</v>
      </c>
      <c r="CA127" s="14">
        <f t="shared" si="93"/>
        <v>79.274348782791407</v>
      </c>
      <c r="CB127" s="22">
        <f t="shared" si="64"/>
        <v>728.33475209669507</v>
      </c>
      <c r="CC127" s="62">
        <f t="shared" si="65"/>
        <v>1021.6680854300284</v>
      </c>
      <c r="CD127" s="62">
        <f ca="1">AVERAGE(OFFSET($CC$3,0,0,'Données projet'!$E$12+1,1))-AVERAGE(OFFSET($H$3,0,0,'Données projet'!$E$12+1,1))</f>
        <v>323.41415875740768</v>
      </c>
      <c r="CE127" s="62">
        <f t="shared" si="94"/>
        <v>496.54020068152101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598.14</v>
      </c>
      <c r="CU127" s="18">
        <f>CT127*VLOOKUP('Données projet'!$B$13,Paramètres!$A$1:$I$89,3,0)*VLOOKUP('Données projet'!$B$13,Paramètres!$A$1:$I$89,5,0)</f>
        <v>643.837896</v>
      </c>
      <c r="CV127" s="14">
        <f t="shared" si="95"/>
        <v>139.76132574448636</v>
      </c>
      <c r="CW127" s="22">
        <f t="shared" si="67"/>
        <v>1364.7686445383138</v>
      </c>
      <c r="CX127" s="62">
        <f t="shared" si="68"/>
        <v>1658.101977871647</v>
      </c>
      <c r="CY127" s="62">
        <f ca="1">AVERAGE(OFFSET($CX$3,0,0,'Données projet'!$E$13+1,1))-AVERAGE(OFFSET($H$3,0,0,'Données projet'!$E$13+1,1))</f>
        <v>720.47588458554264</v>
      </c>
      <c r="CZ127" s="62">
        <f t="shared" si="96"/>
        <v>638.59686934821627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3.8305014531248336</v>
      </c>
      <c r="DG127" s="23">
        <f>EXP(-LN(2)/25)*DG126+(1-EXP(-LN(2)/25))/(LN(2)/25)*Calculateur!DB127*Calculateur!DD127*VLOOKUP('Données projet'!$B$13,Paramètres!$A$1:$I$89,3,0)*0.475*44/12</f>
        <v>1.9954439618351072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5.825945414959941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751.18</v>
      </c>
      <c r="O128" s="14">
        <f>N128*VLOOKUP('Données projet'!$B$9,Paramètres!$A$1:$I$89,3,0)*VLOOKUP('Données projet'!$B$9,Paramètres!$A$1:$I$89,5,0)</f>
        <v>351.55223999999993</v>
      </c>
      <c r="P128" s="14">
        <f t="shared" si="87"/>
        <v>81.882051211276618</v>
      </c>
      <c r="Q128" s="22">
        <f t="shared" si="107"/>
        <v>754.89805719297328</v>
      </c>
      <c r="R128" s="62">
        <f t="shared" si="55"/>
        <v>1048.2313905263065</v>
      </c>
      <c r="S128" s="62">
        <f ca="1">AVERAGE(OFFSET($R$3,0,0,'Données projet'!$E$9+1,1))-AVERAGE(OFFSET($H$3,0,0,'Données projet'!$E$9+1,1))</f>
        <v>309.95417097673084</v>
      </c>
      <c r="T128" s="62">
        <f t="shared" si="88"/>
        <v>170.83243426024433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3.31002151517316</v>
      </c>
      <c r="AA128" s="23">
        <f>EXP(-LN(2)/25)*AA127+(1-EXP(-LN(2)/25))/(LN(2)/25)*Calculateur!V128*Calculateur!X128*VLOOKUP('Données projet'!$B$9,Paramètres!$A$1:$I$89,3,0)*0.475*44/12</f>
        <v>11.8674561372162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15.17747765238936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4.4500000000000028</v>
      </c>
      <c r="AI128" s="14">
        <f>IF('Données projet'!$A$62&gt;35,AI127+AH128-AQ127,IF(A128&lt;'Données projet'!$A$62,$AF$205^A128,IF(A128='Données projet'!$A$62,'Données projet'!$B$62,AI127+AH128-AQ127)))</f>
        <v>334.61999999999898</v>
      </c>
      <c r="AJ128" s="14">
        <f>AI128*VLOOKUP('Données projet'!$B$10,Paramètres!$A$1:$I$89,3,0)*VLOOKUP('Données projet'!$B$10,Paramètres!$A$1:$I$89,5,0)</f>
        <v>339.304679999999</v>
      </c>
      <c r="AK128" s="14">
        <f t="shared" si="89"/>
        <v>79.356271795990196</v>
      </c>
      <c r="AL128" s="22">
        <f t="shared" si="58"/>
        <v>729.16782437801464</v>
      </c>
      <c r="AM128" s="62">
        <f t="shared" si="59"/>
        <v>1022.501157711348</v>
      </c>
      <c r="AN128" s="62">
        <f ca="1">AVERAGE(OFFSET($AM$3,0,0,'Données projet'!$E$10+1,1))-AVERAGE(OFFSET($H$3,0,0,'Données projet'!$E$10+1,1))</f>
        <v>408.65944152905672</v>
      </c>
      <c r="AO128" s="62">
        <f t="shared" si="90"/>
        <v>248.55239719988651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8.5882538037872802</v>
      </c>
      <c r="AV128" s="23">
        <f>EXP(-LN(2)/25)*AV127+(1-EXP(-LN(2)/25))/(LN(2)/25)*Calculateur!AQ128*Calculateur!AS128*VLOOKUP('Données projet'!$B$10,Paramètres!$A$1:$I$89,3,0)*0.475*44/12</f>
        <v>4.7201833866234528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13.308437190410732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598.14</v>
      </c>
      <c r="BE128" s="14">
        <f>BD128*VLOOKUP('Données projet'!$B$11,Paramètres!$A$1:$I$89,3,0)*VLOOKUP('Données projet'!$B$11,Paramètres!$A$1:$I$89,5,0)</f>
        <v>578.52100799999994</v>
      </c>
      <c r="BF128" s="14">
        <f t="shared" si="91"/>
        <v>127.15611541885089</v>
      </c>
      <c r="BG128" s="22">
        <f t="shared" si="61"/>
        <v>1229.0543232878317</v>
      </c>
      <c r="BH128" s="62">
        <f t="shared" si="62"/>
        <v>1522.387656621165</v>
      </c>
      <c r="BI128" s="62">
        <f ca="1">AVERAGE(OFFSET($BH$3,0,0,'Données projet'!$E$11+1,1))-AVERAGE(OFFSET($H$3,0,0,'Données projet'!$E$11+1,1))</f>
        <v>643.38601112255424</v>
      </c>
      <c r="BJ128" s="62">
        <f t="shared" si="92"/>
        <v>572.76381622085694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3.3744062995980162</v>
      </c>
      <c r="BQ128" s="23">
        <f>EXP(-LN(2)/25)*BQ127+(1-EXP(-LN(2)/25))/(LN(2)/25)*Calculateur!BL128*Calculateur!BN128*VLOOKUP('Données projet'!$B$11,Paramètres!$A$1:$I$89,3,0)*0.475*44/12</f>
        <v>1.7439777302796993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5.1183840298777152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505.23000000000025</v>
      </c>
      <c r="BZ128" s="14">
        <f>BY128*VLOOKUP('Données projet'!$B$12,Paramètres!$A$1:$I$89,3,0)*VLOOKUP('Données projet'!$B$12,Paramètres!$A$1:$I$89,5,0)</f>
        <v>338.90828400000015</v>
      </c>
      <c r="CA128" s="14">
        <f t="shared" si="93"/>
        <v>79.274348782791407</v>
      </c>
      <c r="CB128" s="22">
        <f t="shared" si="64"/>
        <v>728.33475209669507</v>
      </c>
      <c r="CC128" s="62">
        <f t="shared" si="65"/>
        <v>1021.6680854300284</v>
      </c>
      <c r="CD128" s="62">
        <f ca="1">AVERAGE(OFFSET($CC$3,0,0,'Données projet'!$E$12+1,1))-AVERAGE(OFFSET($H$3,0,0,'Données projet'!$E$12+1,1))</f>
        <v>323.41415875740768</v>
      </c>
      <c r="CE128" s="62">
        <f t="shared" si="94"/>
        <v>496.54020068152101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598.14</v>
      </c>
      <c r="CU128" s="18">
        <f>CT128*VLOOKUP('Données projet'!$B$13,Paramètres!$A$1:$I$89,3,0)*VLOOKUP('Données projet'!$B$13,Paramètres!$A$1:$I$89,5,0)</f>
        <v>643.837896</v>
      </c>
      <c r="CV128" s="14">
        <f t="shared" si="95"/>
        <v>139.76132574448636</v>
      </c>
      <c r="CW128" s="22">
        <f t="shared" si="67"/>
        <v>1364.7686445383138</v>
      </c>
      <c r="CX128" s="62">
        <f t="shared" si="68"/>
        <v>1658.101977871647</v>
      </c>
      <c r="CY128" s="62">
        <f ca="1">AVERAGE(OFFSET($CX$3,0,0,'Données projet'!$E$13+1,1))-AVERAGE(OFFSET($H$3,0,0,'Données projet'!$E$13+1,1))</f>
        <v>720.47588458554264</v>
      </c>
      <c r="CZ128" s="62">
        <f t="shared" si="96"/>
        <v>638.59686934821627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3.7553876560042441</v>
      </c>
      <c r="DG128" s="23">
        <f>EXP(-LN(2)/25)*DG127+(1-EXP(-LN(2)/25))/(LN(2)/25)*Calculateur!DB128*Calculateur!DD128*VLOOKUP('Données projet'!$B$13,Paramètres!$A$1:$I$89,3,0)*0.475*44/12</f>
        <v>1.9408784417628888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5.6962660977671327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751.18</v>
      </c>
      <c r="O129" s="14">
        <f>N129*VLOOKUP('Données projet'!$B$9,Paramètres!$A$1:$I$89,3,0)*VLOOKUP('Données projet'!$B$9,Paramètres!$A$1:$I$89,5,0)</f>
        <v>351.55223999999993</v>
      </c>
      <c r="P129" s="14">
        <f t="shared" si="87"/>
        <v>81.882051211276618</v>
      </c>
      <c r="Q129" s="22">
        <f t="shared" si="107"/>
        <v>754.89805719297328</v>
      </c>
      <c r="R129" s="62">
        <f t="shared" si="55"/>
        <v>1048.2313905263065</v>
      </c>
      <c r="S129" s="62">
        <f ca="1">AVERAGE(OFFSET($R$3,0,0,'Données projet'!$E$9+1,1))-AVERAGE(OFFSET($H$3,0,0,'Données projet'!$E$9+1,1))</f>
        <v>309.95417097673084</v>
      </c>
      <c r="T129" s="62">
        <f t="shared" si="88"/>
        <v>170.83243426024433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3.2451140121743873</v>
      </c>
      <c r="AA129" s="23">
        <f>EXP(-LN(2)/25)*AA128+(1-EXP(-LN(2)/25))/(LN(2)/25)*Calculateur!V129*Calculateur!X129*VLOOKUP('Données projet'!$B$9,Paramètres!$A$1:$I$89,3,0)*0.475*44/12</f>
        <v>11.542939925061628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14.788053937236015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4.4500000000000028</v>
      </c>
      <c r="AI129" s="14">
        <f>IF('Données projet'!$A$62&gt;35,AI128+AH129-AQ128,IF(A129&lt;'Données projet'!$A$62,$AF$205^A129,IF(A129='Données projet'!$A$62,'Données projet'!$B$62,AI128+AH129-AQ128)))</f>
        <v>339.06999999999897</v>
      </c>
      <c r="AJ129" s="14">
        <f>AI129*VLOOKUP('Données projet'!$B$10,Paramètres!$A$1:$I$89,3,0)*VLOOKUP('Données projet'!$B$10,Paramètres!$A$1:$I$89,5,0)</f>
        <v>343.81697999999898</v>
      </c>
      <c r="AK129" s="14">
        <f t="shared" si="89"/>
        <v>80.288045535118371</v>
      </c>
      <c r="AL129" s="22">
        <f t="shared" si="58"/>
        <v>738.64958614032946</v>
      </c>
      <c r="AM129" s="62">
        <f t="shared" si="59"/>
        <v>1031.9829194736628</v>
      </c>
      <c r="AN129" s="62">
        <f ca="1">AVERAGE(OFFSET($AM$3,0,0,'Données projet'!$E$10+1,1))-AVERAGE(OFFSET($H$3,0,0,'Données projet'!$E$10+1,1))</f>
        <v>408.65944152905672</v>
      </c>
      <c r="AO129" s="62">
        <f t="shared" si="90"/>
        <v>248.55239719988651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8.4198433850125909</v>
      </c>
      <c r="AV129" s="23">
        <f>EXP(-LN(2)/25)*AV128+(1-EXP(-LN(2)/25))/(LN(2)/25)*Calculateur!AQ129*Calculateur!AS129*VLOOKUP('Données projet'!$B$10,Paramètres!$A$1:$I$89,3,0)*0.475*44/12</f>
        <v>4.5911097236925782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13.01095310870517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598.14</v>
      </c>
      <c r="BE129" s="14">
        <f>BD129*VLOOKUP('Données projet'!$B$11,Paramètres!$A$1:$I$89,3,0)*VLOOKUP('Données projet'!$B$11,Paramètres!$A$1:$I$89,5,0)</f>
        <v>578.52100799999994</v>
      </c>
      <c r="BF129" s="14">
        <f t="shared" si="91"/>
        <v>127.15611541885089</v>
      </c>
      <c r="BG129" s="22">
        <f t="shared" si="61"/>
        <v>1229.0543232878317</v>
      </c>
      <c r="BH129" s="62">
        <f t="shared" si="62"/>
        <v>1522.387656621165</v>
      </c>
      <c r="BI129" s="62">
        <f ca="1">AVERAGE(OFFSET($BH$3,0,0,'Données projet'!$E$11+1,1))-AVERAGE(OFFSET($H$3,0,0,'Données projet'!$E$11+1,1))</f>
        <v>643.38601112255424</v>
      </c>
      <c r="BJ129" s="62">
        <f t="shared" si="92"/>
        <v>572.76381622085694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3.3082362502475129</v>
      </c>
      <c r="BQ129" s="23">
        <f>EXP(-LN(2)/25)*BQ128+(1-EXP(-LN(2)/25))/(LN(2)/25)*Calculateur!BL129*Calculateur!BN129*VLOOKUP('Données projet'!$B$11,Paramètres!$A$1:$I$89,3,0)*0.475*44/12</f>
        <v>1.6962885675333981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5.0045248177809114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505.23000000000025</v>
      </c>
      <c r="BZ129" s="14">
        <f>BY129*VLOOKUP('Données projet'!$B$12,Paramètres!$A$1:$I$89,3,0)*VLOOKUP('Données projet'!$B$12,Paramètres!$A$1:$I$89,5,0)</f>
        <v>338.90828400000015</v>
      </c>
      <c r="CA129" s="14">
        <f t="shared" si="93"/>
        <v>79.274348782791407</v>
      </c>
      <c r="CB129" s="22">
        <f t="shared" si="64"/>
        <v>728.33475209669507</v>
      </c>
      <c r="CC129" s="62">
        <f t="shared" si="65"/>
        <v>1021.6680854300284</v>
      </c>
      <c r="CD129" s="62">
        <f ca="1">AVERAGE(OFFSET($CC$3,0,0,'Données projet'!$E$12+1,1))-AVERAGE(OFFSET($H$3,0,0,'Données projet'!$E$12+1,1))</f>
        <v>323.41415875740768</v>
      </c>
      <c r="CE129" s="62">
        <f t="shared" si="94"/>
        <v>496.54020068152101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598.14</v>
      </c>
      <c r="CU129" s="18">
        <f>CT129*VLOOKUP('Données projet'!$B$13,Paramètres!$A$1:$I$89,3,0)*VLOOKUP('Données projet'!$B$13,Paramètres!$A$1:$I$89,5,0)</f>
        <v>643.837896</v>
      </c>
      <c r="CV129" s="14">
        <f t="shared" si="95"/>
        <v>139.76132574448636</v>
      </c>
      <c r="CW129" s="22">
        <f t="shared" si="67"/>
        <v>1364.7686445383138</v>
      </c>
      <c r="CX129" s="62">
        <f t="shared" si="68"/>
        <v>1658.101977871647</v>
      </c>
      <c r="CY129" s="62">
        <f ca="1">AVERAGE(OFFSET($CX$3,0,0,'Données projet'!$E$13+1,1))-AVERAGE(OFFSET($H$3,0,0,'Données projet'!$E$13+1,1))</f>
        <v>720.47588458554264</v>
      </c>
      <c r="CZ129" s="62">
        <f t="shared" si="96"/>
        <v>638.59686934821627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3.6817467946302971</v>
      </c>
      <c r="DG129" s="23">
        <f>EXP(-LN(2)/25)*DG128+(1-EXP(-LN(2)/25))/(LN(2)/25)*Calculateur!DB129*Calculateur!DD129*VLOOKUP('Données projet'!$B$13,Paramètres!$A$1:$I$89,3,0)*0.475*44/12</f>
        <v>1.8878050187065214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5.5695518133368189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751.18</v>
      </c>
      <c r="O130" s="14">
        <f>N130*VLOOKUP('Données projet'!$B$9,Paramètres!$A$1:$I$89,3,0)*VLOOKUP('Données projet'!$B$9,Paramètres!$A$1:$I$89,5,0)</f>
        <v>351.55223999999993</v>
      </c>
      <c r="P130" s="14">
        <f t="shared" si="87"/>
        <v>81.882051211276618</v>
      </c>
      <c r="Q130" s="22">
        <f t="shared" si="107"/>
        <v>754.89805719297328</v>
      </c>
      <c r="R130" s="62">
        <f t="shared" si="55"/>
        <v>1048.2313905263065</v>
      </c>
      <c r="S130" s="62">
        <f ca="1">AVERAGE(OFFSET($R$3,0,0,'Données projet'!$E$9+1,1))-AVERAGE(OFFSET($H$3,0,0,'Données projet'!$E$9+1,1))</f>
        <v>309.95417097673084</v>
      </c>
      <c r="T130" s="62">
        <f t="shared" si="88"/>
        <v>170.83243426024433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3.181479305719753</v>
      </c>
      <c r="AA130" s="23">
        <f>EXP(-LN(2)/25)*AA129+(1-EXP(-LN(2)/25))/(LN(2)/25)*Calculateur!V130*Calculateur!X130*VLOOKUP('Données projet'!$B$9,Paramètres!$A$1:$I$89,3,0)*0.475*44/12</f>
        <v>11.227297625793989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14.408776931513742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4.4500000000000028</v>
      </c>
      <c r="AI130" s="14">
        <f>IF('Données projet'!$A$62&gt;35,AI129+AH130-AQ129,IF(A130&lt;'Données projet'!$A$62,$AF$205^A130,IF(A130='Données projet'!$A$62,'Données projet'!$B$62,AI129+AH130-AQ129)))</f>
        <v>343.51999999999896</v>
      </c>
      <c r="AJ130" s="14">
        <f>AI130*VLOOKUP('Données projet'!$B$10,Paramètres!$A$1:$I$89,3,0)*VLOOKUP('Données projet'!$B$10,Paramètres!$A$1:$I$89,5,0)</f>
        <v>348.32927999999896</v>
      </c>
      <c r="AK130" s="14">
        <f t="shared" si="89"/>
        <v>81.218396894393152</v>
      </c>
      <c r="AL130" s="22">
        <f t="shared" si="58"/>
        <v>748.12887059106617</v>
      </c>
      <c r="AM130" s="62">
        <f t="shared" si="59"/>
        <v>1041.4622039243995</v>
      </c>
      <c r="AN130" s="62">
        <f ca="1">AVERAGE(OFFSET($AM$3,0,0,'Données projet'!$E$10+1,1))-AVERAGE(OFFSET($H$3,0,0,'Données projet'!$E$10+1,1))</f>
        <v>408.65944152905672</v>
      </c>
      <c r="AO130" s="62">
        <f t="shared" si="90"/>
        <v>248.55239719988651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8.2547353918298612</v>
      </c>
      <c r="AV130" s="23">
        <f>EXP(-LN(2)/25)*AV129+(1-EXP(-LN(2)/25))/(LN(2)/25)*Calculateur!AQ130*Calculateur!AS130*VLOOKUP('Données projet'!$B$10,Paramètres!$A$1:$I$89,3,0)*0.475*44/12</f>
        <v>4.4655655868622377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12.720300978692098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598.14</v>
      </c>
      <c r="BE130" s="14">
        <f>BD130*VLOOKUP('Données projet'!$B$11,Paramètres!$A$1:$I$89,3,0)*VLOOKUP('Données projet'!$B$11,Paramètres!$A$1:$I$89,5,0)</f>
        <v>578.52100799999994</v>
      </c>
      <c r="BF130" s="14">
        <f t="shared" si="91"/>
        <v>127.15611541885089</v>
      </c>
      <c r="BG130" s="22">
        <f t="shared" si="61"/>
        <v>1229.0543232878317</v>
      </c>
      <c r="BH130" s="62">
        <f t="shared" si="62"/>
        <v>1522.387656621165</v>
      </c>
      <c r="BI130" s="62">
        <f ca="1">AVERAGE(OFFSET($BH$3,0,0,'Données projet'!$E$11+1,1))-AVERAGE(OFFSET($H$3,0,0,'Données projet'!$E$11+1,1))</f>
        <v>643.38601112255424</v>
      </c>
      <c r="BJ130" s="62">
        <f t="shared" si="92"/>
        <v>572.76381622085694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3.2433637552050283</v>
      </c>
      <c r="BQ130" s="23">
        <f>EXP(-LN(2)/25)*BQ129+(1-EXP(-LN(2)/25))/(LN(2)/25)*Calculateur!BL130*Calculateur!BN130*VLOOKUP('Données projet'!$B$11,Paramètres!$A$1:$I$89,3,0)*0.475*44/12</f>
        <v>1.6499034674502584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4.8932672226552869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505.23000000000025</v>
      </c>
      <c r="BZ130" s="14">
        <f>BY130*VLOOKUP('Données projet'!$B$12,Paramètres!$A$1:$I$89,3,0)*VLOOKUP('Données projet'!$B$12,Paramètres!$A$1:$I$89,5,0)</f>
        <v>338.90828400000015</v>
      </c>
      <c r="CA130" s="14">
        <f t="shared" si="93"/>
        <v>79.274348782791407</v>
      </c>
      <c r="CB130" s="22">
        <f t="shared" si="64"/>
        <v>728.33475209669507</v>
      </c>
      <c r="CC130" s="62">
        <f t="shared" si="65"/>
        <v>1021.6680854300284</v>
      </c>
      <c r="CD130" s="62">
        <f ca="1">AVERAGE(OFFSET($CC$3,0,0,'Données projet'!$E$12+1,1))-AVERAGE(OFFSET($H$3,0,0,'Données projet'!$E$12+1,1))</f>
        <v>323.41415875740768</v>
      </c>
      <c r="CE130" s="62">
        <f t="shared" si="94"/>
        <v>496.54020068152101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598.14</v>
      </c>
      <c r="CU130" s="18">
        <f>CT130*VLOOKUP('Données projet'!$B$13,Paramètres!$A$1:$I$89,3,0)*VLOOKUP('Données projet'!$B$13,Paramètres!$A$1:$I$89,5,0)</f>
        <v>643.837896</v>
      </c>
      <c r="CV130" s="14">
        <f t="shared" si="95"/>
        <v>139.76132574448636</v>
      </c>
      <c r="CW130" s="22">
        <f t="shared" si="67"/>
        <v>1364.7686445383138</v>
      </c>
      <c r="CX130" s="62">
        <f t="shared" si="68"/>
        <v>1658.101977871647</v>
      </c>
      <c r="CY130" s="62">
        <f ca="1">AVERAGE(OFFSET($CX$3,0,0,'Données projet'!$E$13+1,1))-AVERAGE(OFFSET($H$3,0,0,'Données projet'!$E$13+1,1))</f>
        <v>720.47588458554264</v>
      </c>
      <c r="CZ130" s="62">
        <f t="shared" si="96"/>
        <v>638.59686934821627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3.6095499856314026</v>
      </c>
      <c r="DG130" s="23">
        <f>EXP(-LN(2)/25)*DG129+(1-EXP(-LN(2)/25))/(LN(2)/25)*Calculateur!DB130*Calculateur!DD130*VLOOKUP('Données projet'!$B$13,Paramètres!$A$1:$I$89,3,0)*0.475*44/12</f>
        <v>1.8361828911946403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5.4457328768260425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751.18</v>
      </c>
      <c r="O131" s="14">
        <f>N131*VLOOKUP('Données projet'!$B$9,Paramètres!$A$1:$I$89,3,0)*VLOOKUP('Données projet'!$B$9,Paramètres!$A$1:$I$89,5,0)</f>
        <v>351.55223999999993</v>
      </c>
      <c r="P131" s="14">
        <f t="shared" si="87"/>
        <v>81.882051211276618</v>
      </c>
      <c r="Q131" s="22">
        <f t="shared" ref="Q131:Q153" si="108">(O131+P131)*0.475*44/12</f>
        <v>754.89805719297328</v>
      </c>
      <c r="R131" s="62">
        <f t="shared" ref="R131:R194" si="109">Q131+(I131+J131)*44/12</f>
        <v>1048.2313905263065</v>
      </c>
      <c r="S131" s="62">
        <f ca="1">AVERAGE(OFFSET($R$3,0,0,'Données projet'!$E$9+1,1))-AVERAGE(OFFSET($H$3,0,0,'Données projet'!$E$9+1,1))</f>
        <v>309.95417097673084</v>
      </c>
      <c r="T131" s="62">
        <f t="shared" si="88"/>
        <v>170.83243426024433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3.1190924370453557</v>
      </c>
      <c r="AA131" s="23">
        <f>EXP(-LN(2)/25)*AA130+(1-EXP(-LN(2)/25))/(LN(2)/25)*Calculateur!V131*Calculateur!X131*VLOOKUP('Données projet'!$B$9,Paramètres!$A$1:$I$89,3,0)*0.475*44/12</f>
        <v>10.920286581798731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14.039379018844087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4.4500000000000028</v>
      </c>
      <c r="AI131" s="14">
        <f>IF('Données projet'!$A$62&gt;35,AI130+AH131-AQ130,IF(A131&lt;'Données projet'!$A$62,$AF$205^A131,IF(A131='Données projet'!$A$62,'Données projet'!$B$62,AI130+AH131-AQ130)))</f>
        <v>347.96999999999895</v>
      </c>
      <c r="AJ131" s="14">
        <f>AI131*VLOOKUP('Données projet'!$B$10,Paramètres!$A$1:$I$89,3,0)*VLOOKUP('Données projet'!$B$10,Paramètres!$A$1:$I$89,5,0)</f>
        <v>352.84157999999894</v>
      </c>
      <c r="AK131" s="14">
        <f t="shared" si="89"/>
        <v>82.147346429901674</v>
      </c>
      <c r="AL131" s="22">
        <f t="shared" si="58"/>
        <v>757.60571353207695</v>
      </c>
      <c r="AM131" s="62">
        <f t="shared" si="59"/>
        <v>1050.9390468654103</v>
      </c>
      <c r="AN131" s="62">
        <f ca="1">AVERAGE(OFFSET($AM$3,0,0,'Données projet'!$E$10+1,1))-AVERAGE(OFFSET($H$3,0,0,'Données projet'!$E$10+1,1))</f>
        <v>408.65944152905672</v>
      </c>
      <c r="AO131" s="62">
        <f t="shared" si="90"/>
        <v>248.55239719988651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8.0928650656875121</v>
      </c>
      <c r="AV131" s="23">
        <f>EXP(-LN(2)/25)*AV130+(1-EXP(-LN(2)/25))/(LN(2)/25)*Calculateur!AQ131*Calculateur!AS131*VLOOKUP('Données projet'!$B$10,Paramètres!$A$1:$I$89,3,0)*0.475*44/12</f>
        <v>4.3434544610556021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12.436319526743114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598.14</v>
      </c>
      <c r="BE131" s="14">
        <f>BD131*VLOOKUP('Données projet'!$B$11,Paramètres!$A$1:$I$89,3,0)*VLOOKUP('Données projet'!$B$11,Paramètres!$A$1:$I$89,5,0)</f>
        <v>578.52100799999994</v>
      </c>
      <c r="BF131" s="14">
        <f t="shared" si="91"/>
        <v>127.15611541885089</v>
      </c>
      <c r="BG131" s="22">
        <f t="shared" si="61"/>
        <v>1229.0543232878317</v>
      </c>
      <c r="BH131" s="62">
        <f t="shared" si="62"/>
        <v>1522.387656621165</v>
      </c>
      <c r="BI131" s="62">
        <f ca="1">AVERAGE(OFFSET($BH$3,0,0,'Données projet'!$E$11+1,1))-AVERAGE(OFFSET($H$3,0,0,'Données projet'!$E$11+1,1))</f>
        <v>643.38601112255424</v>
      </c>
      <c r="BJ131" s="62">
        <f t="shared" si="92"/>
        <v>572.76381622085694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3.1797633702220116</v>
      </c>
      <c r="BQ131" s="23">
        <f>EXP(-LN(2)/25)*BQ130+(1-EXP(-LN(2)/25))/(LN(2)/25)*Calculateur!BL131*Calculateur!BN131*VLOOKUP('Données projet'!$B$11,Paramètres!$A$1:$I$89,3,0)*0.475*44/12</f>
        <v>1.6047867703681786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4.7845501405901905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505.23000000000025</v>
      </c>
      <c r="BZ131" s="14">
        <f>BY131*VLOOKUP('Données projet'!$B$12,Paramètres!$A$1:$I$89,3,0)*VLOOKUP('Données projet'!$B$12,Paramètres!$A$1:$I$89,5,0)</f>
        <v>338.90828400000015</v>
      </c>
      <c r="CA131" s="14">
        <f t="shared" si="93"/>
        <v>79.274348782791407</v>
      </c>
      <c r="CB131" s="22">
        <f t="shared" si="64"/>
        <v>728.33475209669507</v>
      </c>
      <c r="CC131" s="62">
        <f t="shared" si="65"/>
        <v>1021.6680854300284</v>
      </c>
      <c r="CD131" s="62">
        <f ca="1">AVERAGE(OFFSET($CC$3,0,0,'Données projet'!$E$12+1,1))-AVERAGE(OFFSET($H$3,0,0,'Données projet'!$E$12+1,1))</f>
        <v>323.41415875740768</v>
      </c>
      <c r="CE131" s="62">
        <f t="shared" si="94"/>
        <v>496.54020068152101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598.14</v>
      </c>
      <c r="CU131" s="18">
        <f>CT131*VLOOKUP('Données projet'!$B$13,Paramètres!$A$1:$I$89,3,0)*VLOOKUP('Données projet'!$B$13,Paramètres!$A$1:$I$89,5,0)</f>
        <v>643.837896</v>
      </c>
      <c r="CV131" s="14">
        <f t="shared" si="95"/>
        <v>139.76132574448636</v>
      </c>
      <c r="CW131" s="22">
        <f t="shared" si="67"/>
        <v>1364.7686445383138</v>
      </c>
      <c r="CX131" s="62">
        <f t="shared" si="68"/>
        <v>1658.101977871647</v>
      </c>
      <c r="CY131" s="62">
        <f ca="1">AVERAGE(OFFSET($CX$3,0,0,'Données projet'!$E$13+1,1))-AVERAGE(OFFSET($H$3,0,0,'Données projet'!$E$13+1,1))</f>
        <v>720.47588458554264</v>
      </c>
      <c r="CZ131" s="62">
        <f t="shared" si="96"/>
        <v>638.59686934821627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3.5387689120212711</v>
      </c>
      <c r="DG131" s="23">
        <f>EXP(-LN(2)/25)*DG130+(1-EXP(-LN(2)/25))/(LN(2)/25)*Calculateur!DB131*Calculateur!DD131*VLOOKUP('Données projet'!$B$13,Paramètres!$A$1:$I$89,3,0)*0.475*44/12</f>
        <v>1.7859723734742612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5.3247412854955325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751.18</v>
      </c>
      <c r="O132" s="14">
        <f>N132*VLOOKUP('Données projet'!$B$9,Paramètres!$A$1:$I$89,3,0)*VLOOKUP('Données projet'!$B$9,Paramètres!$A$1:$I$89,5,0)</f>
        <v>351.55223999999993</v>
      </c>
      <c r="P132" s="14">
        <f t="shared" si="87"/>
        <v>81.882051211276618</v>
      </c>
      <c r="Q132" s="22">
        <f t="shared" si="108"/>
        <v>754.89805719297328</v>
      </c>
      <c r="R132" s="62">
        <f t="shared" si="109"/>
        <v>1048.2313905263065</v>
      </c>
      <c r="S132" s="62">
        <f ca="1">AVERAGE(OFFSET($R$3,0,0,'Données projet'!$E$9+1,1))-AVERAGE(OFFSET($H$3,0,0,'Données projet'!$E$9+1,1))</f>
        <v>309.95417097673084</v>
      </c>
      <c r="T132" s="62">
        <f t="shared" si="88"/>
        <v>170.83243426024433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3.0579289368134308</v>
      </c>
      <c r="AA132" s="23">
        <f>EXP(-LN(2)/25)*AA131+(1-EXP(-LN(2)/25))/(LN(2)/25)*Calculateur!V132*Calculateur!X132*VLOOKUP('Données projet'!$B$9,Paramètres!$A$1:$I$89,3,0)*0.475*44/12</f>
        <v>10.621670770946531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13.679599707759962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4.4500000000000028</v>
      </c>
      <c r="AI132" s="14">
        <f>IF('Données projet'!$A$62&gt;35,AI131+AH132-AQ131,IF(A132&lt;'Données projet'!$A$62,$AF$205^A132,IF(A132='Données projet'!$A$62,'Données projet'!$B$62,AI131+AH132-AQ131)))</f>
        <v>352.41999999999894</v>
      </c>
      <c r="AJ132" s="14">
        <f>AI132*VLOOKUP('Données projet'!$B$10,Paramètres!$A$1:$I$89,3,0)*VLOOKUP('Données projet'!$B$10,Paramètres!$A$1:$I$89,5,0)</f>
        <v>357.35387999999898</v>
      </c>
      <c r="AK132" s="14">
        <f t="shared" si="89"/>
        <v>83.074914141739541</v>
      </c>
      <c r="AL132" s="22">
        <f t="shared" ref="AL132:AL153" si="112">(AJ132+AK132)*0.475*44/12</f>
        <v>767.08014979686129</v>
      </c>
      <c r="AM132" s="62">
        <f t="shared" ref="AM132:AM195" si="113">AL132+(AD132+AE132)*44/12</f>
        <v>1060.4134831301947</v>
      </c>
      <c r="AN132" s="62">
        <f ca="1">AVERAGE(OFFSET($AM$3,0,0,'Données projet'!$E$10+1,1))-AVERAGE(OFFSET($H$3,0,0,'Données projet'!$E$10+1,1))</f>
        <v>408.65944152905672</v>
      </c>
      <c r="AO132" s="62">
        <f t="shared" si="90"/>
        <v>248.55239719988651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7.9341689179096644</v>
      </c>
      <c r="AV132" s="23">
        <f>EXP(-LN(2)/25)*AV131+(1-EXP(-LN(2)/25))/(LN(2)/25)*Calculateur!AQ132*Calculateur!AS132*VLOOKUP('Données projet'!$B$10,Paramètres!$A$1:$I$89,3,0)*0.475*44/12</f>
        <v>4.2246824704056936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12.158851388315359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598.14</v>
      </c>
      <c r="BE132" s="14">
        <f>BD132*VLOOKUP('Données projet'!$B$11,Paramètres!$A$1:$I$89,3,0)*VLOOKUP('Données projet'!$B$11,Paramètres!$A$1:$I$89,5,0)</f>
        <v>578.52100799999994</v>
      </c>
      <c r="BF132" s="14">
        <f t="shared" si="91"/>
        <v>127.15611541885089</v>
      </c>
      <c r="BG132" s="22">
        <f t="shared" ref="BG132:BG153" si="115">(BE132+BF132)*0.475*44/12</f>
        <v>1229.0543232878317</v>
      </c>
      <c r="BH132" s="62">
        <f t="shared" ref="BH132:BH195" si="116">BG132+(AY132+AZ132)*44/12</f>
        <v>1522.387656621165</v>
      </c>
      <c r="BI132" s="62">
        <f ca="1">AVERAGE(OFFSET($BH$3,0,0,'Données projet'!$E$11+1,1))-AVERAGE(OFFSET($H$3,0,0,'Données projet'!$E$11+1,1))</f>
        <v>643.38601112255424</v>
      </c>
      <c r="BJ132" s="62">
        <f t="shared" si="92"/>
        <v>572.76381622085694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3.1174101499961075</v>
      </c>
      <c r="BQ132" s="23">
        <f>EXP(-LN(2)/25)*BQ131+(1-EXP(-LN(2)/25))/(LN(2)/25)*Calculateur!BL132*Calculateur!BN132*VLOOKUP('Données projet'!$B$11,Paramètres!$A$1:$I$89,3,0)*0.475*44/12</f>
        <v>1.5609037917403923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4.6783139417364996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505.23000000000025</v>
      </c>
      <c r="BZ132" s="14">
        <f>BY132*VLOOKUP('Données projet'!$B$12,Paramètres!$A$1:$I$89,3,0)*VLOOKUP('Données projet'!$B$12,Paramètres!$A$1:$I$89,5,0)</f>
        <v>338.90828400000015</v>
      </c>
      <c r="CA132" s="14">
        <f t="shared" si="93"/>
        <v>79.274348782791407</v>
      </c>
      <c r="CB132" s="22">
        <f t="shared" ref="CB132:CB153" si="118">(BZ132+CA132)*0.475*44/12</f>
        <v>728.33475209669507</v>
      </c>
      <c r="CC132" s="62">
        <f t="shared" ref="CC132:CC195" si="119">CB132+(BT132+BU132)*44/12</f>
        <v>1021.6680854300284</v>
      </c>
      <c r="CD132" s="62">
        <f ca="1">AVERAGE(OFFSET($CC$3,0,0,'Données projet'!$E$12+1,1))-AVERAGE(OFFSET($H$3,0,0,'Données projet'!$E$12+1,1))</f>
        <v>323.41415875740768</v>
      </c>
      <c r="CE132" s="62">
        <f t="shared" si="94"/>
        <v>496.54020068152101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598.14</v>
      </c>
      <c r="CU132" s="18">
        <f>CT132*VLOOKUP('Données projet'!$B$13,Paramètres!$A$1:$I$89,3,0)*VLOOKUP('Données projet'!$B$13,Paramètres!$A$1:$I$89,5,0)</f>
        <v>643.837896</v>
      </c>
      <c r="CV132" s="14">
        <f t="shared" si="95"/>
        <v>139.76132574448636</v>
      </c>
      <c r="CW132" s="22">
        <f t="shared" ref="CW132:CW153" si="121">(CU132+CV132)*0.475*44/12</f>
        <v>1364.7686445383138</v>
      </c>
      <c r="CX132" s="62">
        <f t="shared" ref="CX132:CX195" si="122">CW132+(CO132+CP132)*44/12</f>
        <v>1658.101977871647</v>
      </c>
      <c r="CY132" s="62">
        <f ca="1">AVERAGE(OFFSET($CX$3,0,0,'Données projet'!$E$13+1,1))-AVERAGE(OFFSET($H$3,0,0,'Données projet'!$E$13+1,1))</f>
        <v>720.47588458554264</v>
      </c>
      <c r="CZ132" s="62">
        <f t="shared" si="96"/>
        <v>638.59686934821627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3.4693758120924425</v>
      </c>
      <c r="DG132" s="23">
        <f>EXP(-LN(2)/25)*DG131+(1-EXP(-LN(2)/25))/(LN(2)/25)*Calculateur!DB132*Calculateur!DD132*VLOOKUP('Données projet'!$B$13,Paramètres!$A$1:$I$89,3,0)*0.475*44/12</f>
        <v>1.7371348650014022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5.2065106770938447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751.18</v>
      </c>
      <c r="O133" s="14">
        <f>N133*VLOOKUP('Données projet'!$B$9,Paramètres!$A$1:$I$89,3,0)*VLOOKUP('Données projet'!$B$9,Paramètres!$A$1:$I$89,5,0)</f>
        <v>351.55223999999993</v>
      </c>
      <c r="P133" s="14">
        <f t="shared" ref="P133:P196" si="141">EXP(-1.0587+0.8836*LN(O133)+0.284)</f>
        <v>81.882051211276618</v>
      </c>
      <c r="Q133" s="22">
        <f t="shared" si="108"/>
        <v>754.89805719297328</v>
      </c>
      <c r="R133" s="62">
        <f t="shared" si="109"/>
        <v>1048.2313905263065</v>
      </c>
      <c r="S133" s="62">
        <f ca="1">AVERAGE(OFFSET($R$3,0,0,'Données projet'!$E$9+1,1))-AVERAGE(OFFSET($H$3,0,0,'Données projet'!$E$9+1,1))</f>
        <v>309.95417097673084</v>
      </c>
      <c r="T133" s="62">
        <f t="shared" ref="T133:T196" si="142">$T$3</f>
        <v>170.83243426024433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2.9979648155150023</v>
      </c>
      <c r="AA133" s="23">
        <f>EXP(-LN(2)/25)*AA132+(1-EXP(-LN(2)/25))/(LN(2)/25)*Calculateur!V133*Calculateur!X133*VLOOKUP('Données projet'!$B$9,Paramètres!$A$1:$I$89,3,0)*0.475*44/12</f>
        <v>10.331220625145608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13.329185440660611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4.4500000000000028</v>
      </c>
      <c r="AI133" s="14">
        <f>IF('Données projet'!$A$62&gt;35,AI132+AH133-AQ132,IF(A133&lt;'Données projet'!$A$62,$AF$205^A133,IF(A133='Données projet'!$A$62,'Données projet'!$B$62,AI132+AH133-AQ132)))</f>
        <v>356.86999999999892</v>
      </c>
      <c r="AJ133" s="14">
        <f>AI133*VLOOKUP('Données projet'!$B$10,Paramètres!$A$1:$I$89,3,0)*VLOOKUP('Données projet'!$B$10,Paramètres!$A$1:$I$89,5,0)</f>
        <v>361.86617999999896</v>
      </c>
      <c r="AK133" s="14">
        <f t="shared" ref="AK133:AK153" si="143">EXP(-1.0587+0.8836*LN(AJ133)+0.284)</f>
        <v>84.001119495874903</v>
      </c>
      <c r="AL133" s="22">
        <f t="shared" si="112"/>
        <v>776.55221328864707</v>
      </c>
      <c r="AM133" s="62">
        <f t="shared" si="113"/>
        <v>1069.8855466219804</v>
      </c>
      <c r="AN133" s="62">
        <f ca="1">AVERAGE(OFFSET($AM$3,0,0,'Données projet'!$E$10+1,1))-AVERAGE(OFFSET($H$3,0,0,'Données projet'!$E$10+1,1))</f>
        <v>408.65944152905672</v>
      </c>
      <c r="AO133" s="62">
        <f t="shared" ref="AO133:AO196" si="144">$AO$3</f>
        <v>248.55239719988651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7.7785847047946479</v>
      </c>
      <c r="AV133" s="23">
        <f>EXP(-LN(2)/25)*AV132+(1-EXP(-LN(2)/25))/(LN(2)/25)*Calculateur!AQ133*Calculateur!AS133*VLOOKUP('Données projet'!$B$10,Paramètres!$A$1:$I$89,3,0)*0.475*44/12</f>
        <v>4.1091583060860541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11.887743010880701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598.14</v>
      </c>
      <c r="BE133" s="14">
        <f>BD133*VLOOKUP('Données projet'!$B$11,Paramètres!$A$1:$I$89,3,0)*VLOOKUP('Données projet'!$B$11,Paramètres!$A$1:$I$89,5,0)</f>
        <v>578.52100799999994</v>
      </c>
      <c r="BF133" s="14">
        <f t="shared" ref="BF133:BF153" si="145">EXP(-1.0587+0.8836*LN(BE133)+0.284)</f>
        <v>127.15611541885089</v>
      </c>
      <c r="BG133" s="22">
        <f t="shared" si="115"/>
        <v>1229.0543232878317</v>
      </c>
      <c r="BH133" s="62">
        <f t="shared" si="116"/>
        <v>1522.387656621165</v>
      </c>
      <c r="BI133" s="62">
        <f ca="1">AVERAGE(OFFSET($BH$3,0,0,'Données projet'!$E$11+1,1))-AVERAGE(OFFSET($H$3,0,0,'Données projet'!$E$11+1,1))</f>
        <v>643.38601112255424</v>
      </c>
      <c r="BJ133" s="62">
        <f t="shared" ref="BJ133:BJ196" si="146">$BJ$3</f>
        <v>572.76381622085694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3.0562796383871245</v>
      </c>
      <c r="BQ133" s="23">
        <f>EXP(-LN(2)/25)*BQ132+(1-EXP(-LN(2)/25))/(LN(2)/25)*Calculateur!BL133*Calculateur!BN133*VLOOKUP('Données projet'!$B$11,Paramètres!$A$1:$I$89,3,0)*0.475*44/12</f>
        <v>1.5182207954708884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4.5745004338580131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505.23000000000025</v>
      </c>
      <c r="BZ133" s="14">
        <f>BY133*VLOOKUP('Données projet'!$B$12,Paramètres!$A$1:$I$89,3,0)*VLOOKUP('Données projet'!$B$12,Paramètres!$A$1:$I$89,5,0)</f>
        <v>338.90828400000015</v>
      </c>
      <c r="CA133" s="14">
        <f t="shared" ref="CA133:CA153" si="147">EXP(-1.0587+0.8836*LN(BZ133)+0.284)</f>
        <v>79.274348782791407</v>
      </c>
      <c r="CB133" s="22">
        <f t="shared" si="118"/>
        <v>728.33475209669507</v>
      </c>
      <c r="CC133" s="62">
        <f t="shared" si="119"/>
        <v>1021.6680854300284</v>
      </c>
      <c r="CD133" s="62">
        <f ca="1">AVERAGE(OFFSET($CC$3,0,0,'Données projet'!$E$12+1,1))-AVERAGE(OFFSET($H$3,0,0,'Données projet'!$E$12+1,1))</f>
        <v>323.41415875740768</v>
      </c>
      <c r="CE133" s="62">
        <f t="shared" ref="CE133:CE196" si="148">$CE$3</f>
        <v>496.54020068152101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598.14</v>
      </c>
      <c r="CU133" s="18">
        <f>CT133*VLOOKUP('Données projet'!$B$13,Paramètres!$A$1:$I$89,3,0)*VLOOKUP('Données projet'!$B$13,Paramètres!$A$1:$I$89,5,0)</f>
        <v>643.837896</v>
      </c>
      <c r="CV133" s="14">
        <f t="shared" ref="CV133:CV153" si="149">EXP(-1.0587+0.8836*LN(CU133)+0.284)</f>
        <v>139.76132574448636</v>
      </c>
      <c r="CW133" s="22">
        <f t="shared" si="121"/>
        <v>1364.7686445383138</v>
      </c>
      <c r="CX133" s="62">
        <f t="shared" si="122"/>
        <v>1658.101977871647</v>
      </c>
      <c r="CY133" s="62">
        <f ca="1">AVERAGE(OFFSET($CX$3,0,0,'Données projet'!$E$13+1,1))-AVERAGE(OFFSET($H$3,0,0,'Données projet'!$E$13+1,1))</f>
        <v>720.47588458554264</v>
      </c>
      <c r="CZ133" s="62">
        <f t="shared" ref="CZ133:CZ196" si="150">$CZ$3</f>
        <v>638.59686934821627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3.4013434685276067</v>
      </c>
      <c r="DG133" s="23">
        <f>EXP(-LN(2)/25)*DG132+(1-EXP(-LN(2)/25))/(LN(2)/25)*Calculateur!DB133*Calculateur!DD133*VLOOKUP('Données projet'!$B$13,Paramètres!$A$1:$I$89,3,0)*0.475*44/12</f>
        <v>1.6896328207659865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5.090976289293593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751.18</v>
      </c>
      <c r="O134" s="14">
        <f>N134*VLOOKUP('Données projet'!$B$9,Paramètres!$A$1:$I$89,3,0)*VLOOKUP('Données projet'!$B$9,Paramètres!$A$1:$I$89,5,0)</f>
        <v>351.55223999999993</v>
      </c>
      <c r="P134" s="14">
        <f t="shared" si="141"/>
        <v>81.882051211276618</v>
      </c>
      <c r="Q134" s="22">
        <f t="shared" si="108"/>
        <v>754.89805719297328</v>
      </c>
      <c r="R134" s="62">
        <f t="shared" si="109"/>
        <v>1048.2313905263065</v>
      </c>
      <c r="S134" s="62">
        <f ca="1">AVERAGE(OFFSET($R$3,0,0,'Données projet'!$E$9+1,1))-AVERAGE(OFFSET($H$3,0,0,'Données projet'!$E$9+1,1))</f>
        <v>309.95417097673084</v>
      </c>
      <c r="T134" s="62">
        <f t="shared" si="142"/>
        <v>170.83243426024433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2.9391765540607335</v>
      </c>
      <c r="AA134" s="23">
        <f>EXP(-LN(2)/25)*AA133+(1-EXP(-LN(2)/25))/(LN(2)/25)*Calculateur!V134*Calculateur!X134*VLOOKUP('Données projet'!$B$9,Paramètres!$A$1:$I$89,3,0)*0.475*44/12</f>
        <v>10.04871285385572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12.987889407916454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4.4500000000000028</v>
      </c>
      <c r="AI134" s="14">
        <f>IF('Données projet'!$A$62&gt;35,AI133+AH134-AQ133,IF(A134&lt;'Données projet'!$A$62,$AF$205^A134,IF(A134='Données projet'!$A$62,'Données projet'!$B$62,AI133+AH134-AQ133)))</f>
        <v>361.31999999999891</v>
      </c>
      <c r="AJ134" s="14">
        <f>AI134*VLOOKUP('Données projet'!$B$10,Paramètres!$A$1:$I$89,3,0)*VLOOKUP('Données projet'!$B$10,Paramètres!$A$1:$I$89,5,0)</f>
        <v>366.37847999999889</v>
      </c>
      <c r="AK134" s="14">
        <f t="shared" si="143"/>
        <v>84.925981444892585</v>
      </c>
      <c r="AL134" s="22">
        <f t="shared" si="112"/>
        <v>786.02193701651925</v>
      </c>
      <c r="AM134" s="62">
        <f t="shared" si="113"/>
        <v>1079.3552703498526</v>
      </c>
      <c r="AN134" s="62">
        <f ca="1">AVERAGE(OFFSET($AM$3,0,0,'Données projet'!$E$10+1,1))-AVERAGE(OFFSET($H$3,0,0,'Données projet'!$E$10+1,1))</f>
        <v>408.65944152905672</v>
      </c>
      <c r="AO134" s="62">
        <f t="shared" si="144"/>
        <v>248.55239719988651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7.6260514032018172</v>
      </c>
      <c r="AV134" s="23">
        <f>EXP(-LN(2)/25)*AV133+(1-EXP(-LN(2)/25))/(LN(2)/25)*Calculateur!AQ134*Calculateur!AS134*VLOOKUP('Données projet'!$B$10,Paramètres!$A$1:$I$89,3,0)*0.475*44/12</f>
        <v>3.9967931561148875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11.622844559316704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598.14</v>
      </c>
      <c r="BE134" s="14">
        <f>BD134*VLOOKUP('Données projet'!$B$11,Paramètres!$A$1:$I$89,3,0)*VLOOKUP('Données projet'!$B$11,Paramètres!$A$1:$I$89,5,0)</f>
        <v>578.52100799999994</v>
      </c>
      <c r="BF134" s="14">
        <f t="shared" si="145"/>
        <v>127.15611541885089</v>
      </c>
      <c r="BG134" s="22">
        <f t="shared" si="115"/>
        <v>1229.0543232878317</v>
      </c>
      <c r="BH134" s="62">
        <f t="shared" si="116"/>
        <v>1522.387656621165</v>
      </c>
      <c r="BI134" s="62">
        <f ca="1">AVERAGE(OFFSET($BH$3,0,0,'Données projet'!$E$11+1,1))-AVERAGE(OFFSET($H$3,0,0,'Données projet'!$E$11+1,1))</f>
        <v>643.38601112255424</v>
      </c>
      <c r="BJ134" s="62">
        <f t="shared" si="146"/>
        <v>572.76381622085694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2.9963478588248633</v>
      </c>
      <c r="BQ134" s="23">
        <f>EXP(-LN(2)/25)*BQ133+(1-EXP(-LN(2)/25))/(LN(2)/25)*Calculateur!BL134*Calculateur!BN134*VLOOKUP('Données projet'!$B$11,Paramètres!$A$1:$I$89,3,0)*0.475*44/12</f>
        <v>1.4767049679789752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4.4730528268038388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505.23000000000025</v>
      </c>
      <c r="BZ134" s="14">
        <f>BY134*VLOOKUP('Données projet'!$B$12,Paramètres!$A$1:$I$89,3,0)*VLOOKUP('Données projet'!$B$12,Paramètres!$A$1:$I$89,5,0)</f>
        <v>338.90828400000015</v>
      </c>
      <c r="CA134" s="14">
        <f t="shared" si="147"/>
        <v>79.274348782791407</v>
      </c>
      <c r="CB134" s="22">
        <f t="shared" si="118"/>
        <v>728.33475209669507</v>
      </c>
      <c r="CC134" s="62">
        <f t="shared" si="119"/>
        <v>1021.6680854300284</v>
      </c>
      <c r="CD134" s="62">
        <f ca="1">AVERAGE(OFFSET($CC$3,0,0,'Données projet'!$E$12+1,1))-AVERAGE(OFFSET($H$3,0,0,'Données projet'!$E$12+1,1))</f>
        <v>323.41415875740768</v>
      </c>
      <c r="CE134" s="62">
        <f t="shared" si="148"/>
        <v>496.54020068152101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598.14</v>
      </c>
      <c r="CU134" s="18">
        <f>CT134*VLOOKUP('Données projet'!$B$13,Paramètres!$A$1:$I$89,3,0)*VLOOKUP('Données projet'!$B$13,Paramètres!$A$1:$I$89,5,0)</f>
        <v>643.837896</v>
      </c>
      <c r="CV134" s="14">
        <f t="shared" si="149"/>
        <v>139.76132574448636</v>
      </c>
      <c r="CW134" s="22">
        <f t="shared" si="121"/>
        <v>1364.7686445383138</v>
      </c>
      <c r="CX134" s="62">
        <f t="shared" si="122"/>
        <v>1658.101977871647</v>
      </c>
      <c r="CY134" s="62">
        <f ca="1">AVERAGE(OFFSET($CX$3,0,0,'Données projet'!$E$13+1,1))-AVERAGE(OFFSET($H$3,0,0,'Données projet'!$E$13+1,1))</f>
        <v>720.47588458554264</v>
      </c>
      <c r="CZ134" s="62">
        <f t="shared" si="150"/>
        <v>638.59686934821627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3.3346451977244449</v>
      </c>
      <c r="DG134" s="23">
        <f>EXP(-LN(2)/25)*DG133+(1-EXP(-LN(2)/25))/(LN(2)/25)*Calculateur!DB134*Calculateur!DD134*VLOOKUP('Données projet'!$B$13,Paramètres!$A$1:$I$89,3,0)*0.475*44/12</f>
        <v>1.6434297224282124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4.9780749201526575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751.18</v>
      </c>
      <c r="O135" s="14">
        <f>N135*VLOOKUP('Données projet'!$B$9,Paramètres!$A$1:$I$89,3,0)*VLOOKUP('Données projet'!$B$9,Paramètres!$A$1:$I$89,5,0)</f>
        <v>351.55223999999993</v>
      </c>
      <c r="P135" s="14">
        <f t="shared" si="141"/>
        <v>81.882051211276618</v>
      </c>
      <c r="Q135" s="22">
        <f t="shared" si="108"/>
        <v>754.89805719297328</v>
      </c>
      <c r="R135" s="62">
        <f t="shared" si="109"/>
        <v>1048.2313905263065</v>
      </c>
      <c r="S135" s="62">
        <f ca="1">AVERAGE(OFFSET($R$3,0,0,'Données projet'!$E$9+1,1))-AVERAGE(OFFSET($H$3,0,0,'Données projet'!$E$9+1,1))</f>
        <v>309.95417097673084</v>
      </c>
      <c r="T135" s="62">
        <f t="shared" si="142"/>
        <v>170.83243426024433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2.881541094556284</v>
      </c>
      <c r="AA135" s="23">
        <f>EXP(-LN(2)/25)*AA134+(1-EXP(-LN(2)/25))/(LN(2)/25)*Calculateur!V135*Calculateur!X135*VLOOKUP('Données projet'!$B$9,Paramètres!$A$1:$I$89,3,0)*0.475*44/12</f>
        <v>9.7739302724281938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12.655471366984479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4.4500000000000028</v>
      </c>
      <c r="AI135" s="14">
        <f>IF('Données projet'!$A$62&gt;35,AI134+AH135-AQ134,IF(A135&lt;'Données projet'!$A$62,$AF$205^A135,IF(A135='Données projet'!$A$62,'Données projet'!$B$62,AI134+AH135-AQ134)))</f>
        <v>365.7699999999989</v>
      </c>
      <c r="AJ135" s="14">
        <f>AI135*VLOOKUP('Données projet'!$B$10,Paramètres!$A$1:$I$89,3,0)*VLOOKUP('Données projet'!$B$10,Paramètres!$A$1:$I$89,5,0)</f>
        <v>370.89077999999893</v>
      </c>
      <c r="AK135" s="14">
        <f t="shared" si="143"/>
        <v>85.84951844768554</v>
      </c>
      <c r="AL135" s="22">
        <f t="shared" si="112"/>
        <v>795.48935312971707</v>
      </c>
      <c r="AM135" s="62">
        <f t="shared" si="113"/>
        <v>1088.8226864630503</v>
      </c>
      <c r="AN135" s="62">
        <f ca="1">AVERAGE(OFFSET($AM$3,0,0,'Données projet'!$E$10+1,1))-AVERAGE(OFFSET($H$3,0,0,'Données projet'!$E$10+1,1))</f>
        <v>408.65944152905672</v>
      </c>
      <c r="AO135" s="62">
        <f t="shared" si="144"/>
        <v>248.55239719988651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7.4765091866170943</v>
      </c>
      <c r="AV135" s="23">
        <f>EXP(-LN(2)/25)*AV134+(1-EXP(-LN(2)/25))/(LN(2)/25)*Calculateur!AQ135*Calculateur!AS135*VLOOKUP('Données projet'!$B$10,Paramètres!$A$1:$I$89,3,0)*0.475*44/12</f>
        <v>3.8875006370787086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11.364009823695802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598.14</v>
      </c>
      <c r="BE135" s="14">
        <f>BD135*VLOOKUP('Données projet'!$B$11,Paramètres!$A$1:$I$89,3,0)*VLOOKUP('Données projet'!$B$11,Paramètres!$A$1:$I$89,5,0)</f>
        <v>578.52100799999994</v>
      </c>
      <c r="BF135" s="14">
        <f t="shared" si="145"/>
        <v>127.15611541885089</v>
      </c>
      <c r="BG135" s="22">
        <f t="shared" si="115"/>
        <v>1229.0543232878317</v>
      </c>
      <c r="BH135" s="62">
        <f t="shared" si="116"/>
        <v>1522.387656621165</v>
      </c>
      <c r="BI135" s="62">
        <f ca="1">AVERAGE(OFFSET($BH$3,0,0,'Données projet'!$E$11+1,1))-AVERAGE(OFFSET($H$3,0,0,'Données projet'!$E$11+1,1))</f>
        <v>643.38601112255424</v>
      </c>
      <c r="BJ135" s="62">
        <f t="shared" si="146"/>
        <v>572.76381622085694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2.9375913049050419</v>
      </c>
      <c r="BQ135" s="23">
        <f>EXP(-LN(2)/25)*BQ134+(1-EXP(-LN(2)/25))/(LN(2)/25)*Calculateur!BL135*Calculateur!BN135*VLOOKUP('Données projet'!$B$11,Paramètres!$A$1:$I$89,3,0)*0.475*44/12</f>
        <v>1.4363243929730509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4.3739156978780933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505.23000000000025</v>
      </c>
      <c r="BZ135" s="14">
        <f>BY135*VLOOKUP('Données projet'!$B$12,Paramètres!$A$1:$I$89,3,0)*VLOOKUP('Données projet'!$B$12,Paramètres!$A$1:$I$89,5,0)</f>
        <v>338.90828400000015</v>
      </c>
      <c r="CA135" s="14">
        <f t="shared" si="147"/>
        <v>79.274348782791407</v>
      </c>
      <c r="CB135" s="22">
        <f t="shared" si="118"/>
        <v>728.33475209669507</v>
      </c>
      <c r="CC135" s="62">
        <f t="shared" si="119"/>
        <v>1021.6680854300284</v>
      </c>
      <c r="CD135" s="62">
        <f ca="1">AVERAGE(OFFSET($CC$3,0,0,'Données projet'!$E$12+1,1))-AVERAGE(OFFSET($H$3,0,0,'Données projet'!$E$12+1,1))</f>
        <v>323.41415875740768</v>
      </c>
      <c r="CE135" s="62">
        <f t="shared" si="148"/>
        <v>496.54020068152101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598.14</v>
      </c>
      <c r="CU135" s="18">
        <f>CT135*VLOOKUP('Données projet'!$B$13,Paramètres!$A$1:$I$89,3,0)*VLOOKUP('Données projet'!$B$13,Paramètres!$A$1:$I$89,5,0)</f>
        <v>643.837896</v>
      </c>
      <c r="CV135" s="14">
        <f t="shared" si="149"/>
        <v>139.76132574448636</v>
      </c>
      <c r="CW135" s="22">
        <f t="shared" si="121"/>
        <v>1364.7686445383138</v>
      </c>
      <c r="CX135" s="62">
        <f t="shared" si="122"/>
        <v>1658.101977871647</v>
      </c>
      <c r="CY135" s="62">
        <f ca="1">AVERAGE(OFFSET($CX$3,0,0,'Données projet'!$E$13+1,1))-AVERAGE(OFFSET($H$3,0,0,'Données projet'!$E$13+1,1))</f>
        <v>720.47588458554264</v>
      </c>
      <c r="CZ135" s="62">
        <f t="shared" si="150"/>
        <v>638.59686934821627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3.2692548393298049</v>
      </c>
      <c r="DG135" s="23">
        <f>EXP(-LN(2)/25)*DG134+(1-EXP(-LN(2)/25))/(LN(2)/25)*Calculateur!DB135*Calculateur!DD135*VLOOKUP('Données projet'!$B$13,Paramètres!$A$1:$I$89,3,0)*0.475*44/12</f>
        <v>1.5984900502441999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4.8677448895740048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751.18</v>
      </c>
      <c r="O136" s="14">
        <f>N136*VLOOKUP('Données projet'!$B$9,Paramètres!$A$1:$I$89,3,0)*VLOOKUP('Données projet'!$B$9,Paramètres!$A$1:$I$89,5,0)</f>
        <v>351.55223999999993</v>
      </c>
      <c r="P136" s="14">
        <f t="shared" si="141"/>
        <v>81.882051211276618</v>
      </c>
      <c r="Q136" s="22">
        <f t="shared" si="108"/>
        <v>754.89805719297328</v>
      </c>
      <c r="R136" s="62">
        <f t="shared" si="109"/>
        <v>1048.2313905263065</v>
      </c>
      <c r="S136" s="62">
        <f ca="1">AVERAGE(OFFSET($R$3,0,0,'Données projet'!$E$9+1,1))-AVERAGE(OFFSET($H$3,0,0,'Données projet'!$E$9+1,1))</f>
        <v>309.95417097673084</v>
      </c>
      <c r="T136" s="62">
        <f t="shared" si="142"/>
        <v>170.83243426024433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2.8250358312585577</v>
      </c>
      <c r="AA136" s="23">
        <f>EXP(-LN(2)/25)*AA135+(1-EXP(-LN(2)/25))/(LN(2)/25)*Calculateur!V136*Calculateur!X136*VLOOKUP('Données projet'!$B$9,Paramètres!$A$1:$I$89,3,0)*0.475*44/12</f>
        <v>9.5066616351399897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12.331697466398548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>
        <f>VLOOKUP(A136,'Données projet'!$A$61:$I$81,2,0)</f>
        <v>370.22</v>
      </c>
      <c r="AG136" s="13">
        <f>VLOOKUP(A136,'Données projet'!$A$61:$I$81,9,0)</f>
        <v>4.4500000000000028</v>
      </c>
      <c r="AH136" s="13">
        <f t="array" ref="AH136">INDEX(AG:AG,MIN(IF(ISNUMBER(AG136:AG332),ROW(AG136:AG332),"")))</f>
        <v>4.4500000000000028</v>
      </c>
      <c r="AI136" s="14">
        <f>IF('Données projet'!$A$62&gt;35,AI135+AH136-AQ135,IF(A136&lt;'Données projet'!$A$62,$AF$205^A136,IF(A136='Données projet'!$A$62,'Données projet'!$B$62,AI135+AH136-AQ135)))</f>
        <v>370.21999999999889</v>
      </c>
      <c r="AJ136" s="14">
        <f>AI136*VLOOKUP('Données projet'!$B$10,Paramètres!$A$1:$I$89,3,0)*VLOOKUP('Données projet'!$B$10,Paramètres!$A$1:$I$89,5,0)</f>
        <v>375.40307999999891</v>
      </c>
      <c r="AK136" s="14">
        <f t="shared" si="143"/>
        <v>86.771748488162302</v>
      </c>
      <c r="AL136" s="22">
        <f t="shared" si="112"/>
        <v>804.95449295021399</v>
      </c>
      <c r="AM136" s="62">
        <f t="shared" si="113"/>
        <v>1098.2878262835472</v>
      </c>
      <c r="AN136" s="62">
        <f ca="1">AVERAGE(OFFSET($AM$3,0,0,'Données projet'!$E$10+1,1))-AVERAGE(OFFSET($H$3,0,0,'Données projet'!$E$10+1,1))</f>
        <v>408.65944152905672</v>
      </c>
      <c r="AO136" s="62">
        <f t="shared" si="144"/>
        <v>248.55239719988651</v>
      </c>
      <c r="AP136" s="16">
        <f>IF(ISNA(VLOOKUP(A136,'Données projet'!$A$61:$I$81,3,0)),0,VLOOKUP(A136,'Données projet'!$A$61:$I$81,3,0))</f>
        <v>11</v>
      </c>
      <c r="AQ136" s="16">
        <f>IF(ISNA(VLOOKUP(A136,'Données projet'!$A$61:$I$81,4,0)),0,VLOOKUP(A136,'Données projet'!$A$61:$I$81,4,0))</f>
        <v>37.020000000000003</v>
      </c>
      <c r="AR136" s="17">
        <f>IF(ISNA(VLOOKUP(A136,'Données projet'!$A$61:$I$81,5,0)),0%,VLOOKUP(A136,'Données projet'!$A$61:$I$81,5,0)*VLOOKUP('Données projet'!$B$10,Paramètres!$A$1:$I$89,7,0))</f>
        <v>7.7399999999999997E-2</v>
      </c>
      <c r="AS136" s="17">
        <f>IF(ISNA(VLOOKUP(A136,'Données projet'!$A$61:$I$81,6,0)),0%,VLOOKUP(A136,'Données projet'!$A$61:$I$81,6,0)*VLOOKUP('Données projet'!$B$10,Paramètres!$A$1:$I$89,7,0))</f>
        <v>5.5899999999999998E-2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10.541802545516589</v>
      </c>
      <c r="AV136" s="23">
        <f>EXP(-LN(2)/25)*AV135+(1-EXP(-LN(2)/25))/(LN(2)/25)*Calculateur!AQ136*Calculateur!AS136*VLOOKUP('Données projet'!$B$10,Paramètres!$A$1:$I$89,3,0)*0.475*44/12</f>
        <v>6.0917709802322229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16.633573525748812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598.14</v>
      </c>
      <c r="BE136" s="14">
        <f>BD136*VLOOKUP('Données projet'!$B$11,Paramètres!$A$1:$I$89,3,0)*VLOOKUP('Données projet'!$B$11,Paramètres!$A$1:$I$89,5,0)</f>
        <v>578.52100799999994</v>
      </c>
      <c r="BF136" s="14">
        <f t="shared" si="145"/>
        <v>127.15611541885089</v>
      </c>
      <c r="BG136" s="22">
        <f t="shared" si="115"/>
        <v>1229.0543232878317</v>
      </c>
      <c r="BH136" s="62">
        <f t="shared" si="116"/>
        <v>1522.387656621165</v>
      </c>
      <c r="BI136" s="62">
        <f ca="1">AVERAGE(OFFSET($BH$3,0,0,'Données projet'!$E$11+1,1))-AVERAGE(OFFSET($H$3,0,0,'Données projet'!$E$11+1,1))</f>
        <v>643.38601112255424</v>
      </c>
      <c r="BJ136" s="62">
        <f t="shared" si="146"/>
        <v>572.76381622085694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2.8799869311696291</v>
      </c>
      <c r="BQ136" s="23">
        <f>EXP(-LN(2)/25)*BQ135+(1-EXP(-LN(2)/25))/(LN(2)/25)*Calculateur!BL136*Calculateur!BN136*VLOOKUP('Données projet'!$B$11,Paramètres!$A$1:$I$89,3,0)*0.475*44/12</f>
        <v>1.3970480269141858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4.2770349580838154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505.23000000000025</v>
      </c>
      <c r="BZ136" s="14">
        <f>BY136*VLOOKUP('Données projet'!$B$12,Paramètres!$A$1:$I$89,3,0)*VLOOKUP('Données projet'!$B$12,Paramètres!$A$1:$I$89,5,0)</f>
        <v>338.90828400000015</v>
      </c>
      <c r="CA136" s="14">
        <f t="shared" si="147"/>
        <v>79.274348782791407</v>
      </c>
      <c r="CB136" s="22">
        <f t="shared" si="118"/>
        <v>728.33475209669507</v>
      </c>
      <c r="CC136" s="62">
        <f t="shared" si="119"/>
        <v>1021.6680854300284</v>
      </c>
      <c r="CD136" s="62">
        <f ca="1">AVERAGE(OFFSET($CC$3,0,0,'Données projet'!$E$12+1,1))-AVERAGE(OFFSET($H$3,0,0,'Données projet'!$E$12+1,1))</f>
        <v>323.41415875740768</v>
      </c>
      <c r="CE136" s="62">
        <f t="shared" si="148"/>
        <v>496.54020068152101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598.14</v>
      </c>
      <c r="CU136" s="18">
        <f>CT136*VLOOKUP('Données projet'!$B$13,Paramètres!$A$1:$I$89,3,0)*VLOOKUP('Données projet'!$B$13,Paramètres!$A$1:$I$89,5,0)</f>
        <v>643.837896</v>
      </c>
      <c r="CV136" s="14">
        <f t="shared" si="149"/>
        <v>139.76132574448636</v>
      </c>
      <c r="CW136" s="22">
        <f t="shared" si="121"/>
        <v>1364.7686445383138</v>
      </c>
      <c r="CX136" s="62">
        <f t="shared" si="122"/>
        <v>1658.101977871647</v>
      </c>
      <c r="CY136" s="62">
        <f ca="1">AVERAGE(OFFSET($CX$3,0,0,'Données projet'!$E$13+1,1))-AVERAGE(OFFSET($H$3,0,0,'Données projet'!$E$13+1,1))</f>
        <v>720.47588458554264</v>
      </c>
      <c r="CZ136" s="62">
        <f t="shared" si="150"/>
        <v>638.59686934821627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3.2051467459791034</v>
      </c>
      <c r="DG136" s="23">
        <f>EXP(-LN(2)/25)*DG135+(1-EXP(-LN(2)/25))/(LN(2)/25)*Calculateur!DB136*Calculateur!DD136*VLOOKUP('Données projet'!$B$13,Paramètres!$A$1:$I$89,3,0)*0.475*44/12</f>
        <v>1.5547792557593338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4.7599260017384371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751.18</v>
      </c>
      <c r="O137" s="14">
        <f>N137*VLOOKUP('Données projet'!$B$9,Paramètres!$A$1:$I$89,3,0)*VLOOKUP('Données projet'!$B$9,Paramètres!$A$1:$I$89,5,0)</f>
        <v>351.55223999999993</v>
      </c>
      <c r="P137" s="14">
        <f t="shared" si="141"/>
        <v>81.882051211276618</v>
      </c>
      <c r="Q137" s="22">
        <f t="shared" si="108"/>
        <v>754.89805719297328</v>
      </c>
      <c r="R137" s="62">
        <f t="shared" si="109"/>
        <v>1048.2313905263065</v>
      </c>
      <c r="S137" s="62">
        <f ca="1">AVERAGE(OFFSET($R$3,0,0,'Données projet'!$E$9+1,1))-AVERAGE(OFFSET($H$3,0,0,'Données projet'!$E$9+1,1))</f>
        <v>309.95417097673084</v>
      </c>
      <c r="T137" s="62">
        <f t="shared" si="142"/>
        <v>170.83243426024433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2.7696386017092922</v>
      </c>
      <c r="AA137" s="23">
        <f>EXP(-LN(2)/25)*AA136+(1-EXP(-LN(2)/25))/(LN(2)/25)*Calculateur!V137*Calculateur!X137*VLOOKUP('Données projet'!$B$9,Paramètres!$A$1:$I$89,3,0)*0.475*44/12</f>
        <v>9.2467014727934789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12.016340074502772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4.4499999999999984</v>
      </c>
      <c r="AI137" s="14">
        <f>IF('Données projet'!$A$62&gt;35,AI136+AH137-AQ136,IF(A137&lt;'Données projet'!$A$62,$AF$205^A137,IF(A137='Données projet'!$A$62,'Données projet'!$B$62,AI136+AH137-AQ136)))</f>
        <v>337.6499999999989</v>
      </c>
      <c r="AJ137" s="14">
        <f>AI137*VLOOKUP('Données projet'!$B$10,Paramètres!$A$1:$I$89,3,0)*VLOOKUP('Données projet'!$B$10,Paramètres!$A$1:$I$89,5,0)</f>
        <v>342.3770999999989</v>
      </c>
      <c r="AK137" s="14">
        <f t="shared" si="143"/>
        <v>79.990871009981859</v>
      </c>
      <c r="AL137" s="22">
        <f t="shared" si="112"/>
        <v>735.62421617571636</v>
      </c>
      <c r="AM137" s="62">
        <f t="shared" si="113"/>
        <v>1028.9575495090496</v>
      </c>
      <c r="AN137" s="62">
        <f ca="1">AVERAGE(OFFSET($AM$3,0,0,'Données projet'!$E$10+1,1))-AVERAGE(OFFSET($H$3,0,0,'Données projet'!$E$10+1,1))</f>
        <v>408.65944152905672</v>
      </c>
      <c r="AO137" s="62">
        <f t="shared" si="144"/>
        <v>248.55239719988651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10.335084227463666</v>
      </c>
      <c r="AV137" s="23">
        <f>EXP(-LN(2)/25)*AV136+(1-EXP(-LN(2)/25))/(LN(2)/25)*Calculateur!AQ137*Calculateur!AS137*VLOOKUP('Données projet'!$B$10,Paramètres!$A$1:$I$89,3,0)*0.475*44/12</f>
        <v>5.9251911824254595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16.260275409889125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598.14</v>
      </c>
      <c r="BE137" s="14">
        <f>BD137*VLOOKUP('Données projet'!$B$11,Paramètres!$A$1:$I$89,3,0)*VLOOKUP('Données projet'!$B$11,Paramètres!$A$1:$I$89,5,0)</f>
        <v>578.52100799999994</v>
      </c>
      <c r="BF137" s="14">
        <f t="shared" si="145"/>
        <v>127.15611541885089</v>
      </c>
      <c r="BG137" s="22">
        <f t="shared" si="115"/>
        <v>1229.0543232878317</v>
      </c>
      <c r="BH137" s="62">
        <f t="shared" si="116"/>
        <v>1522.387656621165</v>
      </c>
      <c r="BI137" s="62">
        <f ca="1">AVERAGE(OFFSET($BH$3,0,0,'Données projet'!$E$11+1,1))-AVERAGE(OFFSET($H$3,0,0,'Données projet'!$E$11+1,1))</f>
        <v>643.38601112255424</v>
      </c>
      <c r="BJ137" s="62">
        <f t="shared" si="146"/>
        <v>572.76381622085694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2.8235121440679691</v>
      </c>
      <c r="BQ137" s="23">
        <f>EXP(-LN(2)/25)*BQ136+(1-EXP(-LN(2)/25))/(LN(2)/25)*Calculateur!BL137*Calculateur!BN137*VLOOKUP('Données projet'!$B$11,Paramètres!$A$1:$I$89,3,0)*0.475*44/12</f>
        <v>1.3588456751506546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4.1823578192186233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505.23000000000025</v>
      </c>
      <c r="BZ137" s="14">
        <f>BY137*VLOOKUP('Données projet'!$B$12,Paramètres!$A$1:$I$89,3,0)*VLOOKUP('Données projet'!$B$12,Paramètres!$A$1:$I$89,5,0)</f>
        <v>338.90828400000015</v>
      </c>
      <c r="CA137" s="14">
        <f t="shared" si="147"/>
        <v>79.274348782791407</v>
      </c>
      <c r="CB137" s="22">
        <f t="shared" si="118"/>
        <v>728.33475209669507</v>
      </c>
      <c r="CC137" s="62">
        <f t="shared" si="119"/>
        <v>1021.6680854300284</v>
      </c>
      <c r="CD137" s="62">
        <f ca="1">AVERAGE(OFFSET($CC$3,0,0,'Données projet'!$E$12+1,1))-AVERAGE(OFFSET($H$3,0,0,'Données projet'!$E$12+1,1))</f>
        <v>323.41415875740768</v>
      </c>
      <c r="CE137" s="62">
        <f t="shared" si="148"/>
        <v>496.54020068152101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598.14</v>
      </c>
      <c r="CU137" s="18">
        <f>CT137*VLOOKUP('Données projet'!$B$13,Paramètres!$A$1:$I$89,3,0)*VLOOKUP('Données projet'!$B$13,Paramètres!$A$1:$I$89,5,0)</f>
        <v>643.837896</v>
      </c>
      <c r="CV137" s="14">
        <f t="shared" si="149"/>
        <v>139.76132574448636</v>
      </c>
      <c r="CW137" s="22">
        <f t="shared" si="121"/>
        <v>1364.7686445383138</v>
      </c>
      <c r="CX137" s="62">
        <f t="shared" si="122"/>
        <v>1658.101977871647</v>
      </c>
      <c r="CY137" s="62">
        <f ca="1">AVERAGE(OFFSET($CX$3,0,0,'Données projet'!$E$13+1,1))-AVERAGE(OFFSET($H$3,0,0,'Données projet'!$E$13+1,1))</f>
        <v>720.47588458554264</v>
      </c>
      <c r="CZ137" s="62">
        <f t="shared" si="150"/>
        <v>638.59686934821627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3.1422957732369334</v>
      </c>
      <c r="DG137" s="23">
        <f>EXP(-LN(2)/25)*DG136+(1-EXP(-LN(2)/25))/(LN(2)/25)*Calculateur!DB137*Calculateur!DD137*VLOOKUP('Données projet'!$B$13,Paramètres!$A$1:$I$89,3,0)*0.475*44/12</f>
        <v>1.5122637352483073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4.6545595084852405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751.18</v>
      </c>
      <c r="O138" s="14">
        <f>N138*VLOOKUP('Données projet'!$B$9,Paramètres!$A$1:$I$89,3,0)*VLOOKUP('Données projet'!$B$9,Paramètres!$A$1:$I$89,5,0)</f>
        <v>351.55223999999993</v>
      </c>
      <c r="P138" s="14">
        <f t="shared" si="141"/>
        <v>81.882051211276618</v>
      </c>
      <c r="Q138" s="22">
        <f t="shared" si="108"/>
        <v>754.89805719297328</v>
      </c>
      <c r="R138" s="62">
        <f t="shared" si="109"/>
        <v>1048.2313905263065</v>
      </c>
      <c r="S138" s="62">
        <f ca="1">AVERAGE(OFFSET($R$3,0,0,'Données projet'!$E$9+1,1))-AVERAGE(OFFSET($H$3,0,0,'Données projet'!$E$9+1,1))</f>
        <v>309.95417097673084</v>
      </c>
      <c r="T138" s="62">
        <f t="shared" si="142"/>
        <v>170.83243426024433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2.7153276780425144</v>
      </c>
      <c r="AA138" s="23">
        <f>EXP(-LN(2)/25)*AA137+(1-EXP(-LN(2)/25))/(LN(2)/25)*Calculateur!V138*Calculateur!X138*VLOOKUP('Données projet'!$B$9,Paramètres!$A$1:$I$89,3,0)*0.475*44/12</f>
        <v>8.9938499347570442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11.709177612799559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4.4499999999999984</v>
      </c>
      <c r="AI138" s="14">
        <f>IF('Données projet'!$A$62&gt;35,AI137+AH138-AQ137,IF(A138&lt;'Données projet'!$A$62,$AF$205^A138,IF(A138='Données projet'!$A$62,'Données projet'!$B$62,AI137+AH138-AQ137)))</f>
        <v>342.09999999999889</v>
      </c>
      <c r="AJ138" s="14">
        <f>AI138*VLOOKUP('Données projet'!$B$10,Paramètres!$A$1:$I$89,3,0)*VLOOKUP('Données projet'!$B$10,Paramètres!$A$1:$I$89,5,0)</f>
        <v>346.88939999999889</v>
      </c>
      <c r="AK138" s="14">
        <f t="shared" si="143"/>
        <v>80.921673991912101</v>
      </c>
      <c r="AL138" s="22">
        <f t="shared" si="112"/>
        <v>745.10428720257823</v>
      </c>
      <c r="AM138" s="62">
        <f t="shared" si="113"/>
        <v>1038.4376205359115</v>
      </c>
      <c r="AN138" s="62">
        <f ca="1">AVERAGE(OFFSET($AM$3,0,0,'Données projet'!$E$10+1,1))-AVERAGE(OFFSET($H$3,0,0,'Données projet'!$E$10+1,1))</f>
        <v>408.65944152905672</v>
      </c>
      <c r="AO138" s="62">
        <f t="shared" si="144"/>
        <v>248.55239719988651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10.132419529542036</v>
      </c>
      <c r="AV138" s="23">
        <f>EXP(-LN(2)/25)*AV137+(1-EXP(-LN(2)/25))/(LN(2)/25)*Calculateur!AQ138*Calculateur!AS138*VLOOKUP('Données projet'!$B$10,Paramètres!$A$1:$I$89,3,0)*0.475*44/12</f>
        <v>5.7631665179497729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15.895586047491808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598.14</v>
      </c>
      <c r="BE138" s="14">
        <f>BD138*VLOOKUP('Données projet'!$B$11,Paramètres!$A$1:$I$89,3,0)*VLOOKUP('Données projet'!$B$11,Paramètres!$A$1:$I$89,5,0)</f>
        <v>578.52100799999994</v>
      </c>
      <c r="BF138" s="14">
        <f t="shared" si="145"/>
        <v>127.15611541885089</v>
      </c>
      <c r="BG138" s="22">
        <f t="shared" si="115"/>
        <v>1229.0543232878317</v>
      </c>
      <c r="BH138" s="62">
        <f t="shared" si="116"/>
        <v>1522.387656621165</v>
      </c>
      <c r="BI138" s="62">
        <f ca="1">AVERAGE(OFFSET($BH$3,0,0,'Données projet'!$E$11+1,1))-AVERAGE(OFFSET($H$3,0,0,'Données projet'!$E$11+1,1))</f>
        <v>643.38601112255424</v>
      </c>
      <c r="BJ138" s="62">
        <f t="shared" si="146"/>
        <v>572.76381622085694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2.7681447930951539</v>
      </c>
      <c r="BQ138" s="23">
        <f>EXP(-LN(2)/25)*BQ137+(1-EXP(-LN(2)/25))/(LN(2)/25)*Calculateur!BL138*Calculateur!BN138*VLOOKUP('Données projet'!$B$11,Paramètres!$A$1:$I$89,3,0)*0.475*44/12</f>
        <v>1.3216879687050715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4.0898327618002259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505.23000000000025</v>
      </c>
      <c r="BZ138" s="14">
        <f>BY138*VLOOKUP('Données projet'!$B$12,Paramètres!$A$1:$I$89,3,0)*VLOOKUP('Données projet'!$B$12,Paramètres!$A$1:$I$89,5,0)</f>
        <v>338.90828400000015</v>
      </c>
      <c r="CA138" s="14">
        <f t="shared" si="147"/>
        <v>79.274348782791407</v>
      </c>
      <c r="CB138" s="22">
        <f t="shared" si="118"/>
        <v>728.33475209669507</v>
      </c>
      <c r="CC138" s="62">
        <f t="shared" si="119"/>
        <v>1021.6680854300284</v>
      </c>
      <c r="CD138" s="62">
        <f ca="1">AVERAGE(OFFSET($CC$3,0,0,'Données projet'!$E$12+1,1))-AVERAGE(OFFSET($H$3,0,0,'Données projet'!$E$12+1,1))</f>
        <v>323.41415875740768</v>
      </c>
      <c r="CE138" s="62">
        <f t="shared" si="148"/>
        <v>496.54020068152101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598.14</v>
      </c>
      <c r="CU138" s="18">
        <f>CT138*VLOOKUP('Données projet'!$B$13,Paramètres!$A$1:$I$89,3,0)*VLOOKUP('Données projet'!$B$13,Paramètres!$A$1:$I$89,5,0)</f>
        <v>643.837896</v>
      </c>
      <c r="CV138" s="14">
        <f t="shared" si="149"/>
        <v>139.76132574448636</v>
      </c>
      <c r="CW138" s="22">
        <f t="shared" si="121"/>
        <v>1364.7686445383138</v>
      </c>
      <c r="CX138" s="62">
        <f t="shared" si="122"/>
        <v>1658.101977871647</v>
      </c>
      <c r="CY138" s="62">
        <f ca="1">AVERAGE(OFFSET($CX$3,0,0,'Données projet'!$E$13+1,1))-AVERAGE(OFFSET($H$3,0,0,'Données projet'!$E$13+1,1))</f>
        <v>720.47588458554264</v>
      </c>
      <c r="CZ138" s="62">
        <f t="shared" si="150"/>
        <v>638.59686934821627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3.0806772697349292</v>
      </c>
      <c r="DG138" s="23">
        <f>EXP(-LN(2)/25)*DG137+(1-EXP(-LN(2)/25))/(LN(2)/25)*Calculateur!DB138*Calculateur!DD138*VLOOKUP('Données projet'!$B$13,Paramètres!$A$1:$I$89,3,0)*0.475*44/12</f>
        <v>1.4709108038814487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4.5515880736163776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751.18</v>
      </c>
      <c r="O139" s="14">
        <f>N139*VLOOKUP('Données projet'!$B$9,Paramètres!$A$1:$I$89,3,0)*VLOOKUP('Données projet'!$B$9,Paramètres!$A$1:$I$89,5,0)</f>
        <v>351.55223999999993</v>
      </c>
      <c r="P139" s="14">
        <f t="shared" si="141"/>
        <v>81.882051211276618</v>
      </c>
      <c r="Q139" s="22">
        <f t="shared" si="108"/>
        <v>754.89805719297328</v>
      </c>
      <c r="R139" s="62">
        <f t="shared" si="109"/>
        <v>1048.2313905263065</v>
      </c>
      <c r="S139" s="62">
        <f ca="1">AVERAGE(OFFSET($R$3,0,0,'Données projet'!$E$9+1,1))-AVERAGE(OFFSET($H$3,0,0,'Données projet'!$E$9+1,1))</f>
        <v>309.95417097673084</v>
      </c>
      <c r="T139" s="62">
        <f t="shared" si="142"/>
        <v>170.83243426024433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2.6620817584624494</v>
      </c>
      <c r="AA139" s="23">
        <f>EXP(-LN(2)/25)*AA138+(1-EXP(-LN(2)/25))/(LN(2)/25)*Calculateur!V139*Calculateur!X139*VLOOKUP('Données projet'!$B$9,Paramètres!$A$1:$I$89,3,0)*0.475*44/12</f>
        <v>8.7479126353251004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11.409994393787549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4.4499999999999984</v>
      </c>
      <c r="AI139" s="14">
        <f>IF('Données projet'!$A$62&gt;35,AI138+AH139-AQ138,IF(A139&lt;'Données projet'!$A$62,$AF$205^A139,IF(A139='Données projet'!$A$62,'Données projet'!$B$62,AI138+AH139-AQ138)))</f>
        <v>346.54999999999887</v>
      </c>
      <c r="AJ139" s="14">
        <f>AI139*VLOOKUP('Données projet'!$B$10,Paramètres!$A$1:$I$89,3,0)*VLOOKUP('Données projet'!$B$10,Paramètres!$A$1:$I$89,5,0)</f>
        <v>351.40169999999887</v>
      </c>
      <c r="AK139" s="14">
        <f t="shared" si="143"/>
        <v>81.85106865208428</v>
      </c>
      <c r="AL139" s="22">
        <f t="shared" si="112"/>
        <v>754.58190540237808</v>
      </c>
      <c r="AM139" s="62">
        <f t="shared" si="113"/>
        <v>1047.9152387357115</v>
      </c>
      <c r="AN139" s="62">
        <f ca="1">AVERAGE(OFFSET($AM$3,0,0,'Données projet'!$E$10+1,1))-AVERAGE(OFFSET($H$3,0,0,'Données projet'!$E$10+1,1))</f>
        <v>408.65944152905672</v>
      </c>
      <c r="AO139" s="62">
        <f t="shared" si="144"/>
        <v>248.55239719988651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9.9337289627333885</v>
      </c>
      <c r="AV139" s="23">
        <f>EXP(-LN(2)/25)*AV138+(1-EXP(-LN(2)/25))/(LN(2)/25)*Calculateur!AQ139*Calculateur!AS139*VLOOKUP('Données projet'!$B$10,Paramètres!$A$1:$I$89,3,0)*0.475*44/12</f>
        <v>5.6055724264446809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15.539301389178069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598.14</v>
      </c>
      <c r="BE139" s="14">
        <f>BD139*VLOOKUP('Données projet'!$B$11,Paramètres!$A$1:$I$89,3,0)*VLOOKUP('Données projet'!$B$11,Paramètres!$A$1:$I$89,5,0)</f>
        <v>578.52100799999994</v>
      </c>
      <c r="BF139" s="14">
        <f t="shared" si="145"/>
        <v>127.15611541885089</v>
      </c>
      <c r="BG139" s="22">
        <f t="shared" si="115"/>
        <v>1229.0543232878317</v>
      </c>
      <c r="BH139" s="62">
        <f t="shared" si="116"/>
        <v>1522.387656621165</v>
      </c>
      <c r="BI139" s="62">
        <f ca="1">AVERAGE(OFFSET($BH$3,0,0,'Données projet'!$E$11+1,1))-AVERAGE(OFFSET($H$3,0,0,'Données projet'!$E$11+1,1))</f>
        <v>643.38601112255424</v>
      </c>
      <c r="BJ139" s="62">
        <f t="shared" si="146"/>
        <v>572.76381622085694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2.713863162104166</v>
      </c>
      <c r="BQ139" s="23">
        <f>EXP(-LN(2)/25)*BQ138+(1-EXP(-LN(2)/25))/(LN(2)/25)*Calculateur!BL139*Calculateur!BN139*VLOOKUP('Données projet'!$B$11,Paramètres!$A$1:$I$89,3,0)*0.475*44/12</f>
        <v>1.2855463416962818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3.9994095038004476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505.23000000000025</v>
      </c>
      <c r="BZ139" s="14">
        <f>BY139*VLOOKUP('Données projet'!$B$12,Paramètres!$A$1:$I$89,3,0)*VLOOKUP('Données projet'!$B$12,Paramètres!$A$1:$I$89,5,0)</f>
        <v>338.90828400000015</v>
      </c>
      <c r="CA139" s="14">
        <f t="shared" si="147"/>
        <v>79.274348782791407</v>
      </c>
      <c r="CB139" s="22">
        <f t="shared" si="118"/>
        <v>728.33475209669507</v>
      </c>
      <c r="CC139" s="62">
        <f t="shared" si="119"/>
        <v>1021.6680854300284</v>
      </c>
      <c r="CD139" s="62">
        <f ca="1">AVERAGE(OFFSET($CC$3,0,0,'Données projet'!$E$12+1,1))-AVERAGE(OFFSET($H$3,0,0,'Données projet'!$E$12+1,1))</f>
        <v>323.41415875740768</v>
      </c>
      <c r="CE139" s="62">
        <f t="shared" si="148"/>
        <v>496.54020068152101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598.14</v>
      </c>
      <c r="CU139" s="18">
        <f>CT139*VLOOKUP('Données projet'!$B$13,Paramètres!$A$1:$I$89,3,0)*VLOOKUP('Données projet'!$B$13,Paramètres!$A$1:$I$89,5,0)</f>
        <v>643.837896</v>
      </c>
      <c r="CV139" s="14">
        <f t="shared" si="149"/>
        <v>139.76132574448636</v>
      </c>
      <c r="CW139" s="22">
        <f t="shared" si="121"/>
        <v>1364.7686445383138</v>
      </c>
      <c r="CX139" s="62">
        <f t="shared" si="122"/>
        <v>1658.101977871647</v>
      </c>
      <c r="CY139" s="62">
        <f ca="1">AVERAGE(OFFSET($CX$3,0,0,'Données projet'!$E$13+1,1))-AVERAGE(OFFSET($H$3,0,0,'Données projet'!$E$13+1,1))</f>
        <v>720.47588458554264</v>
      </c>
      <c r="CZ139" s="62">
        <f t="shared" si="150"/>
        <v>638.59686934821627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3.0202670675030232</v>
      </c>
      <c r="DG139" s="23">
        <f>EXP(-LN(2)/25)*DG138+(1-EXP(-LN(2)/25))/(LN(2)/25)*Calculateur!DB139*Calculateur!DD139*VLOOKUP('Données projet'!$B$13,Paramètres!$A$1:$I$89,3,0)*0.475*44/12</f>
        <v>1.4306886705974731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4.4509557381004967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751.18</v>
      </c>
      <c r="O140" s="14">
        <f>N140*VLOOKUP('Données projet'!$B$9,Paramètres!$A$1:$I$89,3,0)*VLOOKUP('Données projet'!$B$9,Paramètres!$A$1:$I$89,5,0)</f>
        <v>351.55223999999993</v>
      </c>
      <c r="P140" s="14">
        <f t="shared" si="141"/>
        <v>81.882051211276618</v>
      </c>
      <c r="Q140" s="22">
        <f t="shared" si="108"/>
        <v>754.89805719297328</v>
      </c>
      <c r="R140" s="62">
        <f t="shared" si="109"/>
        <v>1048.2313905263065</v>
      </c>
      <c r="S140" s="62">
        <f ca="1">AVERAGE(OFFSET($R$3,0,0,'Données projet'!$E$9+1,1))-AVERAGE(OFFSET($H$3,0,0,'Données projet'!$E$9+1,1))</f>
        <v>309.95417097673084</v>
      </c>
      <c r="T140" s="62">
        <f t="shared" si="142"/>
        <v>170.83243426024433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2.6098799588885453</v>
      </c>
      <c r="AA140" s="23">
        <f>EXP(-LN(2)/25)*AA139+(1-EXP(-LN(2)/25))/(LN(2)/25)*Calculateur!V140*Calculateur!X140*VLOOKUP('Données projet'!$B$9,Paramètres!$A$1:$I$89,3,0)*0.475*44/12</f>
        <v>8.5087005042794033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11.118580463167948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4.4499999999999984</v>
      </c>
      <c r="AI140" s="14">
        <f>IF('Données projet'!$A$62&gt;35,AI139+AH140-AQ139,IF(A140&lt;'Données projet'!$A$62,$AF$205^A140,IF(A140='Données projet'!$A$62,'Données projet'!$B$62,AI139+AH140-AQ139)))</f>
        <v>350.99999999999886</v>
      </c>
      <c r="AJ140" s="14">
        <f>AI140*VLOOKUP('Données projet'!$B$10,Paramètres!$A$1:$I$89,3,0)*VLOOKUP('Données projet'!$B$10,Paramètres!$A$1:$I$89,5,0)</f>
        <v>355.91399999999885</v>
      </c>
      <c r="AK140" s="14">
        <f t="shared" si="143"/>
        <v>82.779075165580366</v>
      </c>
      <c r="AL140" s="22">
        <f t="shared" si="112"/>
        <v>764.05710591338391</v>
      </c>
      <c r="AM140" s="62">
        <f t="shared" si="113"/>
        <v>1057.3904392467173</v>
      </c>
      <c r="AN140" s="62">
        <f ca="1">AVERAGE(OFFSET($AM$3,0,0,'Données projet'!$E$10+1,1))-AVERAGE(OFFSET($H$3,0,0,'Données projet'!$E$10+1,1))</f>
        <v>408.65944152905672</v>
      </c>
      <c r="AO140" s="62">
        <f t="shared" si="144"/>
        <v>248.55239719988651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9.73893459675058</v>
      </c>
      <c r="AV140" s="23">
        <f>EXP(-LN(2)/25)*AV139+(1-EXP(-LN(2)/25))/(LN(2)/25)*Calculateur!AQ140*Calculateur!AS140*VLOOKUP('Données projet'!$B$10,Paramètres!$A$1:$I$89,3,0)*0.475*44/12</f>
        <v>5.4522877536593093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15.191222350409889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598.14</v>
      </c>
      <c r="BE140" s="14">
        <f>BD140*VLOOKUP('Données projet'!$B$11,Paramètres!$A$1:$I$89,3,0)*VLOOKUP('Données projet'!$B$11,Paramètres!$A$1:$I$89,5,0)</f>
        <v>578.52100799999994</v>
      </c>
      <c r="BF140" s="14">
        <f t="shared" si="145"/>
        <v>127.15611541885089</v>
      </c>
      <c r="BG140" s="22">
        <f t="shared" si="115"/>
        <v>1229.0543232878317</v>
      </c>
      <c r="BH140" s="62">
        <f t="shared" si="116"/>
        <v>1522.387656621165</v>
      </c>
      <c r="BI140" s="62">
        <f ca="1">AVERAGE(OFFSET($BH$3,0,0,'Données projet'!$E$11+1,1))-AVERAGE(OFFSET($H$3,0,0,'Données projet'!$E$11+1,1))</f>
        <v>643.38601112255424</v>
      </c>
      <c r="BJ140" s="62">
        <f t="shared" si="146"/>
        <v>572.76381622085694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2.6606459607883854</v>
      </c>
      <c r="BQ140" s="23">
        <f>EXP(-LN(2)/25)*BQ139+(1-EXP(-LN(2)/25))/(LN(2)/25)*Calculateur!BL140*Calculateur!BN140*VLOOKUP('Données projet'!$B$11,Paramètres!$A$1:$I$89,3,0)*0.475*44/12</f>
        <v>1.2503930093786531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3.9110389701670387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505.23000000000025</v>
      </c>
      <c r="BZ140" s="14">
        <f>BY140*VLOOKUP('Données projet'!$B$12,Paramètres!$A$1:$I$89,3,0)*VLOOKUP('Données projet'!$B$12,Paramètres!$A$1:$I$89,5,0)</f>
        <v>338.90828400000015</v>
      </c>
      <c r="CA140" s="14">
        <f t="shared" si="147"/>
        <v>79.274348782791407</v>
      </c>
      <c r="CB140" s="22">
        <f t="shared" si="118"/>
        <v>728.33475209669507</v>
      </c>
      <c r="CC140" s="62">
        <f t="shared" si="119"/>
        <v>1021.6680854300284</v>
      </c>
      <c r="CD140" s="62">
        <f ca="1">AVERAGE(OFFSET($CC$3,0,0,'Données projet'!$E$12+1,1))-AVERAGE(OFFSET($H$3,0,0,'Données projet'!$E$12+1,1))</f>
        <v>323.41415875740768</v>
      </c>
      <c r="CE140" s="62">
        <f t="shared" si="148"/>
        <v>496.54020068152101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598.14</v>
      </c>
      <c r="CU140" s="18">
        <f>CT140*VLOOKUP('Données projet'!$B$13,Paramètres!$A$1:$I$89,3,0)*VLOOKUP('Données projet'!$B$13,Paramètres!$A$1:$I$89,5,0)</f>
        <v>643.837896</v>
      </c>
      <c r="CV140" s="14">
        <f t="shared" si="149"/>
        <v>139.76132574448636</v>
      </c>
      <c r="CW140" s="22">
        <f t="shared" si="121"/>
        <v>1364.7686445383138</v>
      </c>
      <c r="CX140" s="62">
        <f t="shared" si="122"/>
        <v>1658.101977871647</v>
      </c>
      <c r="CY140" s="62">
        <f ca="1">AVERAGE(OFFSET($CX$3,0,0,'Données projet'!$E$13+1,1))-AVERAGE(OFFSET($H$3,0,0,'Données projet'!$E$13+1,1))</f>
        <v>720.47588458554264</v>
      </c>
      <c r="CZ140" s="62">
        <f t="shared" si="150"/>
        <v>638.59686934821627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2.9610414724903</v>
      </c>
      <c r="DG140" s="23">
        <f>EXP(-LN(2)/25)*DG139+(1-EXP(-LN(2)/25))/(LN(2)/25)*Calculateur!DB140*Calculateur!DD140*VLOOKUP('Données projet'!$B$13,Paramètres!$A$1:$I$89,3,0)*0.475*44/12</f>
        <v>1.3915664136633379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4.3526078861536384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751.18</v>
      </c>
      <c r="O141" s="14">
        <f>N141*VLOOKUP('Données projet'!$B$9,Paramètres!$A$1:$I$89,3,0)*VLOOKUP('Données projet'!$B$9,Paramètres!$A$1:$I$89,5,0)</f>
        <v>351.55223999999993</v>
      </c>
      <c r="P141" s="14">
        <f t="shared" si="141"/>
        <v>81.882051211276618</v>
      </c>
      <c r="Q141" s="22">
        <f t="shared" si="108"/>
        <v>754.89805719297328</v>
      </c>
      <c r="R141" s="62">
        <f t="shared" si="109"/>
        <v>1048.2313905263065</v>
      </c>
      <c r="S141" s="62">
        <f ca="1">AVERAGE(OFFSET($R$3,0,0,'Données projet'!$E$9+1,1))-AVERAGE(OFFSET($H$3,0,0,'Données projet'!$E$9+1,1))</f>
        <v>309.95417097673084</v>
      </c>
      <c r="T141" s="62">
        <f t="shared" si="142"/>
        <v>170.83243426024433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2.5587018047643317</v>
      </c>
      <c r="AA141" s="23">
        <f>EXP(-LN(2)/25)*AA140+(1-EXP(-LN(2)/25))/(LN(2)/25)*Calculateur!V141*Calculateur!X141*VLOOKUP('Données projet'!$B$9,Paramètres!$A$1:$I$89,3,0)*0.475*44/12</f>
        <v>8.2760296415367698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10.834731446301102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4.4499999999999984</v>
      </c>
      <c r="AI141" s="14">
        <f>IF('Données projet'!$A$62&gt;35,AI140+AH141-AQ140,IF(A141&lt;'Données projet'!$A$62,$AF$205^A141,IF(A141='Données projet'!$A$62,'Données projet'!$B$62,AI140+AH141-AQ140)))</f>
        <v>355.44999999999885</v>
      </c>
      <c r="AJ141" s="14">
        <f>AI141*VLOOKUP('Données projet'!$B$10,Paramètres!$A$1:$I$89,3,0)*VLOOKUP('Données projet'!$B$10,Paramètres!$A$1:$I$89,5,0)</f>
        <v>360.42629999999883</v>
      </c>
      <c r="AK141" s="14">
        <f t="shared" si="143"/>
        <v>83.705713166503685</v>
      </c>
      <c r="AL141" s="22">
        <f t="shared" si="112"/>
        <v>773.52992293165846</v>
      </c>
      <c r="AM141" s="62">
        <f t="shared" si="113"/>
        <v>1066.8632562649918</v>
      </c>
      <c r="AN141" s="62">
        <f ca="1">AVERAGE(OFFSET($AM$3,0,0,'Données projet'!$E$10+1,1))-AVERAGE(OFFSET($H$3,0,0,'Données projet'!$E$10+1,1))</f>
        <v>408.65944152905672</v>
      </c>
      <c r="AO141" s="62">
        <f t="shared" si="144"/>
        <v>248.55239719988651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9.547960029471863</v>
      </c>
      <c r="AV141" s="23">
        <f>EXP(-LN(2)/25)*AV140+(1-EXP(-LN(2)/25))/(LN(2)/25)*Calculateur!AQ141*Calculateur!AS141*VLOOKUP('Données projet'!$B$10,Paramètres!$A$1:$I$89,3,0)*0.475*44/12</f>
        <v>5.3031946583121439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14.851154687784007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598.14</v>
      </c>
      <c r="BE141" s="14">
        <f>BD141*VLOOKUP('Données projet'!$B$11,Paramètres!$A$1:$I$89,3,0)*VLOOKUP('Données projet'!$B$11,Paramètres!$A$1:$I$89,5,0)</f>
        <v>578.52100799999994</v>
      </c>
      <c r="BF141" s="14">
        <f t="shared" si="145"/>
        <v>127.15611541885089</v>
      </c>
      <c r="BG141" s="22">
        <f t="shared" si="115"/>
        <v>1229.0543232878317</v>
      </c>
      <c r="BH141" s="62">
        <f t="shared" si="116"/>
        <v>1522.387656621165</v>
      </c>
      <c r="BI141" s="62">
        <f ca="1">AVERAGE(OFFSET($BH$3,0,0,'Données projet'!$E$11+1,1))-AVERAGE(OFFSET($H$3,0,0,'Données projet'!$E$11+1,1))</f>
        <v>643.38601112255424</v>
      </c>
      <c r="BJ141" s="62">
        <f t="shared" si="146"/>
        <v>572.76381622085694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2.6084723163311199</v>
      </c>
      <c r="BQ141" s="23">
        <f>EXP(-LN(2)/25)*BQ140+(1-EXP(-LN(2)/25))/(LN(2)/25)*Calculateur!BL141*Calculateur!BN141*VLOOKUP('Données projet'!$B$11,Paramètres!$A$1:$I$89,3,0)*0.475*44/12</f>
        <v>1.2162009467818833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3.8246732631130032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505.23000000000025</v>
      </c>
      <c r="BZ141" s="14">
        <f>BY141*VLOOKUP('Données projet'!$B$12,Paramètres!$A$1:$I$89,3,0)*VLOOKUP('Données projet'!$B$12,Paramètres!$A$1:$I$89,5,0)</f>
        <v>338.90828400000015</v>
      </c>
      <c r="CA141" s="14">
        <f t="shared" si="147"/>
        <v>79.274348782791407</v>
      </c>
      <c r="CB141" s="22">
        <f t="shared" si="118"/>
        <v>728.33475209669507</v>
      </c>
      <c r="CC141" s="62">
        <f t="shared" si="119"/>
        <v>1021.6680854300284</v>
      </c>
      <c r="CD141" s="62">
        <f ca="1">AVERAGE(OFFSET($CC$3,0,0,'Données projet'!$E$12+1,1))-AVERAGE(OFFSET($H$3,0,0,'Données projet'!$E$12+1,1))</f>
        <v>323.41415875740768</v>
      </c>
      <c r="CE141" s="62">
        <f t="shared" si="148"/>
        <v>496.54020068152101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598.14</v>
      </c>
      <c r="CU141" s="18">
        <f>CT141*VLOOKUP('Données projet'!$B$13,Paramètres!$A$1:$I$89,3,0)*VLOOKUP('Données projet'!$B$13,Paramètres!$A$1:$I$89,5,0)</f>
        <v>643.837896</v>
      </c>
      <c r="CV141" s="14">
        <f t="shared" si="149"/>
        <v>139.76132574448636</v>
      </c>
      <c r="CW141" s="22">
        <f t="shared" si="121"/>
        <v>1364.7686445383138</v>
      </c>
      <c r="CX141" s="62">
        <f t="shared" si="122"/>
        <v>1658.101977871647</v>
      </c>
      <c r="CY141" s="62">
        <f ca="1">AVERAGE(OFFSET($CX$3,0,0,'Données projet'!$E$13+1,1))-AVERAGE(OFFSET($H$3,0,0,'Données projet'!$E$13+1,1))</f>
        <v>720.47588458554264</v>
      </c>
      <c r="CZ141" s="62">
        <f t="shared" si="150"/>
        <v>638.59686934821627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2.9029772552717303</v>
      </c>
      <c r="DG141" s="23">
        <f>EXP(-LN(2)/25)*DG140+(1-EXP(-LN(2)/25))/(LN(2)/25)*Calculateur!DB141*Calculateur!DD141*VLOOKUP('Données projet'!$B$13,Paramètres!$A$1:$I$89,3,0)*0.475*44/12</f>
        <v>1.3535139569024166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4.2564912121741472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751.18</v>
      </c>
      <c r="O142" s="14">
        <f>N142*VLOOKUP('Données projet'!$B$9,Paramètres!$A$1:$I$89,3,0)*VLOOKUP('Données projet'!$B$9,Paramètres!$A$1:$I$89,5,0)</f>
        <v>351.55223999999993</v>
      </c>
      <c r="P142" s="14">
        <f t="shared" si="141"/>
        <v>81.882051211276618</v>
      </c>
      <c r="Q142" s="22">
        <f t="shared" si="108"/>
        <v>754.89805719297328</v>
      </c>
      <c r="R142" s="62">
        <f t="shared" si="109"/>
        <v>1048.2313905263065</v>
      </c>
      <c r="S142" s="62">
        <f ca="1">AVERAGE(OFFSET($R$3,0,0,'Données projet'!$E$9+1,1))-AVERAGE(OFFSET($H$3,0,0,'Données projet'!$E$9+1,1))</f>
        <v>309.95417097673084</v>
      </c>
      <c r="T142" s="62">
        <f t="shared" si="142"/>
        <v>170.83243426024433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2.5085272230269022</v>
      </c>
      <c r="AA142" s="23">
        <f>EXP(-LN(2)/25)*AA141+(1-EXP(-LN(2)/25))/(LN(2)/25)*Calculateur!V142*Calculateur!X142*VLOOKUP('Données projet'!$B$9,Paramètres!$A$1:$I$89,3,0)*0.475*44/12</f>
        <v>8.0497211757714631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10.558248398798366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4.4499999999999984</v>
      </c>
      <c r="AI142" s="14">
        <f>IF('Données projet'!$A$62&gt;35,AI141+AH142-AQ141,IF(A142&lt;'Données projet'!$A$62,$AF$205^A142,IF(A142='Données projet'!$A$62,'Données projet'!$B$62,AI141+AH142-AQ141)))</f>
        <v>359.89999999999884</v>
      </c>
      <c r="AJ142" s="14">
        <f>AI142*VLOOKUP('Données projet'!$B$10,Paramètres!$A$1:$I$89,3,0)*VLOOKUP('Données projet'!$B$10,Paramètres!$A$1:$I$89,5,0)</f>
        <v>364.93859999999887</v>
      </c>
      <c r="AK142" s="14">
        <f t="shared" si="143"/>
        <v>84.631001769072142</v>
      </c>
      <c r="AL142" s="22">
        <f t="shared" si="112"/>
        <v>783.00038974779864</v>
      </c>
      <c r="AM142" s="62">
        <f t="shared" si="113"/>
        <v>1076.3337230811319</v>
      </c>
      <c r="AN142" s="62">
        <f ca="1">AVERAGE(OFFSET($AM$3,0,0,'Données projet'!$E$10+1,1))-AVERAGE(OFFSET($H$3,0,0,'Données projet'!$E$10+1,1))</f>
        <v>408.65944152905672</v>
      </c>
      <c r="AO142" s="62">
        <f t="shared" si="144"/>
        <v>248.55239719988651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9.3607303569744964</v>
      </c>
      <c r="AV142" s="23">
        <f>EXP(-LN(2)/25)*AV141+(1-EXP(-LN(2)/25))/(LN(2)/25)*Calculateur!AQ142*Calculateur!AS142*VLOOKUP('Données projet'!$B$10,Paramètres!$A$1:$I$89,3,0)*0.475*44/12</f>
        <v>5.1581785214977121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14.518908878472208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598.14</v>
      </c>
      <c r="BE142" s="14">
        <f>BD142*VLOOKUP('Données projet'!$B$11,Paramètres!$A$1:$I$89,3,0)*VLOOKUP('Données projet'!$B$11,Paramètres!$A$1:$I$89,5,0)</f>
        <v>578.52100799999994</v>
      </c>
      <c r="BF142" s="14">
        <f t="shared" si="145"/>
        <v>127.15611541885089</v>
      </c>
      <c r="BG142" s="22">
        <f t="shared" si="115"/>
        <v>1229.0543232878317</v>
      </c>
      <c r="BH142" s="62">
        <f t="shared" si="116"/>
        <v>1522.387656621165</v>
      </c>
      <c r="BI142" s="62">
        <f ca="1">AVERAGE(OFFSET($BH$3,0,0,'Données projet'!$E$11+1,1))-AVERAGE(OFFSET($H$3,0,0,'Données projet'!$E$11+1,1))</f>
        <v>643.38601112255424</v>
      </c>
      <c r="BJ142" s="62">
        <f t="shared" si="146"/>
        <v>572.76381622085694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2.5573217652188802</v>
      </c>
      <c r="BQ142" s="23">
        <f>EXP(-LN(2)/25)*BQ141+(1-EXP(-LN(2)/25))/(LN(2)/25)*Calculateur!BL142*Calculateur!BN142*VLOOKUP('Données projet'!$B$11,Paramètres!$A$1:$I$89,3,0)*0.475*44/12</f>
        <v>1.1829438679349045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3.7402656331537845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505.23000000000025</v>
      </c>
      <c r="BZ142" s="14">
        <f>BY142*VLOOKUP('Données projet'!$B$12,Paramètres!$A$1:$I$89,3,0)*VLOOKUP('Données projet'!$B$12,Paramètres!$A$1:$I$89,5,0)</f>
        <v>338.90828400000015</v>
      </c>
      <c r="CA142" s="14">
        <f t="shared" si="147"/>
        <v>79.274348782791407</v>
      </c>
      <c r="CB142" s="22">
        <f t="shared" si="118"/>
        <v>728.33475209669507</v>
      </c>
      <c r="CC142" s="62">
        <f t="shared" si="119"/>
        <v>1021.6680854300284</v>
      </c>
      <c r="CD142" s="62">
        <f ca="1">AVERAGE(OFFSET($CC$3,0,0,'Données projet'!$E$12+1,1))-AVERAGE(OFFSET($H$3,0,0,'Données projet'!$E$12+1,1))</f>
        <v>323.41415875740768</v>
      </c>
      <c r="CE142" s="62">
        <f t="shared" si="148"/>
        <v>496.54020068152101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598.14</v>
      </c>
      <c r="CU142" s="18">
        <f>CT142*VLOOKUP('Données projet'!$B$13,Paramètres!$A$1:$I$89,3,0)*VLOOKUP('Données projet'!$B$13,Paramètres!$A$1:$I$89,5,0)</f>
        <v>643.837896</v>
      </c>
      <c r="CV142" s="14">
        <f t="shared" si="149"/>
        <v>139.76132574448636</v>
      </c>
      <c r="CW142" s="22">
        <f t="shared" si="121"/>
        <v>1364.7686445383138</v>
      </c>
      <c r="CX142" s="62">
        <f t="shared" si="122"/>
        <v>1658.101977871647</v>
      </c>
      <c r="CY142" s="62">
        <f ca="1">AVERAGE(OFFSET($CX$3,0,0,'Données projet'!$E$13+1,1))-AVERAGE(OFFSET($H$3,0,0,'Données projet'!$E$13+1,1))</f>
        <v>720.47588458554264</v>
      </c>
      <c r="CZ142" s="62">
        <f t="shared" si="150"/>
        <v>638.59686934821627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2.8460516419371413</v>
      </c>
      <c r="DG142" s="23">
        <f>EXP(-LN(2)/25)*DG141+(1-EXP(-LN(2)/25))/(LN(2)/25)*Calculateur!DB142*Calculateur!DD142*VLOOKUP('Données projet'!$B$13,Paramètres!$A$1:$I$89,3,0)*0.475*44/12</f>
        <v>1.3165020465727146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4.1625536885098562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751.18</v>
      </c>
      <c r="O143" s="14">
        <f>N143*VLOOKUP('Données projet'!$B$9,Paramètres!$A$1:$I$89,3,0)*VLOOKUP('Données projet'!$B$9,Paramètres!$A$1:$I$89,5,0)</f>
        <v>351.55223999999993</v>
      </c>
      <c r="P143" s="14">
        <f t="shared" si="141"/>
        <v>81.882051211276618</v>
      </c>
      <c r="Q143" s="22">
        <f t="shared" si="108"/>
        <v>754.89805719297328</v>
      </c>
      <c r="R143" s="62">
        <f t="shared" si="109"/>
        <v>1048.2313905263065</v>
      </c>
      <c r="S143" s="62">
        <f ca="1">AVERAGE(OFFSET($R$3,0,0,'Données projet'!$E$9+1,1))-AVERAGE(OFFSET($H$3,0,0,'Données projet'!$E$9+1,1))</f>
        <v>309.95417097673084</v>
      </c>
      <c r="T143" s="62">
        <f t="shared" si="142"/>
        <v>170.83243426024433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2.4593365342338709</v>
      </c>
      <c r="AA143" s="23">
        <f>EXP(-LN(2)/25)*AA142+(1-EXP(-LN(2)/25))/(LN(2)/25)*Calculateur!V143*Calculateur!X143*VLOOKUP('Données projet'!$B$9,Paramètres!$A$1:$I$89,3,0)*0.475*44/12</f>
        <v>7.8296011269035537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10.288937661137425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4.4499999999999984</v>
      </c>
      <c r="AI143" s="14">
        <f>IF('Données projet'!$A$62&gt;35,AI142+AH143-AQ142,IF(A143&lt;'Données projet'!$A$62,$AF$205^A143,IF(A143='Données projet'!$A$62,'Données projet'!$B$62,AI142+AH143-AQ142)))</f>
        <v>364.34999999999883</v>
      </c>
      <c r="AJ143" s="14">
        <f>AI143*VLOOKUP('Données projet'!$B$10,Paramètres!$A$1:$I$89,3,0)*VLOOKUP('Données projet'!$B$10,Paramètres!$A$1:$I$89,5,0)</f>
        <v>369.45089999999885</v>
      </c>
      <c r="AK143" s="14">
        <f t="shared" si="143"/>
        <v>85.554959587638066</v>
      </c>
      <c r="AL143" s="22">
        <f t="shared" si="112"/>
        <v>792.46853878180093</v>
      </c>
      <c r="AM143" s="62">
        <f t="shared" si="113"/>
        <v>1085.8018721151343</v>
      </c>
      <c r="AN143" s="62">
        <f ca="1">AVERAGE(OFFSET($AM$3,0,0,'Données projet'!$E$10+1,1))-AVERAGE(OFFSET($H$3,0,0,'Données projet'!$E$10+1,1))</f>
        <v>408.65944152905672</v>
      </c>
      <c r="AO143" s="62">
        <f t="shared" si="144"/>
        <v>248.55239719988651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9.1771721441559801</v>
      </c>
      <c r="AV143" s="23">
        <f>EXP(-LN(2)/25)*AV142+(1-EXP(-LN(2)/25))/(LN(2)/25)*Calculateur!AQ143*Calculateur!AS143*VLOOKUP('Données projet'!$B$10,Paramètres!$A$1:$I$89,3,0)*0.475*44/12</f>
        <v>5.0171278585705377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14.194300002726518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598.14</v>
      </c>
      <c r="BE143" s="14">
        <f>BD143*VLOOKUP('Données projet'!$B$11,Paramètres!$A$1:$I$89,3,0)*VLOOKUP('Données projet'!$B$11,Paramètres!$A$1:$I$89,5,0)</f>
        <v>578.52100799999994</v>
      </c>
      <c r="BF143" s="14">
        <f t="shared" si="145"/>
        <v>127.15611541885089</v>
      </c>
      <c r="BG143" s="22">
        <f t="shared" si="115"/>
        <v>1229.0543232878317</v>
      </c>
      <c r="BH143" s="62">
        <f t="shared" si="116"/>
        <v>1522.387656621165</v>
      </c>
      <c r="BI143" s="62">
        <f ca="1">AVERAGE(OFFSET($BH$3,0,0,'Données projet'!$E$11+1,1))-AVERAGE(OFFSET($H$3,0,0,'Données projet'!$E$11+1,1))</f>
        <v>643.38601112255424</v>
      </c>
      <c r="BJ143" s="62">
        <f t="shared" si="146"/>
        <v>572.76381622085694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2.5071742452151962</v>
      </c>
      <c r="BQ143" s="23">
        <f>EXP(-LN(2)/25)*BQ142+(1-EXP(-LN(2)/25))/(LN(2)/25)*Calculateur!BL143*Calculateur!BN143*VLOOKUP('Données projet'!$B$11,Paramètres!$A$1:$I$89,3,0)*0.475*44/12</f>
        <v>1.1505962056579102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3.6577704508731061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505.23000000000025</v>
      </c>
      <c r="BZ143" s="14">
        <f>BY143*VLOOKUP('Données projet'!$B$12,Paramètres!$A$1:$I$89,3,0)*VLOOKUP('Données projet'!$B$12,Paramètres!$A$1:$I$89,5,0)</f>
        <v>338.90828400000015</v>
      </c>
      <c r="CA143" s="14">
        <f t="shared" si="147"/>
        <v>79.274348782791407</v>
      </c>
      <c r="CB143" s="22">
        <f t="shared" si="118"/>
        <v>728.33475209669507</v>
      </c>
      <c r="CC143" s="62">
        <f t="shared" si="119"/>
        <v>1021.6680854300284</v>
      </c>
      <c r="CD143" s="62">
        <f ca="1">AVERAGE(OFFSET($CC$3,0,0,'Données projet'!$E$12+1,1))-AVERAGE(OFFSET($H$3,0,0,'Données projet'!$E$12+1,1))</f>
        <v>323.41415875740768</v>
      </c>
      <c r="CE143" s="62">
        <f t="shared" si="148"/>
        <v>496.54020068152101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598.14</v>
      </c>
      <c r="CU143" s="18">
        <f>CT143*VLOOKUP('Données projet'!$B$13,Paramètres!$A$1:$I$89,3,0)*VLOOKUP('Données projet'!$B$13,Paramètres!$A$1:$I$89,5,0)</f>
        <v>643.837896</v>
      </c>
      <c r="CV143" s="14">
        <f t="shared" si="149"/>
        <v>139.76132574448636</v>
      </c>
      <c r="CW143" s="22">
        <f t="shared" si="121"/>
        <v>1364.7686445383138</v>
      </c>
      <c r="CX143" s="62">
        <f t="shared" si="122"/>
        <v>1658.101977871647</v>
      </c>
      <c r="CY143" s="62">
        <f ca="1">AVERAGE(OFFSET($CX$3,0,0,'Données projet'!$E$13+1,1))-AVERAGE(OFFSET($H$3,0,0,'Données projet'!$E$13+1,1))</f>
        <v>720.47588458554264</v>
      </c>
      <c r="CZ143" s="62">
        <f t="shared" si="150"/>
        <v>638.59686934821627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2.7902423051588476</v>
      </c>
      <c r="DG143" s="23">
        <f>EXP(-LN(2)/25)*DG142+(1-EXP(-LN(2)/25))/(LN(2)/25)*Calculateur!DB143*Calculateur!DD143*VLOOKUP('Données projet'!$B$13,Paramètres!$A$1:$I$89,3,0)*0.475*44/12</f>
        <v>1.28050222887735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4.0707445340361978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751.18</v>
      </c>
      <c r="O144" s="14">
        <f>N144*VLOOKUP('Données projet'!$B$9,Paramètres!$A$1:$I$89,3,0)*VLOOKUP('Données projet'!$B$9,Paramètres!$A$1:$I$89,5,0)</f>
        <v>351.55223999999993</v>
      </c>
      <c r="P144" s="14">
        <f t="shared" si="141"/>
        <v>81.882051211276618</v>
      </c>
      <c r="Q144" s="22">
        <f t="shared" si="108"/>
        <v>754.89805719297328</v>
      </c>
      <c r="R144" s="62">
        <f t="shared" si="109"/>
        <v>1048.2313905263065</v>
      </c>
      <c r="S144" s="62">
        <f ca="1">AVERAGE(OFFSET($R$3,0,0,'Données projet'!$E$9+1,1))-AVERAGE(OFFSET($H$3,0,0,'Données projet'!$E$9+1,1))</f>
        <v>309.95417097673084</v>
      </c>
      <c r="T144" s="62">
        <f t="shared" si="142"/>
        <v>170.83243426024433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2.4111104448447134</v>
      </c>
      <c r="AA144" s="23">
        <f>EXP(-LN(2)/25)*AA143+(1-EXP(-LN(2)/25))/(LN(2)/25)*Calculateur!V144*Calculateur!X144*VLOOKUP('Données projet'!$B$9,Paramètres!$A$1:$I$89,3,0)*0.475*44/12</f>
        <v>7.6155002723475471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10.026610717192261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4.4499999999999984</v>
      </c>
      <c r="AI144" s="14">
        <f>IF('Données projet'!$A$62&gt;35,AI143+AH144-AQ143,IF(A144&lt;'Données projet'!$A$62,$AF$205^A144,IF(A144='Données projet'!$A$62,'Données projet'!$B$62,AI143+AH144-AQ143)))</f>
        <v>368.79999999999882</v>
      </c>
      <c r="AJ144" s="14">
        <f>AI144*VLOOKUP('Données projet'!$B$10,Paramètres!$A$1:$I$89,3,0)*VLOOKUP('Données projet'!$B$10,Paramètres!$A$1:$I$89,5,0)</f>
        <v>373.96319999999884</v>
      </c>
      <c r="AK144" s="14">
        <f t="shared" si="143"/>
        <v>86.477604755703467</v>
      </c>
      <c r="AL144" s="22">
        <f t="shared" si="112"/>
        <v>801.93440161618139</v>
      </c>
      <c r="AM144" s="62">
        <f t="shared" si="113"/>
        <v>1095.2677349495148</v>
      </c>
      <c r="AN144" s="62">
        <f ca="1">AVERAGE(OFFSET($AM$3,0,0,'Données projet'!$E$10+1,1))-AVERAGE(OFFSET($H$3,0,0,'Données projet'!$E$10+1,1))</f>
        <v>408.65944152905672</v>
      </c>
      <c r="AO144" s="62">
        <f t="shared" si="144"/>
        <v>248.55239719988651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8.9972133959313805</v>
      </c>
      <c r="AV144" s="23">
        <f>EXP(-LN(2)/25)*AV143+(1-EXP(-LN(2)/25))/(LN(2)/25)*Calculateur!AQ144*Calculateur!AS144*VLOOKUP('Données projet'!$B$10,Paramètres!$A$1:$I$89,3,0)*0.475*44/12</f>
        <v>4.8799342334386386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13.877147629370018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598.14</v>
      </c>
      <c r="BE144" s="14">
        <f>BD144*VLOOKUP('Données projet'!$B$11,Paramètres!$A$1:$I$89,3,0)*VLOOKUP('Données projet'!$B$11,Paramètres!$A$1:$I$89,5,0)</f>
        <v>578.52100799999994</v>
      </c>
      <c r="BF144" s="14">
        <f t="shared" si="145"/>
        <v>127.15611541885089</v>
      </c>
      <c r="BG144" s="22">
        <f t="shared" si="115"/>
        <v>1229.0543232878317</v>
      </c>
      <c r="BH144" s="62">
        <f t="shared" si="116"/>
        <v>1522.387656621165</v>
      </c>
      <c r="BI144" s="62">
        <f ca="1">AVERAGE(OFFSET($BH$3,0,0,'Données projet'!$E$11+1,1))-AVERAGE(OFFSET($H$3,0,0,'Données projet'!$E$11+1,1))</f>
        <v>643.38601112255424</v>
      </c>
      <c r="BJ144" s="62">
        <f t="shared" si="146"/>
        <v>572.76381622085694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2.4580100874918172</v>
      </c>
      <c r="BQ144" s="23">
        <f>EXP(-LN(2)/25)*BQ143+(1-EXP(-LN(2)/25))/(LN(2)/25)*Calculateur!BL144*Calculateur!BN144*VLOOKUP('Données projet'!$B$11,Paramètres!$A$1:$I$89,3,0)*0.475*44/12</f>
        <v>1.11913309190697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3.5771431793987869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505.23000000000025</v>
      </c>
      <c r="BZ144" s="14">
        <f>BY144*VLOOKUP('Données projet'!$B$12,Paramètres!$A$1:$I$89,3,0)*VLOOKUP('Données projet'!$B$12,Paramètres!$A$1:$I$89,5,0)</f>
        <v>338.90828400000015</v>
      </c>
      <c r="CA144" s="14">
        <f t="shared" si="147"/>
        <v>79.274348782791407</v>
      </c>
      <c r="CB144" s="22">
        <f t="shared" si="118"/>
        <v>728.33475209669507</v>
      </c>
      <c r="CC144" s="62">
        <f t="shared" si="119"/>
        <v>1021.6680854300284</v>
      </c>
      <c r="CD144" s="62">
        <f ca="1">AVERAGE(OFFSET($CC$3,0,0,'Données projet'!$E$12+1,1))-AVERAGE(OFFSET($H$3,0,0,'Données projet'!$E$12+1,1))</f>
        <v>323.41415875740768</v>
      </c>
      <c r="CE144" s="62">
        <f t="shared" si="148"/>
        <v>496.54020068152101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598.14</v>
      </c>
      <c r="CU144" s="18">
        <f>CT144*VLOOKUP('Données projet'!$B$13,Paramètres!$A$1:$I$89,3,0)*VLOOKUP('Données projet'!$B$13,Paramètres!$A$1:$I$89,5,0)</f>
        <v>643.837896</v>
      </c>
      <c r="CV144" s="14">
        <f t="shared" si="149"/>
        <v>139.76132574448636</v>
      </c>
      <c r="CW144" s="22">
        <f t="shared" si="121"/>
        <v>1364.7686445383138</v>
      </c>
      <c r="CX144" s="62">
        <f t="shared" si="122"/>
        <v>1658.101977871647</v>
      </c>
      <c r="CY144" s="62">
        <f ca="1">AVERAGE(OFFSET($CX$3,0,0,'Données projet'!$E$13+1,1))-AVERAGE(OFFSET($H$3,0,0,'Données projet'!$E$13+1,1))</f>
        <v>720.47588458554264</v>
      </c>
      <c r="CZ144" s="62">
        <f t="shared" si="150"/>
        <v>638.59686934821627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2.7355273554344421</v>
      </c>
      <c r="DG144" s="23">
        <f>EXP(-LN(2)/25)*DG143+(1-EXP(-LN(2)/25))/(LN(2)/25)*Calculateur!DB144*Calculateur!DD144*VLOOKUP('Données projet'!$B$13,Paramètres!$A$1:$I$89,3,0)*0.475*44/12</f>
        <v>1.2454868280900133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3.9810141835244552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751.18</v>
      </c>
      <c r="O145" s="14">
        <f>N145*VLOOKUP('Données projet'!$B$9,Paramètres!$A$1:$I$89,3,0)*VLOOKUP('Données projet'!$B$9,Paramètres!$A$1:$I$89,5,0)</f>
        <v>351.55223999999993</v>
      </c>
      <c r="P145" s="14">
        <f t="shared" si="141"/>
        <v>81.882051211276618</v>
      </c>
      <c r="Q145" s="22">
        <f t="shared" si="108"/>
        <v>754.89805719297328</v>
      </c>
      <c r="R145" s="62">
        <f t="shared" si="109"/>
        <v>1048.2313905263065</v>
      </c>
      <c r="S145" s="62">
        <f ca="1">AVERAGE(OFFSET($R$3,0,0,'Données projet'!$E$9+1,1))-AVERAGE(OFFSET($H$3,0,0,'Données projet'!$E$9+1,1))</f>
        <v>309.95417097673084</v>
      </c>
      <c r="T145" s="62">
        <f t="shared" si="142"/>
        <v>170.83243426024433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2.3638300396534668</v>
      </c>
      <c r="AA145" s="23">
        <f>EXP(-LN(2)/25)*AA144+(1-EXP(-LN(2)/25))/(LN(2)/25)*Calculateur!V145*Calculateur!X145*VLOOKUP('Données projet'!$B$9,Paramètres!$A$1:$I$89,3,0)*0.475*44/12</f>
        <v>7.4072540169184498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9.771084056571917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4.4499999999999984</v>
      </c>
      <c r="AI145" s="14">
        <f>IF('Données projet'!$A$62&gt;35,AI144+AH145-AQ144,IF(A145&lt;'Données projet'!$A$62,$AF$205^A145,IF(A145='Données projet'!$A$62,'Données projet'!$B$62,AI144+AH145-AQ144)))</f>
        <v>373.24999999999881</v>
      </c>
      <c r="AJ145" s="14">
        <f>AI145*VLOOKUP('Données projet'!$B$10,Paramètres!$A$1:$I$89,3,0)*VLOOKUP('Données projet'!$B$10,Paramètres!$A$1:$I$89,5,0)</f>
        <v>378.47549999999882</v>
      </c>
      <c r="AK145" s="14">
        <f t="shared" si="143"/>
        <v>87.398954943989594</v>
      </c>
      <c r="AL145" s="22">
        <f t="shared" si="112"/>
        <v>811.39800902744639</v>
      </c>
      <c r="AM145" s="62">
        <f t="shared" si="113"/>
        <v>1104.7313423607798</v>
      </c>
      <c r="AN145" s="62">
        <f ca="1">AVERAGE(OFFSET($AM$3,0,0,'Données projet'!$E$10+1,1))-AVERAGE(OFFSET($H$3,0,0,'Données projet'!$E$10+1,1))</f>
        <v>408.65944152905672</v>
      </c>
      <c r="AO145" s="62">
        <f t="shared" si="144"/>
        <v>248.55239719988651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8.8207835289954666</v>
      </c>
      <c r="AV145" s="23">
        <f>EXP(-LN(2)/25)*AV144+(1-EXP(-LN(2)/25))/(LN(2)/25)*Calculateur!AQ145*Calculateur!AS145*VLOOKUP('Données projet'!$B$10,Paramètres!$A$1:$I$89,3,0)*0.475*44/12</f>
        <v>4.7464921752006708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13.567275704196138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598.14</v>
      </c>
      <c r="BE145" s="14">
        <f>BD145*VLOOKUP('Données projet'!$B$11,Paramètres!$A$1:$I$89,3,0)*VLOOKUP('Données projet'!$B$11,Paramètres!$A$1:$I$89,5,0)</f>
        <v>578.52100799999994</v>
      </c>
      <c r="BF145" s="14">
        <f t="shared" si="145"/>
        <v>127.15611541885089</v>
      </c>
      <c r="BG145" s="22">
        <f t="shared" si="115"/>
        <v>1229.0543232878317</v>
      </c>
      <c r="BH145" s="62">
        <f t="shared" si="116"/>
        <v>1522.387656621165</v>
      </c>
      <c r="BI145" s="62">
        <f ca="1">AVERAGE(OFFSET($BH$3,0,0,'Données projet'!$E$11+1,1))-AVERAGE(OFFSET($H$3,0,0,'Données projet'!$E$11+1,1))</f>
        <v>643.38601112255424</v>
      </c>
      <c r="BJ145" s="62">
        <f t="shared" si="146"/>
        <v>572.76381622085694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2.4098100089142185</v>
      </c>
      <c r="BQ145" s="23">
        <f>EXP(-LN(2)/25)*BQ144+(1-EXP(-LN(2)/25))/(LN(2)/25)*Calculateur!BL145*Calculateur!BN145*VLOOKUP('Données projet'!$B$11,Paramètres!$A$1:$I$89,3,0)*0.475*44/12</f>
        <v>1.0885303386561225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3.4983403475703412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505.23000000000025</v>
      </c>
      <c r="BZ145" s="14">
        <f>BY145*VLOOKUP('Données projet'!$B$12,Paramètres!$A$1:$I$89,3,0)*VLOOKUP('Données projet'!$B$12,Paramètres!$A$1:$I$89,5,0)</f>
        <v>338.90828400000015</v>
      </c>
      <c r="CA145" s="14">
        <f t="shared" si="147"/>
        <v>79.274348782791407</v>
      </c>
      <c r="CB145" s="22">
        <f t="shared" si="118"/>
        <v>728.33475209669507</v>
      </c>
      <c r="CC145" s="62">
        <f t="shared" si="119"/>
        <v>1021.6680854300284</v>
      </c>
      <c r="CD145" s="62">
        <f ca="1">AVERAGE(OFFSET($CC$3,0,0,'Données projet'!$E$12+1,1))-AVERAGE(OFFSET($H$3,0,0,'Données projet'!$E$12+1,1))</f>
        <v>323.41415875740768</v>
      </c>
      <c r="CE145" s="62">
        <f t="shared" si="148"/>
        <v>496.54020068152101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598.14</v>
      </c>
      <c r="CU145" s="18">
        <f>CT145*VLOOKUP('Données projet'!$B$13,Paramètres!$A$1:$I$89,3,0)*VLOOKUP('Données projet'!$B$13,Paramètres!$A$1:$I$89,5,0)</f>
        <v>643.837896</v>
      </c>
      <c r="CV145" s="14">
        <f t="shared" si="149"/>
        <v>139.76132574448636</v>
      </c>
      <c r="CW145" s="22">
        <f t="shared" si="121"/>
        <v>1364.7686445383138</v>
      </c>
      <c r="CX145" s="62">
        <f t="shared" si="122"/>
        <v>1658.101977871647</v>
      </c>
      <c r="CY145" s="62">
        <f ca="1">AVERAGE(OFFSET($CX$3,0,0,'Données projet'!$E$13+1,1))-AVERAGE(OFFSET($H$3,0,0,'Données projet'!$E$13+1,1))</f>
        <v>720.47588458554264</v>
      </c>
      <c r="CZ145" s="62">
        <f t="shared" si="150"/>
        <v>638.59686934821627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2.6818853325013081</v>
      </c>
      <c r="DG145" s="23">
        <f>EXP(-LN(2)/25)*DG144+(1-EXP(-LN(2)/25))/(LN(2)/25)*Calculateur!DB145*Calculateur!DD145*VLOOKUP('Données projet'!$B$13,Paramètres!$A$1:$I$89,3,0)*0.475*44/12</f>
        <v>1.2114289252785861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3.8933142577798945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751.18</v>
      </c>
      <c r="O146" s="14">
        <f>N146*VLOOKUP('Données projet'!$B$9,Paramètres!$A$1:$I$89,3,0)*VLOOKUP('Données projet'!$B$9,Paramètres!$A$1:$I$89,5,0)</f>
        <v>351.55223999999993</v>
      </c>
      <c r="P146" s="14">
        <f t="shared" si="141"/>
        <v>81.882051211276618</v>
      </c>
      <c r="Q146" s="22">
        <f t="shared" si="108"/>
        <v>754.89805719297328</v>
      </c>
      <c r="R146" s="62">
        <f t="shared" si="109"/>
        <v>1048.2313905263065</v>
      </c>
      <c r="S146" s="62">
        <f ca="1">AVERAGE(OFFSET($R$3,0,0,'Données projet'!$E$9+1,1))-AVERAGE(OFFSET($H$3,0,0,'Données projet'!$E$9+1,1))</f>
        <v>309.95417097673084</v>
      </c>
      <c r="T146" s="62">
        <f t="shared" si="142"/>
        <v>170.83243426024433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2.3174767743698212</v>
      </c>
      <c r="AA146" s="23">
        <f>EXP(-LN(2)/25)*AA145+(1-EXP(-LN(2)/25))/(LN(2)/25)*Calculateur!V146*Calculateur!X146*VLOOKUP('Données projet'!$B$9,Paramètres!$A$1:$I$89,3,0)*0.475*44/12</f>
        <v>7.2047022662952553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9.5221790406650761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4.4499999999999984</v>
      </c>
      <c r="AI146" s="14">
        <f>IF('Données projet'!$A$62&gt;35,AI145+AH146-AQ145,IF(A146&lt;'Données projet'!$A$62,$AF$205^A146,IF(A146='Données projet'!$A$62,'Données projet'!$B$62,AI145+AH146-AQ145)))</f>
        <v>377.69999999999879</v>
      </c>
      <c r="AJ146" s="14">
        <f>AI146*VLOOKUP('Données projet'!$B$10,Paramètres!$A$1:$I$89,3,0)*VLOOKUP('Données projet'!$B$10,Paramètres!$A$1:$I$89,5,0)</f>
        <v>382.9877999999988</v>
      </c>
      <c r="AK146" s="14">
        <f t="shared" si="143"/>
        <v>88.319027377621495</v>
      </c>
      <c r="AL146" s="22">
        <f t="shared" si="112"/>
        <v>820.85939101602196</v>
      </c>
      <c r="AM146" s="62">
        <f t="shared" si="113"/>
        <v>1114.1927243493553</v>
      </c>
      <c r="AN146" s="62">
        <f ca="1">AVERAGE(OFFSET($AM$3,0,0,'Données projet'!$E$10+1,1))-AVERAGE(OFFSET($H$3,0,0,'Données projet'!$E$10+1,1))</f>
        <v>408.65944152905672</v>
      </c>
      <c r="AO146" s="62">
        <f t="shared" si="144"/>
        <v>248.55239719988651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8.6478133441385729</v>
      </c>
      <c r="AV146" s="23">
        <f>EXP(-LN(2)/25)*AV145+(1-EXP(-LN(2)/25))/(LN(2)/25)*Calculateur!AQ146*Calculateur!AS146*VLOOKUP('Données projet'!$B$10,Paramètres!$A$1:$I$89,3,0)*0.475*44/12</f>
        <v>4.6166990970626332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13.264512441201205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598.14</v>
      </c>
      <c r="BE146" s="14">
        <f>BD146*VLOOKUP('Données projet'!$B$11,Paramètres!$A$1:$I$89,3,0)*VLOOKUP('Données projet'!$B$11,Paramètres!$A$1:$I$89,5,0)</f>
        <v>578.52100799999994</v>
      </c>
      <c r="BF146" s="14">
        <f t="shared" si="145"/>
        <v>127.15611541885089</v>
      </c>
      <c r="BG146" s="22">
        <f t="shared" si="115"/>
        <v>1229.0543232878317</v>
      </c>
      <c r="BH146" s="62">
        <f t="shared" si="116"/>
        <v>1522.387656621165</v>
      </c>
      <c r="BI146" s="62">
        <f ca="1">AVERAGE(OFFSET($BH$3,0,0,'Données projet'!$E$11+1,1))-AVERAGE(OFFSET($H$3,0,0,'Données projet'!$E$11+1,1))</f>
        <v>643.38601112255424</v>
      </c>
      <c r="BJ146" s="62">
        <f t="shared" si="146"/>
        <v>572.76381622085694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2.3625551044783815</v>
      </c>
      <c r="BQ146" s="23">
        <f>EXP(-LN(2)/25)*BQ145+(1-EXP(-LN(2)/25))/(LN(2)/25)*Calculateur!BL146*Calculateur!BN146*VLOOKUP('Données projet'!$B$11,Paramètres!$A$1:$I$89,3,0)*0.475*44/12</f>
        <v>1.0587644193022481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3.4213195237806295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505.23000000000025</v>
      </c>
      <c r="BZ146" s="14">
        <f>BY146*VLOOKUP('Données projet'!$B$12,Paramètres!$A$1:$I$89,3,0)*VLOOKUP('Données projet'!$B$12,Paramètres!$A$1:$I$89,5,0)</f>
        <v>338.90828400000015</v>
      </c>
      <c r="CA146" s="14">
        <f t="shared" si="147"/>
        <v>79.274348782791407</v>
      </c>
      <c r="CB146" s="22">
        <f t="shared" si="118"/>
        <v>728.33475209669507</v>
      </c>
      <c r="CC146" s="62">
        <f t="shared" si="119"/>
        <v>1021.6680854300284</v>
      </c>
      <c r="CD146" s="62">
        <f ca="1">AVERAGE(OFFSET($CC$3,0,0,'Données projet'!$E$12+1,1))-AVERAGE(OFFSET($H$3,0,0,'Données projet'!$E$12+1,1))</f>
        <v>323.41415875740768</v>
      </c>
      <c r="CE146" s="62">
        <f t="shared" si="148"/>
        <v>496.54020068152101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598.14</v>
      </c>
      <c r="CU146" s="18">
        <f>CT146*VLOOKUP('Données projet'!$B$13,Paramètres!$A$1:$I$89,3,0)*VLOOKUP('Données projet'!$B$13,Paramètres!$A$1:$I$89,5,0)</f>
        <v>643.837896</v>
      </c>
      <c r="CV146" s="14">
        <f t="shared" si="149"/>
        <v>139.76132574448636</v>
      </c>
      <c r="CW146" s="22">
        <f t="shared" si="121"/>
        <v>1364.7686445383138</v>
      </c>
      <c r="CX146" s="62">
        <f t="shared" si="122"/>
        <v>1658.101977871647</v>
      </c>
      <c r="CY146" s="62">
        <f ca="1">AVERAGE(OFFSET($CX$3,0,0,'Données projet'!$E$13+1,1))-AVERAGE(OFFSET($H$3,0,0,'Données projet'!$E$13+1,1))</f>
        <v>720.47588458554264</v>
      </c>
      <c r="CZ146" s="62">
        <f t="shared" si="150"/>
        <v>638.59686934821627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2.6292951969194895</v>
      </c>
      <c r="DG146" s="23">
        <f>EXP(-LN(2)/25)*DG145+(1-EXP(-LN(2)/25))/(LN(2)/25)*Calculateur!DB146*Calculateur!DD146*VLOOKUP('Données projet'!$B$13,Paramètres!$A$1:$I$89,3,0)*0.475*44/12</f>
        <v>1.1783023376105648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3.8075975345300543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751.18</v>
      </c>
      <c r="O147" s="14">
        <f>N147*VLOOKUP('Données projet'!$B$9,Paramètres!$A$1:$I$89,3,0)*VLOOKUP('Données projet'!$B$9,Paramètres!$A$1:$I$89,5,0)</f>
        <v>351.55223999999993</v>
      </c>
      <c r="P147" s="14">
        <f t="shared" si="141"/>
        <v>81.882051211276618</v>
      </c>
      <c r="Q147" s="22">
        <f t="shared" si="108"/>
        <v>754.89805719297328</v>
      </c>
      <c r="R147" s="62">
        <f t="shared" si="109"/>
        <v>1048.2313905263065</v>
      </c>
      <c r="S147" s="62">
        <f ca="1">AVERAGE(OFFSET($R$3,0,0,'Données projet'!$E$9+1,1))-AVERAGE(OFFSET($H$3,0,0,'Données projet'!$E$9+1,1))</f>
        <v>309.95417097673084</v>
      </c>
      <c r="T147" s="62">
        <f t="shared" si="142"/>
        <v>170.83243426024433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2.2720324683456878</v>
      </c>
      <c r="AA147" s="23">
        <f>EXP(-LN(2)/25)*AA146+(1-EXP(-LN(2)/25))/(LN(2)/25)*Calculateur!V147*Calculateur!X147*VLOOKUP('Données projet'!$B$9,Paramètres!$A$1:$I$89,3,0)*0.475*44/12</f>
        <v>7.007689303944586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9.279721772290273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4.4499999999999984</v>
      </c>
      <c r="AI147" s="14">
        <f>IF('Données projet'!$A$62&gt;35,AI146+AH147-AQ146,IF(A147&lt;'Données projet'!$A$62,$AF$205^A147,IF(A147='Données projet'!$A$62,'Données projet'!$B$62,AI146+AH147-AQ146)))</f>
        <v>382.14999999999878</v>
      </c>
      <c r="AJ147" s="14">
        <f>AI147*VLOOKUP('Données projet'!$B$10,Paramètres!$A$1:$I$89,3,0)*VLOOKUP('Données projet'!$B$10,Paramètres!$A$1:$I$89,5,0)</f>
        <v>387.50009999999878</v>
      </c>
      <c r="AK147" s="14">
        <f t="shared" si="143"/>
        <v>89.237838852479243</v>
      </c>
      <c r="AL147" s="22">
        <f t="shared" si="112"/>
        <v>830.31857683473254</v>
      </c>
      <c r="AM147" s="62">
        <f t="shared" si="113"/>
        <v>1123.6519101680658</v>
      </c>
      <c r="AN147" s="62">
        <f ca="1">AVERAGE(OFFSET($AM$3,0,0,'Données projet'!$E$10+1,1))-AVERAGE(OFFSET($H$3,0,0,'Données projet'!$E$10+1,1))</f>
        <v>408.65944152905672</v>
      </c>
      <c r="AO147" s="62">
        <f t="shared" si="144"/>
        <v>248.55239719988651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8.478234999105327</v>
      </c>
      <c r="AV147" s="23">
        <f>EXP(-LN(2)/25)*AV146+(1-EXP(-LN(2)/25))/(LN(2)/25)*Calculateur!AQ147*Calculateur!AS147*VLOOKUP('Données projet'!$B$10,Paramètres!$A$1:$I$89,3,0)*0.475*44/12</f>
        <v>4.4904552174718013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12.968690216577128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598.14</v>
      </c>
      <c r="BE147" s="14">
        <f>BD147*VLOOKUP('Données projet'!$B$11,Paramètres!$A$1:$I$89,3,0)*VLOOKUP('Données projet'!$B$11,Paramètres!$A$1:$I$89,5,0)</f>
        <v>578.52100799999994</v>
      </c>
      <c r="BF147" s="14">
        <f t="shared" si="145"/>
        <v>127.15611541885089</v>
      </c>
      <c r="BG147" s="22">
        <f t="shared" si="115"/>
        <v>1229.0543232878317</v>
      </c>
      <c r="BH147" s="62">
        <f t="shared" si="116"/>
        <v>1522.387656621165</v>
      </c>
      <c r="BI147" s="62">
        <f ca="1">AVERAGE(OFFSET($BH$3,0,0,'Données projet'!$E$11+1,1))-AVERAGE(OFFSET($H$3,0,0,'Données projet'!$E$11+1,1))</f>
        <v>643.38601112255424</v>
      </c>
      <c r="BJ147" s="62">
        <f t="shared" si="146"/>
        <v>572.76381622085694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2.3162268398958856</v>
      </c>
      <c r="BQ147" s="23">
        <f>EXP(-LN(2)/25)*BQ146+(1-EXP(-LN(2)/25))/(LN(2)/25)*Calculateur!BL147*Calculateur!BN147*VLOOKUP('Données projet'!$B$11,Paramètres!$A$1:$I$89,3,0)*0.475*44/12</f>
        <v>1.0298124505784272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3.3460392904743128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505.23000000000025</v>
      </c>
      <c r="BZ147" s="14">
        <f>BY147*VLOOKUP('Données projet'!$B$12,Paramètres!$A$1:$I$89,3,0)*VLOOKUP('Données projet'!$B$12,Paramètres!$A$1:$I$89,5,0)</f>
        <v>338.90828400000015</v>
      </c>
      <c r="CA147" s="14">
        <f t="shared" si="147"/>
        <v>79.274348782791407</v>
      </c>
      <c r="CB147" s="22">
        <f t="shared" si="118"/>
        <v>728.33475209669507</v>
      </c>
      <c r="CC147" s="62">
        <f t="shared" si="119"/>
        <v>1021.6680854300284</v>
      </c>
      <c r="CD147" s="62">
        <f ca="1">AVERAGE(OFFSET($CC$3,0,0,'Données projet'!$E$12+1,1))-AVERAGE(OFFSET($H$3,0,0,'Données projet'!$E$12+1,1))</f>
        <v>323.41415875740768</v>
      </c>
      <c r="CE147" s="62">
        <f t="shared" si="148"/>
        <v>496.54020068152101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598.14</v>
      </c>
      <c r="CU147" s="18">
        <f>CT147*VLOOKUP('Données projet'!$B$13,Paramètres!$A$1:$I$89,3,0)*VLOOKUP('Données projet'!$B$13,Paramètres!$A$1:$I$89,5,0)</f>
        <v>643.837896</v>
      </c>
      <c r="CV147" s="14">
        <f t="shared" si="149"/>
        <v>139.76132574448636</v>
      </c>
      <c r="CW147" s="22">
        <f t="shared" si="121"/>
        <v>1364.7686445383138</v>
      </c>
      <c r="CX147" s="62">
        <f t="shared" si="122"/>
        <v>1658.101977871647</v>
      </c>
      <c r="CY147" s="62">
        <f ca="1">AVERAGE(OFFSET($CX$3,0,0,'Données projet'!$E$13+1,1))-AVERAGE(OFFSET($H$3,0,0,'Données projet'!$E$13+1,1))</f>
        <v>720.47588458554264</v>
      </c>
      <c r="CZ147" s="62">
        <f t="shared" si="150"/>
        <v>638.59686934821627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2.5777363218196152</v>
      </c>
      <c r="DG147" s="23">
        <f>EXP(-LN(2)/25)*DG146+(1-EXP(-LN(2)/25))/(LN(2)/25)*Calculateur!DB147*Calculateur!DD147*VLOOKUP('Données projet'!$B$13,Paramètres!$A$1:$I$89,3,0)*0.475*44/12</f>
        <v>1.1460815982243771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3.7238179200439925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751.18</v>
      </c>
      <c r="O148" s="14">
        <f>N148*VLOOKUP('Données projet'!$B$9,Paramètres!$A$1:$I$89,3,0)*VLOOKUP('Données projet'!$B$9,Paramètres!$A$1:$I$89,5,0)</f>
        <v>351.55223999999993</v>
      </c>
      <c r="P148" s="14">
        <f t="shared" si="141"/>
        <v>81.882051211276618</v>
      </c>
      <c r="Q148" s="22">
        <f t="shared" si="108"/>
        <v>754.89805719297328</v>
      </c>
      <c r="R148" s="62">
        <f t="shared" si="109"/>
        <v>1048.2313905263065</v>
      </c>
      <c r="S148" s="62">
        <f ca="1">AVERAGE(OFFSET($R$3,0,0,'Données projet'!$E$9+1,1))-AVERAGE(OFFSET($H$3,0,0,'Données projet'!$E$9+1,1))</f>
        <v>309.95417097673084</v>
      </c>
      <c r="T148" s="62">
        <f t="shared" si="142"/>
        <v>170.83243426024433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2.2274792974443978</v>
      </c>
      <c r="AA148" s="23">
        <f>EXP(-LN(2)/25)*AA147+(1-EXP(-LN(2)/25))/(LN(2)/25)*Calculateur!V148*Calculateur!X148*VLOOKUP('Données projet'!$B$9,Paramètres!$A$1:$I$89,3,0)*0.475*44/12</f>
        <v>6.8160636714098572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9.0435429688542541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386.6</v>
      </c>
      <c r="AG148" s="13">
        <f>VLOOKUP(A148,'Données projet'!$A$61:$I$81,9,0)</f>
        <v>4.4499999999999984</v>
      </c>
      <c r="AH148" s="13">
        <f t="array" ref="AH148">INDEX(AG:AG,MIN(IF(ISNUMBER(AG148:AG344),ROW(AG148:AG344),"")))</f>
        <v>4.4499999999999984</v>
      </c>
      <c r="AI148" s="14">
        <f>IF('Données projet'!$A$62&gt;35,AI147+AH148-AQ147,IF(A148&lt;'Données projet'!$A$62,$AF$205^A148,IF(A148='Données projet'!$A$62,'Données projet'!$B$62,AI147+AH148-AQ147)))</f>
        <v>386.59999999999877</v>
      </c>
      <c r="AJ148" s="14">
        <f>AI148*VLOOKUP('Données projet'!$B$10,Paramètres!$A$1:$I$89,3,0)*VLOOKUP('Données projet'!$B$10,Paramètres!$A$1:$I$89,5,0)</f>
        <v>392.01239999999882</v>
      </c>
      <c r="AK148" s="14">
        <f t="shared" si="143"/>
        <v>90.155405750765794</v>
      </c>
      <c r="AL148" s="22">
        <f t="shared" si="112"/>
        <v>839.77559501591497</v>
      </c>
      <c r="AM148" s="62">
        <f t="shared" si="113"/>
        <v>1133.1089283492483</v>
      </c>
      <c r="AN148" s="62">
        <f ca="1">AVERAGE(OFFSET($AM$3,0,0,'Données projet'!$E$10+1,1))-AVERAGE(OFFSET($H$3,0,0,'Données projet'!$E$10+1,1))</f>
        <v>408.65944152905672</v>
      </c>
      <c r="AO148" s="62">
        <f t="shared" si="144"/>
        <v>248.55239719988651</v>
      </c>
      <c r="AP148" s="16">
        <f>IF(ISNA(VLOOKUP(A148,'Données projet'!$A$61:$I$81,3,0)),0,VLOOKUP(A148,'Données projet'!$A$61:$I$81,3,0))</f>
        <v>12</v>
      </c>
      <c r="AQ148" s="16">
        <f>IF(ISNA(VLOOKUP(A148,'Données projet'!$A$61:$I$81,4,0)),0,VLOOKUP(A148,'Données projet'!$A$61:$I$81,4,0))</f>
        <v>38.659999999999997</v>
      </c>
      <c r="AR148" s="17">
        <f>IF(ISNA(VLOOKUP(A148,'Données projet'!$A$61:$I$81,5,0)),0%,VLOOKUP(A148,'Données projet'!$A$61:$I$81,5,0)*VLOOKUP('Données projet'!$B$10,Paramètres!$A$1:$I$89,7,0))</f>
        <v>7.7399999999999997E-2</v>
      </c>
      <c r="AS148" s="17">
        <f>IF(ISNA(VLOOKUP(A148,'Données projet'!$A$61:$I$81,6,0)),0%,VLOOKUP(A148,'Données projet'!$A$61:$I$81,6,0)*VLOOKUP('Données projet'!$B$10,Paramètres!$A$1:$I$89,7,0))</f>
        <v>5.5899999999999998E-2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11.666173649744087</v>
      </c>
      <c r="AV148" s="23">
        <f>EXP(-LN(2)/25)*AV147+(1-EXP(-LN(2)/25))/(LN(2)/25)*Calculateur!AQ148*Calculateur!AS148*VLOOKUP('Données projet'!$B$10,Paramètres!$A$1:$I$89,3,0)*0.475*44/12</f>
        <v>6.780597049101635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18.446770698845722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598.14</v>
      </c>
      <c r="BE148" s="14">
        <f>BD148*VLOOKUP('Données projet'!$B$11,Paramètres!$A$1:$I$89,3,0)*VLOOKUP('Données projet'!$B$11,Paramètres!$A$1:$I$89,5,0)</f>
        <v>578.52100799999994</v>
      </c>
      <c r="BF148" s="14">
        <f t="shared" si="145"/>
        <v>127.15611541885089</v>
      </c>
      <c r="BG148" s="22">
        <f t="shared" si="115"/>
        <v>1229.0543232878317</v>
      </c>
      <c r="BH148" s="62">
        <f t="shared" si="116"/>
        <v>1522.387656621165</v>
      </c>
      <c r="BI148" s="62">
        <f ca="1">AVERAGE(OFFSET($BH$3,0,0,'Données projet'!$E$11+1,1))-AVERAGE(OFFSET($H$3,0,0,'Données projet'!$E$11+1,1))</f>
        <v>643.38601112255424</v>
      </c>
      <c r="BJ148" s="62">
        <f t="shared" si="146"/>
        <v>572.76381622085694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2.2708070443244015</v>
      </c>
      <c r="BQ148" s="23">
        <f>EXP(-LN(2)/25)*BQ147+(1-EXP(-LN(2)/25))/(LN(2)/25)*Calculateur!BL148*Calculateur!BN148*VLOOKUP('Données projet'!$B$11,Paramètres!$A$1:$I$89,3,0)*0.475*44/12</f>
        <v>1.001652174961877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3.2724592192862785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505.23000000000025</v>
      </c>
      <c r="BZ148" s="14">
        <f>BY148*VLOOKUP('Données projet'!$B$12,Paramètres!$A$1:$I$89,3,0)*VLOOKUP('Données projet'!$B$12,Paramètres!$A$1:$I$89,5,0)</f>
        <v>338.90828400000015</v>
      </c>
      <c r="CA148" s="14">
        <f t="shared" si="147"/>
        <v>79.274348782791407</v>
      </c>
      <c r="CB148" s="22">
        <f t="shared" si="118"/>
        <v>728.33475209669507</v>
      </c>
      <c r="CC148" s="62">
        <f t="shared" si="119"/>
        <v>1021.6680854300284</v>
      </c>
      <c r="CD148" s="62">
        <f ca="1">AVERAGE(OFFSET($CC$3,0,0,'Données projet'!$E$12+1,1))-AVERAGE(OFFSET($H$3,0,0,'Données projet'!$E$12+1,1))</f>
        <v>323.41415875740768</v>
      </c>
      <c r="CE148" s="62">
        <f t="shared" si="148"/>
        <v>496.54020068152101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598.14</v>
      </c>
      <c r="CU148" s="18">
        <f>CT148*VLOOKUP('Données projet'!$B$13,Paramètres!$A$1:$I$89,3,0)*VLOOKUP('Données projet'!$B$13,Paramètres!$A$1:$I$89,5,0)</f>
        <v>643.837896</v>
      </c>
      <c r="CV148" s="14">
        <f t="shared" si="149"/>
        <v>139.76132574448636</v>
      </c>
      <c r="CW148" s="22">
        <f t="shared" si="121"/>
        <v>1364.7686445383138</v>
      </c>
      <c r="CX148" s="62">
        <f t="shared" si="122"/>
        <v>1658.101977871647</v>
      </c>
      <c r="CY148" s="62">
        <f ca="1">AVERAGE(OFFSET($CX$3,0,0,'Données projet'!$E$13+1,1))-AVERAGE(OFFSET($H$3,0,0,'Données projet'!$E$13+1,1))</f>
        <v>720.47588458554264</v>
      </c>
      <c r="CZ148" s="62">
        <f t="shared" si="150"/>
        <v>638.59686934821627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2.5271884848126409</v>
      </c>
      <c r="DG148" s="23">
        <f>EXP(-LN(2)/25)*DG147+(1-EXP(-LN(2)/25))/(LN(2)/25)*Calculateur!DB148*Calculateur!DD148*VLOOKUP('Données projet'!$B$13,Paramètres!$A$1:$I$89,3,0)*0.475*44/12</f>
        <v>1.1147419366511195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3.6419304214637602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751.18</v>
      </c>
      <c r="O149" s="14">
        <f>N149*VLOOKUP('Données projet'!$B$9,Paramètres!$A$1:$I$89,3,0)*VLOOKUP('Données projet'!$B$9,Paramètres!$A$1:$I$89,5,0)</f>
        <v>351.55223999999993</v>
      </c>
      <c r="P149" s="14">
        <f t="shared" si="141"/>
        <v>81.882051211276618</v>
      </c>
      <c r="Q149" s="22">
        <f t="shared" si="108"/>
        <v>754.89805719297328</v>
      </c>
      <c r="R149" s="62">
        <f t="shared" si="109"/>
        <v>1048.2313905263065</v>
      </c>
      <c r="S149" s="62">
        <f ca="1">AVERAGE(OFFSET($R$3,0,0,'Données projet'!$E$9+1,1))-AVERAGE(OFFSET($H$3,0,0,'Données projet'!$E$9+1,1))</f>
        <v>309.95417097673084</v>
      </c>
      <c r="T149" s="62">
        <f t="shared" si="142"/>
        <v>170.83243426024433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2.1837997870497312</v>
      </c>
      <c r="AA149" s="23">
        <f>EXP(-LN(2)/25)*AA148+(1-EXP(-LN(2)/25))/(LN(2)/25)*Calculateur!V149*Calculateur!X149*VLOOKUP('Données projet'!$B$9,Paramètres!$A$1:$I$89,3,0)*0.475*44/12</f>
        <v>6.6296780518739444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8.8134778389236761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4.4499999999999931</v>
      </c>
      <c r="AI149" s="14">
        <f>IF('Données projet'!$A$62&gt;35,AI148+AH149-AQ148,IF(A149&lt;'Données projet'!$A$62,$AF$205^A149,IF(A149='Données projet'!$A$62,'Données projet'!$B$62,AI148+AH149-AQ148)))</f>
        <v>352.38999999999874</v>
      </c>
      <c r="AJ149" s="14">
        <f>AI149*VLOOKUP('Données projet'!$B$10,Paramètres!$A$1:$I$89,3,0)*VLOOKUP('Données projet'!$B$10,Paramètres!$A$1:$I$89,5,0)</f>
        <v>357.32345999999876</v>
      </c>
      <c r="AK149" s="14">
        <f t="shared" si="143"/>
        <v>83.068665459103528</v>
      </c>
      <c r="AL149" s="22">
        <f t="shared" si="112"/>
        <v>767.01628517460324</v>
      </c>
      <c r="AM149" s="62">
        <f t="shared" si="113"/>
        <v>1060.3496185079366</v>
      </c>
      <c r="AN149" s="62">
        <f ca="1">AVERAGE(OFFSET($AM$3,0,0,'Données projet'!$E$10+1,1))-AVERAGE(OFFSET($H$3,0,0,'Données projet'!$E$10+1,1))</f>
        <v>408.65944152905672</v>
      </c>
      <c r="AO149" s="62">
        <f t="shared" si="144"/>
        <v>248.55239719988651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11.437407100135918</v>
      </c>
      <c r="AV149" s="23">
        <f>EXP(-LN(2)/25)*AV148+(1-EXP(-LN(2)/25))/(LN(2)/25)*Calculateur!AQ149*Calculateur!AS149*VLOOKUP('Données projet'!$B$10,Paramètres!$A$1:$I$89,3,0)*0.475*44/12</f>
        <v>6.5951812662178488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18.032588366353767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598.14</v>
      </c>
      <c r="BE149" s="14">
        <f>BD149*VLOOKUP('Données projet'!$B$11,Paramètres!$A$1:$I$89,3,0)*VLOOKUP('Données projet'!$B$11,Paramètres!$A$1:$I$89,5,0)</f>
        <v>578.52100799999994</v>
      </c>
      <c r="BF149" s="14">
        <f t="shared" si="145"/>
        <v>127.15611541885089</v>
      </c>
      <c r="BG149" s="22">
        <f t="shared" si="115"/>
        <v>1229.0543232878317</v>
      </c>
      <c r="BH149" s="62">
        <f t="shared" si="116"/>
        <v>1522.387656621165</v>
      </c>
      <c r="BI149" s="62">
        <f ca="1">AVERAGE(OFFSET($BH$3,0,0,'Données projet'!$E$11+1,1))-AVERAGE(OFFSET($H$3,0,0,'Données projet'!$E$11+1,1))</f>
        <v>643.38601112255424</v>
      </c>
      <c r="BJ149" s="62">
        <f t="shared" si="146"/>
        <v>572.76381622085694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2.2262779032407343</v>
      </c>
      <c r="BQ149" s="23">
        <f>EXP(-LN(2)/25)*BQ148+(1-EXP(-LN(2)/25))/(LN(2)/25)*Calculateur!BL149*Calculateur!BN149*VLOOKUP('Données projet'!$B$11,Paramètres!$A$1:$I$89,3,0)*0.475*44/12</f>
        <v>0.97426194356294582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3.2005398468036801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505.23000000000025</v>
      </c>
      <c r="BZ149" s="14">
        <f>BY149*VLOOKUP('Données projet'!$B$12,Paramètres!$A$1:$I$89,3,0)*VLOOKUP('Données projet'!$B$12,Paramètres!$A$1:$I$89,5,0)</f>
        <v>338.90828400000015</v>
      </c>
      <c r="CA149" s="14">
        <f t="shared" si="147"/>
        <v>79.274348782791407</v>
      </c>
      <c r="CB149" s="22">
        <f t="shared" si="118"/>
        <v>728.33475209669507</v>
      </c>
      <c r="CC149" s="62">
        <f t="shared" si="119"/>
        <v>1021.6680854300284</v>
      </c>
      <c r="CD149" s="62">
        <f ca="1">AVERAGE(OFFSET($CC$3,0,0,'Données projet'!$E$12+1,1))-AVERAGE(OFFSET($H$3,0,0,'Données projet'!$E$12+1,1))</f>
        <v>323.41415875740768</v>
      </c>
      <c r="CE149" s="62">
        <f t="shared" si="148"/>
        <v>496.54020068152101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598.14</v>
      </c>
      <c r="CU149" s="18">
        <f>CT149*VLOOKUP('Données projet'!$B$13,Paramètres!$A$1:$I$89,3,0)*VLOOKUP('Données projet'!$B$13,Paramètres!$A$1:$I$89,5,0)</f>
        <v>643.837896</v>
      </c>
      <c r="CV149" s="14">
        <f t="shared" si="149"/>
        <v>139.76132574448636</v>
      </c>
      <c r="CW149" s="22">
        <f t="shared" si="121"/>
        <v>1364.7686445383138</v>
      </c>
      <c r="CX149" s="62">
        <f t="shared" si="122"/>
        <v>1658.101977871647</v>
      </c>
      <c r="CY149" s="62">
        <f ca="1">AVERAGE(OFFSET($CX$3,0,0,'Données projet'!$E$13+1,1))-AVERAGE(OFFSET($H$3,0,0,'Données projet'!$E$13+1,1))</f>
        <v>720.47588458554264</v>
      </c>
      <c r="CZ149" s="62">
        <f t="shared" si="150"/>
        <v>638.59686934821627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2.4776318600582368</v>
      </c>
      <c r="DG149" s="23">
        <f>EXP(-LN(2)/25)*DG148+(1-EXP(-LN(2)/25))/(LN(2)/25)*Calculateur!DB149*Calculateur!DD149*VLOOKUP('Données projet'!$B$13,Paramètres!$A$1:$I$89,3,0)*0.475*44/12</f>
        <v>1.084259259771664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3.5618911198299008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751.18</v>
      </c>
      <c r="O150" s="14">
        <f>N150*VLOOKUP('Données projet'!$B$9,Paramètres!$A$1:$I$89,3,0)*VLOOKUP('Données projet'!$B$9,Paramètres!$A$1:$I$89,5,0)</f>
        <v>351.55223999999993</v>
      </c>
      <c r="P150" s="14">
        <f t="shared" si="141"/>
        <v>81.882051211276618</v>
      </c>
      <c r="Q150" s="22">
        <f t="shared" si="108"/>
        <v>754.89805719297328</v>
      </c>
      <c r="R150" s="62">
        <f t="shared" si="109"/>
        <v>1048.2313905263065</v>
      </c>
      <c r="S150" s="62">
        <f ca="1">AVERAGE(OFFSET($R$3,0,0,'Données projet'!$E$9+1,1))-AVERAGE(OFFSET($H$3,0,0,'Données projet'!$E$9+1,1))</f>
        <v>309.95417097673084</v>
      </c>
      <c r="T150" s="62">
        <f t="shared" si="142"/>
        <v>170.83243426024433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2.1409768052120333</v>
      </c>
      <c r="AA150" s="23">
        <f>EXP(-LN(2)/25)*AA149+(1-EXP(-LN(2)/25))/(LN(2)/25)*Calculateur!V150*Calculateur!X150*VLOOKUP('Données projet'!$B$9,Paramètres!$A$1:$I$89,3,0)*0.475*44/12</f>
        <v>6.4483891569058347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8.5893659621178671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4.4499999999999931</v>
      </c>
      <c r="AI150" s="14">
        <f>IF('Données projet'!$A$62&gt;35,AI149+AH150-AQ149,IF(A150&lt;'Données projet'!$A$62,$AF$205^A150,IF(A150='Données projet'!$A$62,'Données projet'!$B$62,AI149+AH150-AQ149)))</f>
        <v>356.83999999999872</v>
      </c>
      <c r="AJ150" s="14">
        <f>AI150*VLOOKUP('Données projet'!$B$10,Paramètres!$A$1:$I$89,3,0)*VLOOKUP('Données projet'!$B$10,Paramètres!$A$1:$I$89,5,0)</f>
        <v>361.83575999999874</v>
      </c>
      <c r="AK150" s="14">
        <f t="shared" si="143"/>
        <v>83.994879933652868</v>
      </c>
      <c r="AL150" s="22">
        <f t="shared" si="112"/>
        <v>776.48836455110984</v>
      </c>
      <c r="AM150" s="62">
        <f t="shared" si="113"/>
        <v>1069.8216978844432</v>
      </c>
      <c r="AN150" s="62">
        <f ca="1">AVERAGE(OFFSET($AM$3,0,0,'Données projet'!$E$10+1,1))-AVERAGE(OFFSET($H$3,0,0,'Données projet'!$E$10+1,1))</f>
        <v>408.65944152905672</v>
      </c>
      <c r="AO150" s="62">
        <f t="shared" si="144"/>
        <v>248.55239719988651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11.213126523031749</v>
      </c>
      <c r="AV150" s="23">
        <f>EXP(-LN(2)/25)*AV149+(1-EXP(-LN(2)/25))/(LN(2)/25)*Calculateur!AQ150*Calculateur!AS150*VLOOKUP('Données projet'!$B$10,Paramètres!$A$1:$I$89,3,0)*0.475*44/12</f>
        <v>6.4148356876676127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17.627962210699362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598.14</v>
      </c>
      <c r="BE150" s="14">
        <f>BD150*VLOOKUP('Données projet'!$B$11,Paramètres!$A$1:$I$89,3,0)*VLOOKUP('Données projet'!$B$11,Paramètres!$A$1:$I$89,5,0)</f>
        <v>578.52100799999994</v>
      </c>
      <c r="BF150" s="14">
        <f t="shared" si="145"/>
        <v>127.15611541885089</v>
      </c>
      <c r="BG150" s="22">
        <f t="shared" si="115"/>
        <v>1229.0543232878317</v>
      </c>
      <c r="BH150" s="62">
        <f t="shared" si="116"/>
        <v>1522.387656621165</v>
      </c>
      <c r="BI150" s="62">
        <f ca="1">AVERAGE(OFFSET($BH$3,0,0,'Données projet'!$E$11+1,1))-AVERAGE(OFFSET($H$3,0,0,'Données projet'!$E$11+1,1))</f>
        <v>643.38601112255424</v>
      </c>
      <c r="BJ150" s="62">
        <f t="shared" si="146"/>
        <v>572.76381622085694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2.1826219514536236</v>
      </c>
      <c r="BQ150" s="23">
        <f>EXP(-LN(2)/25)*BQ149+(1-EXP(-LN(2)/25))/(LN(2)/25)*Calculateur!BL150*Calculateur!BN150*VLOOKUP('Données projet'!$B$11,Paramètres!$A$1:$I$89,3,0)*0.475*44/12</f>
        <v>0.94762069948200811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3.1302426509356316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505.23000000000025</v>
      </c>
      <c r="BZ150" s="14">
        <f>BY150*VLOOKUP('Données projet'!$B$12,Paramètres!$A$1:$I$89,3,0)*VLOOKUP('Données projet'!$B$12,Paramètres!$A$1:$I$89,5,0)</f>
        <v>338.90828400000015</v>
      </c>
      <c r="CA150" s="14">
        <f t="shared" si="147"/>
        <v>79.274348782791407</v>
      </c>
      <c r="CB150" s="22">
        <f t="shared" si="118"/>
        <v>728.33475209669507</v>
      </c>
      <c r="CC150" s="62">
        <f t="shared" si="119"/>
        <v>1021.6680854300284</v>
      </c>
      <c r="CD150" s="62">
        <f ca="1">AVERAGE(OFFSET($CC$3,0,0,'Données projet'!$E$12+1,1))-AVERAGE(OFFSET($H$3,0,0,'Données projet'!$E$12+1,1))</f>
        <v>323.41415875740768</v>
      </c>
      <c r="CE150" s="62">
        <f t="shared" si="148"/>
        <v>496.54020068152101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598.14</v>
      </c>
      <c r="CU150" s="18">
        <f>CT150*VLOOKUP('Données projet'!$B$13,Paramètres!$A$1:$I$89,3,0)*VLOOKUP('Données projet'!$B$13,Paramètres!$A$1:$I$89,5,0)</f>
        <v>643.837896</v>
      </c>
      <c r="CV150" s="14">
        <f t="shared" si="149"/>
        <v>139.76132574448636</v>
      </c>
      <c r="CW150" s="22">
        <f t="shared" si="121"/>
        <v>1364.7686445383138</v>
      </c>
      <c r="CX150" s="62">
        <f t="shared" si="122"/>
        <v>1658.101977871647</v>
      </c>
      <c r="CY150" s="62">
        <f ca="1">AVERAGE(OFFSET($CX$3,0,0,'Données projet'!$E$13+1,1))-AVERAGE(OFFSET($H$3,0,0,'Données projet'!$E$13+1,1))</f>
        <v>720.47588458554264</v>
      </c>
      <c r="CZ150" s="62">
        <f t="shared" si="150"/>
        <v>638.59686934821627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2.4290470104887101</v>
      </c>
      <c r="DG150" s="23">
        <f>EXP(-LN(2)/25)*DG149+(1-EXP(-LN(2)/25))/(LN(2)/25)*Calculateur!DB150*Calculateur!DD150*VLOOKUP('Données projet'!$B$13,Paramètres!$A$1:$I$89,3,0)*0.475*44/12</f>
        <v>1.0546101332944915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3.4836571437832013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751.18</v>
      </c>
      <c r="O151" s="14">
        <f>N151*VLOOKUP('Données projet'!$B$9,Paramètres!$A$1:$I$89,3,0)*VLOOKUP('Données projet'!$B$9,Paramètres!$A$1:$I$89,5,0)</f>
        <v>351.55223999999993</v>
      </c>
      <c r="P151" s="14">
        <f t="shared" si="141"/>
        <v>81.882051211276618</v>
      </c>
      <c r="Q151" s="22">
        <f t="shared" si="108"/>
        <v>754.89805719297328</v>
      </c>
      <c r="R151" s="62">
        <f t="shared" si="109"/>
        <v>1048.2313905263065</v>
      </c>
      <c r="S151" s="62">
        <f ca="1">AVERAGE(OFFSET($R$3,0,0,'Données projet'!$E$9+1,1))-AVERAGE(OFFSET($H$3,0,0,'Données projet'!$E$9+1,1))</f>
        <v>309.95417097673084</v>
      </c>
      <c r="T151" s="62">
        <f t="shared" si="142"/>
        <v>170.83243426024433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2.0989935559287329</v>
      </c>
      <c r="AA151" s="23">
        <f>EXP(-LN(2)/25)*AA150+(1-EXP(-LN(2)/25))/(LN(2)/25)*Calculateur!V151*Calculateur!X151*VLOOKUP('Données projet'!$B$9,Paramètres!$A$1:$I$89,3,0)*0.475*44/12</f>
        <v>6.2720576163041972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8.3710511722329297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4.4499999999999931</v>
      </c>
      <c r="AI151" s="14">
        <f>IF('Données projet'!$A$62&gt;35,AI150+AH151-AQ150,IF(A151&lt;'Données projet'!$A$62,$AF$205^A151,IF(A151='Données projet'!$A$62,'Données projet'!$B$62,AI150+AH151-AQ150)))</f>
        <v>361.28999999999871</v>
      </c>
      <c r="AJ151" s="14">
        <f>AI151*VLOOKUP('Données projet'!$B$10,Paramètres!$A$1:$I$89,3,0)*VLOOKUP('Données projet'!$B$10,Paramètres!$A$1:$I$89,5,0)</f>
        <v>366.34805999999872</v>
      </c>
      <c r="AK151" s="14">
        <f t="shared" si="143"/>
        <v>84.919750876988729</v>
      </c>
      <c r="AL151" s="22">
        <f t="shared" si="112"/>
        <v>785.95810394408647</v>
      </c>
      <c r="AM151" s="62">
        <f t="shared" si="113"/>
        <v>1079.2914372774198</v>
      </c>
      <c r="AN151" s="62">
        <f ca="1">AVERAGE(OFFSET($AM$3,0,0,'Données projet'!$E$10+1,1))-AVERAGE(OFFSET($H$3,0,0,'Données projet'!$E$10+1,1))</f>
        <v>408.65944152905672</v>
      </c>
      <c r="AO151" s="62">
        <f t="shared" si="144"/>
        <v>248.55239719988651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10.993243951246948</v>
      </c>
      <c r="AV151" s="23">
        <f>EXP(-LN(2)/25)*AV150+(1-EXP(-LN(2)/25))/(LN(2)/25)*Calculateur!AQ151*Calculateur!AS151*VLOOKUP('Données projet'!$B$10,Paramètres!$A$1:$I$89,3,0)*0.475*44/12</f>
        <v>6.239421668446794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17.232665619693741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598.14</v>
      </c>
      <c r="BE151" s="14">
        <f>BD151*VLOOKUP('Données projet'!$B$11,Paramètres!$A$1:$I$89,3,0)*VLOOKUP('Données projet'!$B$11,Paramètres!$A$1:$I$89,5,0)</f>
        <v>578.52100799999994</v>
      </c>
      <c r="BF151" s="14">
        <f t="shared" si="145"/>
        <v>127.15611541885089</v>
      </c>
      <c r="BG151" s="22">
        <f t="shared" si="115"/>
        <v>1229.0543232878317</v>
      </c>
      <c r="BH151" s="62">
        <f t="shared" si="116"/>
        <v>1522.387656621165</v>
      </c>
      <c r="BI151" s="62">
        <f ca="1">AVERAGE(OFFSET($BH$3,0,0,'Données projet'!$E$11+1,1))-AVERAGE(OFFSET($H$3,0,0,'Données projet'!$E$11+1,1))</f>
        <v>643.38601112255424</v>
      </c>
      <c r="BJ151" s="62">
        <f t="shared" si="146"/>
        <v>572.76381622085694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2.1398220662535565</v>
      </c>
      <c r="BQ151" s="23">
        <f>EXP(-LN(2)/25)*BQ150+(1-EXP(-LN(2)/25))/(LN(2)/25)*Calculateur!BL151*Calculateur!BN151*VLOOKUP('Données projet'!$B$11,Paramètres!$A$1:$I$89,3,0)*0.475*44/12</f>
        <v>0.92170796162146584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3.0615300278750226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505.23000000000025</v>
      </c>
      <c r="BZ151" s="14">
        <f>BY151*VLOOKUP('Données projet'!$B$12,Paramètres!$A$1:$I$89,3,0)*VLOOKUP('Données projet'!$B$12,Paramètres!$A$1:$I$89,5,0)</f>
        <v>338.90828400000015</v>
      </c>
      <c r="CA151" s="14">
        <f t="shared" si="147"/>
        <v>79.274348782791407</v>
      </c>
      <c r="CB151" s="22">
        <f t="shared" si="118"/>
        <v>728.33475209669507</v>
      </c>
      <c r="CC151" s="62">
        <f t="shared" si="119"/>
        <v>1021.6680854300284</v>
      </c>
      <c r="CD151" s="62">
        <f ca="1">AVERAGE(OFFSET($CC$3,0,0,'Données projet'!$E$12+1,1))-AVERAGE(OFFSET($H$3,0,0,'Données projet'!$E$12+1,1))</f>
        <v>323.41415875740768</v>
      </c>
      <c r="CE151" s="62">
        <f t="shared" si="148"/>
        <v>496.54020068152101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598.14</v>
      </c>
      <c r="CU151" s="18">
        <f>CT151*VLOOKUP('Données projet'!$B$13,Paramètres!$A$1:$I$89,3,0)*VLOOKUP('Données projet'!$B$13,Paramètres!$A$1:$I$89,5,0)</f>
        <v>643.837896</v>
      </c>
      <c r="CV151" s="14">
        <f t="shared" si="149"/>
        <v>139.76132574448636</v>
      </c>
      <c r="CW151" s="22">
        <f t="shared" si="121"/>
        <v>1364.7686445383138</v>
      </c>
      <c r="CX151" s="62">
        <f t="shared" si="122"/>
        <v>1658.101977871647</v>
      </c>
      <c r="CY151" s="62">
        <f ca="1">AVERAGE(OFFSET($CX$3,0,0,'Données projet'!$E$13+1,1))-AVERAGE(OFFSET($H$3,0,0,'Données projet'!$E$13+1,1))</f>
        <v>720.47588458554264</v>
      </c>
      <c r="CZ151" s="62">
        <f t="shared" si="150"/>
        <v>638.59686934821627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2.3814148801854098</v>
      </c>
      <c r="DG151" s="23">
        <f>EXP(-LN(2)/25)*DG150+(1-EXP(-LN(2)/25))/(LN(2)/25)*Calculateur!DB151*Calculateur!DD151*VLOOKUP('Données projet'!$B$13,Paramètres!$A$1:$I$89,3,0)*0.475*44/12</f>
        <v>1.025771763740017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3.407186643925427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751.18</v>
      </c>
      <c r="O152" s="14">
        <f>N152*VLOOKUP('Données projet'!$B$9,Paramètres!$A$1:$I$89,3,0)*VLOOKUP('Données projet'!$B$9,Paramètres!$A$1:$I$89,5,0)</f>
        <v>351.55223999999993</v>
      </c>
      <c r="P152" s="14">
        <f t="shared" si="141"/>
        <v>81.882051211276618</v>
      </c>
      <c r="Q152" s="22">
        <f t="shared" si="108"/>
        <v>754.89805719297328</v>
      </c>
      <c r="R152" s="62">
        <f t="shared" si="109"/>
        <v>1048.2313905263065</v>
      </c>
      <c r="S152" s="62">
        <f ca="1">AVERAGE(OFFSET($R$3,0,0,'Données projet'!$E$9+1,1))-AVERAGE(OFFSET($H$3,0,0,'Données projet'!$E$9+1,1))</f>
        <v>309.95417097673084</v>
      </c>
      <c r="T152" s="62">
        <f t="shared" si="142"/>
        <v>170.83243426024433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2.0578335725566244</v>
      </c>
      <c r="AA152" s="23">
        <f>EXP(-LN(2)/25)*AA151+(1-EXP(-LN(2)/25))/(LN(2)/25)*Calculateur!V152*Calculateur!X152*VLOOKUP('Données projet'!$B$9,Paramètres!$A$1:$I$89,3,0)*0.475*44/12</f>
        <v>6.100547870953184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8.1583814435098088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4.4499999999999931</v>
      </c>
      <c r="AI152" s="14">
        <f>IF('Données projet'!$A$62&gt;35,AI151+AH152-AQ151,IF(A152&lt;'Données projet'!$A$62,$AF$205^A152,IF(A152='Données projet'!$A$62,'Données projet'!$B$62,AI151+AH152-AQ151)))</f>
        <v>365.7399999999987</v>
      </c>
      <c r="AJ152" s="14">
        <f>AI152*VLOOKUP('Données projet'!$B$10,Paramètres!$A$1:$I$89,3,0)*VLOOKUP('Données projet'!$B$10,Paramètres!$A$1:$I$89,5,0)</f>
        <v>370.86035999999871</v>
      </c>
      <c r="AK152" s="14">
        <f t="shared" si="143"/>
        <v>85.843296751268767</v>
      </c>
      <c r="AL152" s="22">
        <f t="shared" si="112"/>
        <v>795.42553550845741</v>
      </c>
      <c r="AM152" s="62">
        <f t="shared" si="113"/>
        <v>1088.7588688417907</v>
      </c>
      <c r="AN152" s="62">
        <f ca="1">AVERAGE(OFFSET($AM$3,0,0,'Données projet'!$E$10+1,1))-AVERAGE(OFFSET($H$3,0,0,'Données projet'!$E$10+1,1))</f>
        <v>408.65944152905672</v>
      </c>
      <c r="AO152" s="62">
        <f t="shared" si="144"/>
        <v>248.55239719988651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10.777673142579721</v>
      </c>
      <c r="AV152" s="23">
        <f>EXP(-LN(2)/25)*AV151+(1-EXP(-LN(2)/25))/(LN(2)/25)*Calculateur!AQ152*Calculateur!AS152*VLOOKUP('Données projet'!$B$10,Paramètres!$A$1:$I$89,3,0)*0.475*44/12</f>
        <v>6.0688043548061916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16.846477497385912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598.14</v>
      </c>
      <c r="BE152" s="14">
        <f>BD152*VLOOKUP('Données projet'!$B$11,Paramètres!$A$1:$I$89,3,0)*VLOOKUP('Données projet'!$B$11,Paramètres!$A$1:$I$89,5,0)</f>
        <v>578.52100799999994</v>
      </c>
      <c r="BF152" s="14">
        <f t="shared" si="145"/>
        <v>127.15611541885089</v>
      </c>
      <c r="BG152" s="22">
        <f t="shared" si="115"/>
        <v>1229.0543232878317</v>
      </c>
      <c r="BH152" s="62">
        <f t="shared" si="116"/>
        <v>1522.387656621165</v>
      </c>
      <c r="BI152" s="62">
        <f ca="1">AVERAGE(OFFSET($BH$3,0,0,'Données projet'!$E$11+1,1))-AVERAGE(OFFSET($H$3,0,0,'Données projet'!$E$11+1,1))</f>
        <v>643.38601112255424</v>
      </c>
      <c r="BJ152" s="62">
        <f t="shared" si="146"/>
        <v>572.76381622085694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2.0978614606969108</v>
      </c>
      <c r="BQ152" s="23">
        <f>EXP(-LN(2)/25)*BQ151+(1-EXP(-LN(2)/25))/(LN(2)/25)*Calculateur!BL152*Calculateur!BN152*VLOOKUP('Données projet'!$B$11,Paramètres!$A$1:$I$89,3,0)*0.475*44/12</f>
        <v>0.89650380894041171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2.9943652696373224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505.23000000000025</v>
      </c>
      <c r="BZ152" s="14">
        <f>BY152*VLOOKUP('Données projet'!$B$12,Paramètres!$A$1:$I$89,3,0)*VLOOKUP('Données projet'!$B$12,Paramètres!$A$1:$I$89,5,0)</f>
        <v>338.90828400000015</v>
      </c>
      <c r="CA152" s="14">
        <f t="shared" si="147"/>
        <v>79.274348782791407</v>
      </c>
      <c r="CB152" s="22">
        <f t="shared" si="118"/>
        <v>728.33475209669507</v>
      </c>
      <c r="CC152" s="62">
        <f t="shared" si="119"/>
        <v>1021.6680854300284</v>
      </c>
      <c r="CD152" s="62">
        <f ca="1">AVERAGE(OFFSET($CC$3,0,0,'Données projet'!$E$12+1,1))-AVERAGE(OFFSET($H$3,0,0,'Données projet'!$E$12+1,1))</f>
        <v>323.41415875740768</v>
      </c>
      <c r="CE152" s="62">
        <f t="shared" si="148"/>
        <v>496.54020068152101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598.14</v>
      </c>
      <c r="CU152" s="18">
        <f>CT152*VLOOKUP('Données projet'!$B$13,Paramètres!$A$1:$I$89,3,0)*VLOOKUP('Données projet'!$B$13,Paramètres!$A$1:$I$89,5,0)</f>
        <v>643.837896</v>
      </c>
      <c r="CV152" s="14">
        <f t="shared" si="149"/>
        <v>139.76132574448636</v>
      </c>
      <c r="CW152" s="22">
        <f t="shared" si="121"/>
        <v>1364.7686445383138</v>
      </c>
      <c r="CX152" s="62">
        <f t="shared" si="122"/>
        <v>1658.101977871647</v>
      </c>
      <c r="CY152" s="62">
        <f ca="1">AVERAGE(OFFSET($CX$3,0,0,'Données projet'!$E$13+1,1))-AVERAGE(OFFSET($H$3,0,0,'Données projet'!$E$13+1,1))</f>
        <v>720.47588458554264</v>
      </c>
      <c r="CZ152" s="62">
        <f t="shared" si="150"/>
        <v>638.59686934821627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2.3347167869046266</v>
      </c>
      <c r="DG152" s="23">
        <f>EXP(-LN(2)/25)*DG151+(1-EXP(-LN(2)/25))/(LN(2)/25)*Calculateur!DB152*Calculateur!DD152*VLOOKUP('Données projet'!$B$13,Paramètres!$A$1:$I$89,3,0)*0.475*44/12</f>
        <v>0.9977219809175536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3.3324387678221803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751.18</v>
      </c>
      <c r="O153" s="14">
        <f>N153*VLOOKUP('Données projet'!$B$9,Paramètres!$A$1:$I$89,3,0)*VLOOKUP('Données projet'!$B$9,Paramètres!$A$1:$I$89,5,0)</f>
        <v>351.55223999999993</v>
      </c>
      <c r="P153" s="14">
        <f t="shared" si="141"/>
        <v>81.882051211276618</v>
      </c>
      <c r="Q153" s="22">
        <f t="shared" si="108"/>
        <v>754.89805719297328</v>
      </c>
      <c r="R153" s="62">
        <f t="shared" si="109"/>
        <v>1048.2313905263065</v>
      </c>
      <c r="S153" s="62">
        <f ca="1">AVERAGE(OFFSET($R$3,0,0,'Données projet'!$E$9+1,1))-AVERAGE(OFFSET($H$3,0,0,'Données projet'!$E$9+1,1))</f>
        <v>309.95417097673084</v>
      </c>
      <c r="T153" s="62">
        <f t="shared" si="142"/>
        <v>170.83243426024433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2.0174807113533322</v>
      </c>
      <c r="AA153" s="23">
        <f>EXP(-LN(2)/25)*AA152+(1-EXP(-LN(2)/25))/(LN(2)/25)*Calculateur!V153*Calculateur!X153*VLOOKUP('Données projet'!$B$9,Paramètres!$A$1:$I$89,3,0)*0.475*44/12</f>
        <v>5.9337280686081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7.9512087799614317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4.4499999999999931</v>
      </c>
      <c r="AI153" s="14">
        <f>IF('Données projet'!$A$62&gt;35,AI152+AH153-AQ152,IF(A153&lt;'Données projet'!$A$62,$AF$205^A153,IF(A153='Données projet'!$A$62,'Données projet'!$B$62,AI152+AH153-AQ152)))</f>
        <v>370.18999999999869</v>
      </c>
      <c r="AJ153" s="14">
        <f>AI153*VLOOKUP('Données projet'!$B$10,Paramètres!$A$1:$I$89,3,0)*VLOOKUP('Données projet'!$B$10,Paramètres!$A$1:$I$89,5,0)</f>
        <v>375.37265999999869</v>
      </c>
      <c r="AK153" s="14">
        <f t="shared" si="143"/>
        <v>86.76553554354291</v>
      </c>
      <c r="AL153" s="22">
        <f t="shared" si="112"/>
        <v>804.89069057166819</v>
      </c>
      <c r="AM153" s="62">
        <f t="shared" si="113"/>
        <v>1098.2240239050016</v>
      </c>
      <c r="AN153" s="62">
        <f ca="1">AVERAGE(OFFSET($AM$3,0,0,'Données projet'!$E$10+1,1))-AVERAGE(OFFSET($H$3,0,0,'Données projet'!$E$10+1,1))</f>
        <v>408.65944152905672</v>
      </c>
      <c r="AO153" s="62">
        <f t="shared" si="144"/>
        <v>248.55239719988651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10.566329545985248</v>
      </c>
      <c r="AV153" s="23">
        <f>EXP(-LN(2)/25)*AV152+(1-EXP(-LN(2)/25))/(LN(2)/25)*Calculateur!AQ153*Calculateur!AS153*VLOOKUP('Données projet'!$B$10,Paramètres!$A$1:$I$89,3,0)*0.475*44/12</f>
        <v>5.9028525805794656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16.469182126564714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598.14</v>
      </c>
      <c r="BE153" s="14">
        <f>BD153*VLOOKUP('Données projet'!$B$11,Paramètres!$A$1:$I$89,3,0)*VLOOKUP('Données projet'!$B$11,Paramètres!$A$1:$I$89,5,0)</f>
        <v>578.52100799999994</v>
      </c>
      <c r="BF153" s="14">
        <f t="shared" si="145"/>
        <v>127.15611541885089</v>
      </c>
      <c r="BG153" s="22">
        <f t="shared" si="115"/>
        <v>1229.0543232878317</v>
      </c>
      <c r="BH153" s="62">
        <f t="shared" si="116"/>
        <v>1522.387656621165</v>
      </c>
      <c r="BI153" s="62">
        <f ca="1">AVERAGE(OFFSET($BH$3,0,0,'Données projet'!$E$11+1,1))-AVERAGE(OFFSET($H$3,0,0,'Données projet'!$E$11+1,1))</f>
        <v>643.38601112255424</v>
      </c>
      <c r="BJ153" s="62">
        <f t="shared" si="146"/>
        <v>572.76381622085694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2.0567236770217883</v>
      </c>
      <c r="BQ153" s="23">
        <f>EXP(-LN(2)/25)*BQ152+(1-EXP(-LN(2)/25))/(LN(2)/25)*Calculateur!BL153*Calculateur!BN153*VLOOKUP('Données projet'!$B$11,Paramètres!$A$1:$I$89,3,0)*0.475*44/12</f>
        <v>0.87198886513984986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2.9287125421616382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505.23000000000025</v>
      </c>
      <c r="BZ153" s="14">
        <f>BY153*VLOOKUP('Données projet'!$B$12,Paramètres!$A$1:$I$89,3,0)*VLOOKUP('Données projet'!$B$12,Paramètres!$A$1:$I$89,5,0)</f>
        <v>338.90828400000015</v>
      </c>
      <c r="CA153" s="14">
        <f t="shared" si="147"/>
        <v>79.274348782791407</v>
      </c>
      <c r="CB153" s="22">
        <f t="shared" si="118"/>
        <v>728.33475209669507</v>
      </c>
      <c r="CC153" s="62">
        <f t="shared" si="119"/>
        <v>1021.6680854300284</v>
      </c>
      <c r="CD153" s="62">
        <f ca="1">AVERAGE(OFFSET($CC$3,0,0,'Données projet'!$E$12+1,1))-AVERAGE(OFFSET($H$3,0,0,'Données projet'!$E$12+1,1))</f>
        <v>323.41415875740768</v>
      </c>
      <c r="CE153" s="62">
        <f t="shared" si="148"/>
        <v>496.54020068152101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598.14</v>
      </c>
      <c r="CU153" s="18">
        <f>CT153*VLOOKUP('Données projet'!$B$13,Paramètres!$A$1:$I$89,3,0)*VLOOKUP('Données projet'!$B$13,Paramètres!$A$1:$I$89,5,0)</f>
        <v>643.837896</v>
      </c>
      <c r="CV153" s="14">
        <f t="shared" si="149"/>
        <v>139.76132574448636</v>
      </c>
      <c r="CW153" s="22">
        <f t="shared" si="121"/>
        <v>1364.7686445383138</v>
      </c>
      <c r="CX153" s="62">
        <f t="shared" si="122"/>
        <v>1658.101977871647</v>
      </c>
      <c r="CY153" s="62">
        <f ca="1">AVERAGE(OFFSET($CX$3,0,0,'Données projet'!$E$13+1,1))-AVERAGE(OFFSET($H$3,0,0,'Données projet'!$E$13+1,1))</f>
        <v>720.47588458554264</v>
      </c>
      <c r="CZ153" s="62">
        <f t="shared" si="150"/>
        <v>638.59686934821627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2.288934414750055</v>
      </c>
      <c r="DG153" s="23">
        <f>EXP(-LN(2)/25)*DG152+(1-EXP(-LN(2)/25))/(LN(2)/25)*Calculateur!DB153*Calculateur!DD153*VLOOKUP('Données projet'!$B$13,Paramètres!$A$1:$I$89,3,0)*0.475*44/12</f>
        <v>0.97043922088144441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3.2593736356314995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751.18</v>
      </c>
      <c r="O154" s="14">
        <f>N154*VLOOKUP('Données projet'!$B$9,Paramètres!$A$1:$I$89,3,0)*VLOOKUP('Données projet'!$B$9,Paramètres!$A$1:$I$89,5,0)</f>
        <v>351.55223999999993</v>
      </c>
      <c r="P154" s="14">
        <f t="shared" si="141"/>
        <v>81.882051211276618</v>
      </c>
      <c r="Q154" s="22">
        <f t="shared" ref="Q154:Q203" si="162">(O154+P154)*0.475*44/12</f>
        <v>754.89805719297328</v>
      </c>
      <c r="R154" s="62">
        <f t="shared" si="109"/>
        <v>1048.2313905263065</v>
      </c>
      <c r="S154" s="62">
        <f ca="1">AVERAGE(OFFSET($R$3,0,0,'Données projet'!$E$9+1,1))-AVERAGE(OFFSET($H$3,0,0,'Données projet'!$E$9+1,1))</f>
        <v>309.95417097673084</v>
      </c>
      <c r="T154" s="62">
        <f t="shared" si="142"/>
        <v>170.83243426024433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1.9779191451454214</v>
      </c>
      <c r="AA154" s="23">
        <f>EXP(-LN(2)/25)*AA153+(1-EXP(-LN(2)/25))/(LN(2)/25)*Calculateur!V154*Calculateur!X154*VLOOKUP('Données projet'!$B$9,Paramètres!$A$1:$I$89,3,0)*0.475*44/12</f>
        <v>5.7714699625308139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7.7493891076762349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4.4499999999999931</v>
      </c>
      <c r="AI154" s="14">
        <f>IF('Données projet'!$A$62&gt;35,AI153+AH154-AQ153,IF(A154&lt;'Données projet'!$A$62,$AF$205^A154,IF(A154='Données projet'!$A$62,'Données projet'!$B$62,AI153+AH154-AQ153)))</f>
        <v>374.63999999999868</v>
      </c>
      <c r="AJ154" s="14">
        <f>AI154*VLOOKUP('Données projet'!$B$10,Paramètres!$A$1:$I$89,3,0)*VLOOKUP('Données projet'!$B$10,Paramètres!$A$1:$I$89,5,0)</f>
        <v>379.88495999999867</v>
      </c>
      <c r="AK154" s="14">
        <f t="shared" ref="AK154:AK203" si="164">EXP(-1.0587+0.8836*LN(AJ154)+0.284)</f>
        <v>87.686484783540919</v>
      </c>
      <c r="AL154" s="22">
        <f t="shared" ref="AL154:AL203" si="165">(AJ154+AK154)*0.475*44/12</f>
        <v>814.35359966466478</v>
      </c>
      <c r="AM154" s="62">
        <f t="shared" si="113"/>
        <v>1107.6869329979982</v>
      </c>
      <c r="AN154" s="62">
        <f ca="1">AVERAGE(OFFSET($AM$3,0,0,'Données projet'!$E$10+1,1))-AVERAGE(OFFSET($H$3,0,0,'Données projet'!$E$10+1,1))</f>
        <v>408.65944152905672</v>
      </c>
      <c r="AO154" s="62">
        <f t="shared" si="144"/>
        <v>248.55239719988651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10.359130268413127</v>
      </c>
      <c r="AV154" s="23">
        <f>EXP(-LN(2)/25)*AV153+(1-EXP(-LN(2)/25))/(LN(2)/25)*Calculateur!AQ154*Calculateur!AS154*VLOOKUP('Données projet'!$B$10,Paramètres!$A$1:$I$89,3,0)*0.475*44/12</f>
        <v>5.7414387663459943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16.100569034759122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598.14</v>
      </c>
      <c r="BE154" s="14">
        <f>BD154*VLOOKUP('Données projet'!$B$11,Paramètres!$A$1:$I$89,3,0)*VLOOKUP('Données projet'!$B$11,Paramètres!$A$1:$I$89,5,0)</f>
        <v>578.52100799999994</v>
      </c>
      <c r="BF154" s="14">
        <f t="shared" ref="BF154:BF203" si="167">EXP(-1.0587+0.8836*LN(BE154)+0.284)</f>
        <v>127.15611541885089</v>
      </c>
      <c r="BG154" s="22">
        <f t="shared" ref="BG154:BG203" si="168">(BE154+BF154)*0.475*44/12</f>
        <v>1229.0543232878317</v>
      </c>
      <c r="BH154" s="62">
        <f t="shared" si="116"/>
        <v>1522.387656621165</v>
      </c>
      <c r="BI154" s="62">
        <f ca="1">AVERAGE(OFFSET($BH$3,0,0,'Données projet'!$E$11+1,1))-AVERAGE(OFFSET($H$3,0,0,'Données projet'!$E$11+1,1))</f>
        <v>643.38601112255424</v>
      </c>
      <c r="BJ154" s="62">
        <f t="shared" si="146"/>
        <v>572.76381622085694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2.0163925801929645</v>
      </c>
      <c r="BQ154" s="23">
        <f>EXP(-LN(2)/25)*BQ153+(1-EXP(-LN(2)/25))/(LN(2)/25)*Calculateur!BL154*Calculateur!BN154*VLOOKUP('Données projet'!$B$11,Paramètres!$A$1:$I$89,3,0)*0.475*44/12</f>
        <v>0.84814428376669915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2.8645368639596636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505.23000000000025</v>
      </c>
      <c r="BZ154" s="14">
        <f>BY154*VLOOKUP('Données projet'!$B$12,Paramètres!$A$1:$I$89,3,0)*VLOOKUP('Données projet'!$B$12,Paramètres!$A$1:$I$89,5,0)</f>
        <v>338.90828400000015</v>
      </c>
      <c r="CA154" s="14">
        <f t="shared" ref="CA154:CA203" si="170">EXP(-1.0587+0.8836*LN(BZ154)+0.284)</f>
        <v>79.274348782791407</v>
      </c>
      <c r="CB154" s="22">
        <f t="shared" ref="CB154:CB203" si="171">(BZ154+CA154)*0.475*44/12</f>
        <v>728.33475209669507</v>
      </c>
      <c r="CC154" s="62">
        <f t="shared" si="119"/>
        <v>1021.6680854300284</v>
      </c>
      <c r="CD154" s="62">
        <f ca="1">AVERAGE(OFFSET($CC$3,0,0,'Données projet'!$E$12+1,1))-AVERAGE(OFFSET($H$3,0,0,'Données projet'!$E$12+1,1))</f>
        <v>323.41415875740768</v>
      </c>
      <c r="CE154" s="62">
        <f t="shared" si="148"/>
        <v>496.54020068152101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598.14</v>
      </c>
      <c r="CU154" s="18">
        <f>CT154*VLOOKUP('Données projet'!$B$13,Paramètres!$A$1:$I$89,3,0)*VLOOKUP('Données projet'!$B$13,Paramètres!$A$1:$I$89,5,0)</f>
        <v>643.837896</v>
      </c>
      <c r="CV154" s="14">
        <f t="shared" ref="CV154:CV203" si="173">EXP(-1.0587+0.8836*LN(CU154)+0.284)</f>
        <v>139.76132574448636</v>
      </c>
      <c r="CW154" s="22">
        <f t="shared" ref="CW154:CW203" si="174">(CU154+CV154)*0.475*44/12</f>
        <v>1364.7686445383138</v>
      </c>
      <c r="CX154" s="62">
        <f t="shared" si="122"/>
        <v>1658.101977871647</v>
      </c>
      <c r="CY154" s="62">
        <f ca="1">AVERAGE(OFFSET($CX$3,0,0,'Données projet'!$E$13+1,1))-AVERAGE(OFFSET($H$3,0,0,'Données projet'!$E$13+1,1))</f>
        <v>720.47588458554264</v>
      </c>
      <c r="CZ154" s="62">
        <f t="shared" si="150"/>
        <v>638.59686934821627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2.244049806988945</v>
      </c>
      <c r="DG154" s="23">
        <f>EXP(-LN(2)/25)*DG153+(1-EXP(-LN(2)/25))/(LN(2)/25)*Calculateur!DB154*Calculateur!DD154*VLOOKUP('Données projet'!$B$13,Paramètres!$A$1:$I$89,3,0)*0.475*44/12</f>
        <v>0.9439025093532607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3.1879523163422059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751.18</v>
      </c>
      <c r="O155" s="14">
        <f>N155*VLOOKUP('Données projet'!$B$9,Paramètres!$A$1:$I$89,3,0)*VLOOKUP('Données projet'!$B$9,Paramètres!$A$1:$I$89,5,0)</f>
        <v>351.55223999999993</v>
      </c>
      <c r="P155" s="14">
        <f t="shared" si="141"/>
        <v>81.882051211276618</v>
      </c>
      <c r="Q155" s="22">
        <f t="shared" si="162"/>
        <v>754.89805719297328</v>
      </c>
      <c r="R155" s="62">
        <f t="shared" si="109"/>
        <v>1048.2313905263065</v>
      </c>
      <c r="S155" s="62">
        <f ca="1">AVERAGE(OFFSET($R$3,0,0,'Données projet'!$E$9+1,1))-AVERAGE(OFFSET($H$3,0,0,'Données projet'!$E$9+1,1))</f>
        <v>309.95417097673084</v>
      </c>
      <c r="T155" s="62">
        <f t="shared" si="142"/>
        <v>170.83243426024433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1.939133357120675</v>
      </c>
      <c r="AA155" s="23">
        <f>EXP(-LN(2)/25)*AA154+(1-EXP(-LN(2)/25))/(LN(2)/25)*Calculateur!V155*Calculateur!X155*VLOOKUP('Données projet'!$B$9,Paramètres!$A$1:$I$89,3,0)*0.475*44/12</f>
        <v>5.6136488128969946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7.5527821700176698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4.4499999999999931</v>
      </c>
      <c r="AI155" s="14">
        <f>IF('Données projet'!$A$62&gt;35,AI154+AH155-AQ154,IF(A155&lt;'Données projet'!$A$62,$AF$205^A155,IF(A155='Données projet'!$A$62,'Données projet'!$B$62,AI154+AH155-AQ154)))</f>
        <v>379.08999999999867</v>
      </c>
      <c r="AJ155" s="14">
        <f>AI155*VLOOKUP('Données projet'!$B$10,Paramètres!$A$1:$I$89,3,0)*VLOOKUP('Données projet'!$B$10,Paramètres!$A$1:$I$89,5,0)</f>
        <v>384.39725999999871</v>
      </c>
      <c r="AK155" s="14">
        <f t="shared" si="164"/>
        <v>88.606161560590792</v>
      </c>
      <c r="AL155" s="22">
        <f t="shared" si="165"/>
        <v>823.81429255136015</v>
      </c>
      <c r="AM155" s="62">
        <f t="shared" si="113"/>
        <v>1117.1476258846935</v>
      </c>
      <c r="AN155" s="62">
        <f ca="1">AVERAGE(OFFSET($AM$3,0,0,'Données projet'!$E$10+1,1))-AVERAGE(OFFSET($H$3,0,0,'Données projet'!$E$10+1,1))</f>
        <v>408.65944152905672</v>
      </c>
      <c r="AO155" s="62">
        <f t="shared" si="144"/>
        <v>248.55239719988651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10.155994042295115</v>
      </c>
      <c r="AV155" s="23">
        <f>EXP(-LN(2)/25)*AV154+(1-EXP(-LN(2)/25))/(LN(2)/25)*Calculateur!AQ155*Calculateur!AS155*VLOOKUP('Données projet'!$B$10,Paramètres!$A$1:$I$89,3,0)*0.475*44/12</f>
        <v>5.5844388213511209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15.740432863646236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598.14</v>
      </c>
      <c r="BE155" s="14">
        <f>BD155*VLOOKUP('Données projet'!$B$11,Paramètres!$A$1:$I$89,3,0)*VLOOKUP('Données projet'!$B$11,Paramètres!$A$1:$I$89,5,0)</f>
        <v>578.52100799999994</v>
      </c>
      <c r="BF155" s="14">
        <f t="shared" si="167"/>
        <v>127.15611541885089</v>
      </c>
      <c r="BG155" s="22">
        <f t="shared" si="168"/>
        <v>1229.0543232878317</v>
      </c>
      <c r="BH155" s="62">
        <f t="shared" si="116"/>
        <v>1522.387656621165</v>
      </c>
      <c r="BI155" s="62">
        <f ca="1">AVERAGE(OFFSET($BH$3,0,0,'Données projet'!$E$11+1,1))-AVERAGE(OFFSET($H$3,0,0,'Données projet'!$E$11+1,1))</f>
        <v>643.38601112255424</v>
      </c>
      <c r="BJ155" s="62">
        <f t="shared" si="146"/>
        <v>572.76381622085694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1.976852351573414</v>
      </c>
      <c r="BQ155" s="23">
        <f>EXP(-LN(2)/25)*BQ154+(1-EXP(-LN(2)/25))/(LN(2)/25)*Calculateur!BL155*Calculateur!BN155*VLOOKUP('Données projet'!$B$11,Paramètres!$A$1:$I$89,3,0)*0.475*44/12</f>
        <v>0.82495173372512931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2.8018040852985431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505.23000000000025</v>
      </c>
      <c r="BZ155" s="14">
        <f>BY155*VLOOKUP('Données projet'!$B$12,Paramètres!$A$1:$I$89,3,0)*VLOOKUP('Données projet'!$B$12,Paramètres!$A$1:$I$89,5,0)</f>
        <v>338.90828400000015</v>
      </c>
      <c r="CA155" s="14">
        <f t="shared" si="170"/>
        <v>79.274348782791407</v>
      </c>
      <c r="CB155" s="22">
        <f t="shared" si="171"/>
        <v>728.33475209669507</v>
      </c>
      <c r="CC155" s="62">
        <f t="shared" si="119"/>
        <v>1021.6680854300284</v>
      </c>
      <c r="CD155" s="62">
        <f ca="1">AVERAGE(OFFSET($CC$3,0,0,'Données projet'!$E$12+1,1))-AVERAGE(OFFSET($H$3,0,0,'Données projet'!$E$12+1,1))</f>
        <v>323.41415875740768</v>
      </c>
      <c r="CE155" s="62">
        <f t="shared" si="148"/>
        <v>496.54020068152101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598.14</v>
      </c>
      <c r="CU155" s="18">
        <f>CT155*VLOOKUP('Données projet'!$B$13,Paramètres!$A$1:$I$89,3,0)*VLOOKUP('Données projet'!$B$13,Paramètres!$A$1:$I$89,5,0)</f>
        <v>643.837896</v>
      </c>
      <c r="CV155" s="14">
        <f t="shared" si="173"/>
        <v>139.76132574448636</v>
      </c>
      <c r="CW155" s="22">
        <f t="shared" si="174"/>
        <v>1364.7686445383138</v>
      </c>
      <c r="CX155" s="62">
        <f t="shared" si="122"/>
        <v>1658.101977871647</v>
      </c>
      <c r="CY155" s="62">
        <f ca="1">AVERAGE(OFFSET($CX$3,0,0,'Données projet'!$E$13+1,1))-AVERAGE(OFFSET($H$3,0,0,'Données projet'!$E$13+1,1))</f>
        <v>720.47588458554264</v>
      </c>
      <c r="CZ155" s="62">
        <f t="shared" si="150"/>
        <v>638.59686934821627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2.2000453590091227</v>
      </c>
      <c r="DG155" s="23">
        <f>EXP(-LN(2)/25)*DG154+(1-EXP(-LN(2)/25))/(LN(2)/25)*Calculateur!DB155*Calculateur!DD155*VLOOKUP('Données projet'!$B$13,Paramètres!$A$1:$I$89,3,0)*0.475*44/12</f>
        <v>0.91809144559732014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3.1181368046064426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751.18</v>
      </c>
      <c r="O156" s="14">
        <f>N156*VLOOKUP('Données projet'!$B$9,Paramètres!$A$1:$I$89,3,0)*VLOOKUP('Données projet'!$B$9,Paramètres!$A$1:$I$89,5,0)</f>
        <v>351.55223999999993</v>
      </c>
      <c r="P156" s="14">
        <f t="shared" si="141"/>
        <v>81.882051211276618</v>
      </c>
      <c r="Q156" s="22">
        <f t="shared" si="162"/>
        <v>754.89805719297328</v>
      </c>
      <c r="R156" s="62">
        <f t="shared" si="109"/>
        <v>1048.2313905263065</v>
      </c>
      <c r="S156" s="62">
        <f ca="1">AVERAGE(OFFSET($R$3,0,0,'Données projet'!$E$9+1,1))-AVERAGE(OFFSET($H$3,0,0,'Données projet'!$E$9+1,1))</f>
        <v>309.95417097673084</v>
      </c>
      <c r="T156" s="62">
        <f t="shared" si="142"/>
        <v>170.83243426024433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1.9011081347420991</v>
      </c>
      <c r="AA156" s="23">
        <f>EXP(-LN(2)/25)*AA155+(1-EXP(-LN(2)/25))/(LN(2)/25)*Calculateur!V156*Calculateur!X156*VLOOKUP('Données projet'!$B$9,Paramètres!$A$1:$I$89,3,0)*0.475*44/12</f>
        <v>5.4601432908993655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7.3612514256414645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4.4499999999999931</v>
      </c>
      <c r="AI156" s="14">
        <f>IF('Données projet'!$A$62&gt;35,AI155+AH156-AQ155,IF(A156&lt;'Données projet'!$A$62,$AF$205^A156,IF(A156='Données projet'!$A$62,'Données projet'!$B$62,AI155+AH156-AQ155)))</f>
        <v>383.53999999999866</v>
      </c>
      <c r="AJ156" s="14">
        <f>AI156*VLOOKUP('Données projet'!$B$10,Paramètres!$A$1:$I$89,3,0)*VLOOKUP('Données projet'!$B$10,Paramètres!$A$1:$I$89,5,0)</f>
        <v>388.90955999999869</v>
      </c>
      <c r="AK156" s="14">
        <f t="shared" si="164"/>
        <v>89.5245825397202</v>
      </c>
      <c r="AL156" s="22">
        <f t="shared" si="165"/>
        <v>833.27279825667711</v>
      </c>
      <c r="AM156" s="62">
        <f t="shared" si="113"/>
        <v>1126.6061315900104</v>
      </c>
      <c r="AN156" s="62">
        <f ca="1">AVERAGE(OFFSET($AM$3,0,0,'Données projet'!$E$10+1,1))-AVERAGE(OFFSET($H$3,0,0,'Données projet'!$E$10+1,1))</f>
        <v>408.65944152905672</v>
      </c>
      <c r="AO156" s="62">
        <f t="shared" si="144"/>
        <v>248.55239719988651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9.956841193670412</v>
      </c>
      <c r="AV156" s="23">
        <f>EXP(-LN(2)/25)*AV155+(1-EXP(-LN(2)/25))/(LN(2)/25)*Calculateur!AQ156*Calculateur!AS156*VLOOKUP('Données projet'!$B$10,Paramètres!$A$1:$I$89,3,0)*0.475*44/12</f>
        <v>5.4317320481084002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15.388573241778811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598.14</v>
      </c>
      <c r="BE156" s="14">
        <f>BD156*VLOOKUP('Données projet'!$B$11,Paramètres!$A$1:$I$89,3,0)*VLOOKUP('Données projet'!$B$11,Paramètres!$A$1:$I$89,5,0)</f>
        <v>578.52100799999994</v>
      </c>
      <c r="BF156" s="14">
        <f t="shared" si="167"/>
        <v>127.15611541885089</v>
      </c>
      <c r="BG156" s="22">
        <f t="shared" si="168"/>
        <v>1229.0543232878317</v>
      </c>
      <c r="BH156" s="62">
        <f t="shared" si="116"/>
        <v>1522.387656621165</v>
      </c>
      <c r="BI156" s="62">
        <f ca="1">AVERAGE(OFFSET($BH$3,0,0,'Données projet'!$E$11+1,1))-AVERAGE(OFFSET($H$3,0,0,'Données projet'!$E$11+1,1))</f>
        <v>643.38601112255424</v>
      </c>
      <c r="BJ156" s="62">
        <f t="shared" si="146"/>
        <v>572.76381622085694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1.9380874827199348</v>
      </c>
      <c r="BQ156" s="23">
        <f>EXP(-LN(2)/25)*BQ155+(1-EXP(-LN(2)/25))/(LN(2)/25)*Calculateur!BL156*Calculateur!BN156*VLOOKUP('Données projet'!$B$11,Paramètres!$A$1:$I$89,3,0)*0.475*44/12</f>
        <v>0.80239338518408942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2.740480867904024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505.23000000000025</v>
      </c>
      <c r="BZ156" s="14">
        <f>BY156*VLOOKUP('Données projet'!$B$12,Paramètres!$A$1:$I$89,3,0)*VLOOKUP('Données projet'!$B$12,Paramètres!$A$1:$I$89,5,0)</f>
        <v>338.90828400000015</v>
      </c>
      <c r="CA156" s="14">
        <f t="shared" si="170"/>
        <v>79.274348782791407</v>
      </c>
      <c r="CB156" s="22">
        <f t="shared" si="171"/>
        <v>728.33475209669507</v>
      </c>
      <c r="CC156" s="62">
        <f t="shared" si="119"/>
        <v>1021.6680854300284</v>
      </c>
      <c r="CD156" s="62">
        <f ca="1">AVERAGE(OFFSET($CC$3,0,0,'Données projet'!$E$12+1,1))-AVERAGE(OFFSET($H$3,0,0,'Données projet'!$E$12+1,1))</f>
        <v>323.41415875740768</v>
      </c>
      <c r="CE156" s="62">
        <f t="shared" si="148"/>
        <v>496.54020068152101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598.14</v>
      </c>
      <c r="CU156" s="18">
        <f>CT156*VLOOKUP('Données projet'!$B$13,Paramètres!$A$1:$I$89,3,0)*VLOOKUP('Données projet'!$B$13,Paramètres!$A$1:$I$89,5,0)</f>
        <v>643.837896</v>
      </c>
      <c r="CV156" s="14">
        <f t="shared" si="173"/>
        <v>139.76132574448636</v>
      </c>
      <c r="CW156" s="22">
        <f t="shared" si="174"/>
        <v>1364.7686445383138</v>
      </c>
      <c r="CX156" s="62">
        <f t="shared" si="122"/>
        <v>1658.101977871647</v>
      </c>
      <c r="CY156" s="62">
        <f ca="1">AVERAGE(OFFSET($CX$3,0,0,'Données projet'!$E$13+1,1))-AVERAGE(OFFSET($H$3,0,0,'Données projet'!$E$13+1,1))</f>
        <v>720.47588458554264</v>
      </c>
      <c r="CZ156" s="62">
        <f t="shared" si="150"/>
        <v>638.59686934821627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2.1569038114141215</v>
      </c>
      <c r="DG156" s="23">
        <f>EXP(-LN(2)/25)*DG155+(1-EXP(-LN(2)/25))/(LN(2)/25)*Calculateur!DB156*Calculateur!DD156*VLOOKUP('Données projet'!$B$13,Paramètres!$A$1:$I$89,3,0)*0.475*44/12</f>
        <v>0.89298618673713059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3.0498899981512522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751.18</v>
      </c>
      <c r="O157" s="14">
        <f>N157*VLOOKUP('Données projet'!$B$9,Paramètres!$A$1:$I$89,3,0)*VLOOKUP('Données projet'!$B$9,Paramètres!$A$1:$I$89,5,0)</f>
        <v>351.55223999999993</v>
      </c>
      <c r="P157" s="14">
        <f t="shared" si="141"/>
        <v>81.882051211276618</v>
      </c>
      <c r="Q157" s="22">
        <f t="shared" si="162"/>
        <v>754.89805719297328</v>
      </c>
      <c r="R157" s="62">
        <f t="shared" si="109"/>
        <v>1048.2313905263065</v>
      </c>
      <c r="S157" s="62">
        <f ca="1">AVERAGE(OFFSET($R$3,0,0,'Données projet'!$E$9+1,1))-AVERAGE(OFFSET($H$3,0,0,'Données projet'!$E$9+1,1))</f>
        <v>309.95417097673084</v>
      </c>
      <c r="T157" s="62">
        <f t="shared" si="142"/>
        <v>170.83243426024433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1.8638285637812715</v>
      </c>
      <c r="AA157" s="23">
        <f>EXP(-LN(2)/25)*AA156+(1-EXP(-LN(2)/25))/(LN(2)/25)*Calculateur!V157*Calculateur!X157*VLOOKUP('Données projet'!$B$9,Paramètres!$A$1:$I$89,3,0)*0.475*44/12</f>
        <v>5.3108353854732657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7.174663949254537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4.4499999999999931</v>
      </c>
      <c r="AI157" s="14">
        <f>IF('Données projet'!$A$62&gt;35,AI156+AH157-AQ156,IF(A157&lt;'Données projet'!$A$62,$AF$205^A157,IF(A157='Données projet'!$A$62,'Données projet'!$B$62,AI156+AH157-AQ156)))</f>
        <v>387.98999999999864</v>
      </c>
      <c r="AJ157" s="14">
        <f>AI157*VLOOKUP('Données projet'!$B$10,Paramètres!$A$1:$I$89,3,0)*VLOOKUP('Données projet'!$B$10,Paramètres!$A$1:$I$89,5,0)</f>
        <v>393.42185999999862</v>
      </c>
      <c r="AK157" s="14">
        <f t="shared" si="164"/>
        <v>90.441763976989193</v>
      </c>
      <c r="AL157" s="22">
        <f t="shared" si="165"/>
        <v>842.72914509325381</v>
      </c>
      <c r="AM157" s="62">
        <f t="shared" si="113"/>
        <v>1136.0624784265872</v>
      </c>
      <c r="AN157" s="62">
        <f ca="1">AVERAGE(OFFSET($AM$3,0,0,'Données projet'!$E$10+1,1))-AVERAGE(OFFSET($H$3,0,0,'Données projet'!$E$10+1,1))</f>
        <v>408.65944152905672</v>
      </c>
      <c r="AO157" s="62">
        <f t="shared" si="144"/>
        <v>248.55239719988651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9.7615936109359964</v>
      </c>
      <c r="AV157" s="23">
        <f>EXP(-LN(2)/25)*AV156+(1-EXP(-LN(2)/25))/(LN(2)/25)*Calculateur!AQ157*Calculateur!AS157*VLOOKUP('Données projet'!$B$10,Paramètres!$A$1:$I$89,3,0)*0.475*44/12</f>
        <v>5.2832010496105015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15.044794660546497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598.14</v>
      </c>
      <c r="BE157" s="14">
        <f>BD157*VLOOKUP('Données projet'!$B$11,Paramètres!$A$1:$I$89,3,0)*VLOOKUP('Données projet'!$B$11,Paramètres!$A$1:$I$89,5,0)</f>
        <v>578.52100799999994</v>
      </c>
      <c r="BF157" s="14">
        <f t="shared" si="167"/>
        <v>127.15611541885089</v>
      </c>
      <c r="BG157" s="22">
        <f t="shared" si="168"/>
        <v>1229.0543232878317</v>
      </c>
      <c r="BH157" s="62">
        <f t="shared" si="116"/>
        <v>1522.387656621165</v>
      </c>
      <c r="BI157" s="62">
        <f ca="1">AVERAGE(OFFSET($BH$3,0,0,'Données projet'!$E$11+1,1))-AVERAGE(OFFSET($H$3,0,0,'Données projet'!$E$11+1,1))</f>
        <v>643.38601112255424</v>
      </c>
      <c r="BJ157" s="62">
        <f t="shared" si="146"/>
        <v>572.76381622085694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1.900082769300437</v>
      </c>
      <c r="BQ157" s="23">
        <f>EXP(-LN(2)/25)*BQ156+(1-EXP(-LN(2)/25))/(LN(2)/25)*Calculateur!BL157*Calculateur!BN157*VLOOKUP('Données projet'!$B$11,Paramètres!$A$1:$I$89,3,0)*0.475*44/12</f>
        <v>0.78045189587019625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2.680534665170633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505.23000000000025</v>
      </c>
      <c r="BZ157" s="14">
        <f>BY157*VLOOKUP('Données projet'!$B$12,Paramètres!$A$1:$I$89,3,0)*VLOOKUP('Données projet'!$B$12,Paramètres!$A$1:$I$89,5,0)</f>
        <v>338.90828400000015</v>
      </c>
      <c r="CA157" s="14">
        <f t="shared" si="170"/>
        <v>79.274348782791407</v>
      </c>
      <c r="CB157" s="22">
        <f t="shared" si="171"/>
        <v>728.33475209669507</v>
      </c>
      <c r="CC157" s="62">
        <f t="shared" si="119"/>
        <v>1021.6680854300284</v>
      </c>
      <c r="CD157" s="62">
        <f ca="1">AVERAGE(OFFSET($CC$3,0,0,'Données projet'!$E$12+1,1))-AVERAGE(OFFSET($H$3,0,0,'Données projet'!$E$12+1,1))</f>
        <v>323.41415875740768</v>
      </c>
      <c r="CE157" s="62">
        <f t="shared" si="148"/>
        <v>496.54020068152101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598.14</v>
      </c>
      <c r="CU157" s="18">
        <f>CT157*VLOOKUP('Données projet'!$B$13,Paramètres!$A$1:$I$89,3,0)*VLOOKUP('Données projet'!$B$13,Paramètres!$A$1:$I$89,5,0)</f>
        <v>643.837896</v>
      </c>
      <c r="CV157" s="14">
        <f t="shared" si="173"/>
        <v>139.76132574448636</v>
      </c>
      <c r="CW157" s="22">
        <f t="shared" si="174"/>
        <v>1364.7686445383138</v>
      </c>
      <c r="CX157" s="62">
        <f t="shared" si="122"/>
        <v>1658.101977871647</v>
      </c>
      <c r="CY157" s="62">
        <f ca="1">AVERAGE(OFFSET($CX$3,0,0,'Données projet'!$E$13+1,1))-AVERAGE(OFFSET($H$3,0,0,'Données projet'!$E$13+1,1))</f>
        <v>720.47588458554264</v>
      </c>
      <c r="CZ157" s="62">
        <f t="shared" si="150"/>
        <v>638.59686934821627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2.1146082432537128</v>
      </c>
      <c r="DG157" s="23">
        <f>EXP(-LN(2)/25)*DG156+(1-EXP(-LN(2)/25))/(LN(2)/25)*Calculateur!DB157*Calculateur!DD157*VLOOKUP('Données projet'!$B$13,Paramètres!$A$1:$I$89,3,0)*0.475*44/12</f>
        <v>0.86856743250070112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2.9831756757544139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751.18</v>
      </c>
      <c r="O158" s="14">
        <f>N158*VLOOKUP('Données projet'!$B$9,Paramètres!$A$1:$I$89,3,0)*VLOOKUP('Données projet'!$B$9,Paramètres!$A$1:$I$89,5,0)</f>
        <v>351.55223999999993</v>
      </c>
      <c r="P158" s="14">
        <f t="shared" si="141"/>
        <v>81.882051211276618</v>
      </c>
      <c r="Q158" s="22">
        <f t="shared" si="162"/>
        <v>754.89805719297328</v>
      </c>
      <c r="R158" s="62">
        <f t="shared" si="109"/>
        <v>1048.2313905263065</v>
      </c>
      <c r="S158" s="62">
        <f ca="1">AVERAGE(OFFSET($R$3,0,0,'Données projet'!$E$9+1,1))-AVERAGE(OFFSET($H$3,0,0,'Données projet'!$E$9+1,1))</f>
        <v>309.95417097673084</v>
      </c>
      <c r="T158" s="62">
        <f t="shared" si="142"/>
        <v>170.83243426024433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1.8272800224686927</v>
      </c>
      <c r="AA158" s="23">
        <f>EXP(-LN(2)/25)*AA157+(1-EXP(-LN(2)/25))/(LN(2)/25)*Calculateur!V158*Calculateur!X158*VLOOKUP('Données projet'!$B$9,Paramètres!$A$1:$I$89,3,0)*0.475*44/12</f>
        <v>5.1656103125728041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6.9928903350414968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4.4499999999999931</v>
      </c>
      <c r="AI158" s="14">
        <f>IF('Données projet'!$A$62&gt;35,AI157+AH158-AQ157,IF(A158&lt;'Données projet'!$A$62,$AF$205^A158,IF(A158='Données projet'!$A$62,'Données projet'!$B$62,AI157+AH158-AQ157)))</f>
        <v>392.43999999999863</v>
      </c>
      <c r="AJ158" s="14">
        <f>AI158*VLOOKUP('Données projet'!$B$10,Paramètres!$A$1:$I$89,3,0)*VLOOKUP('Données projet'!$B$10,Paramètres!$A$1:$I$89,5,0)</f>
        <v>397.93415999999866</v>
      </c>
      <c r="AK158" s="14">
        <f t="shared" si="164"/>
        <v>91.357721734099457</v>
      </c>
      <c r="AL158" s="22">
        <f t="shared" si="165"/>
        <v>852.18336068688757</v>
      </c>
      <c r="AM158" s="62">
        <f t="shared" si="113"/>
        <v>1145.5166940202209</v>
      </c>
      <c r="AN158" s="62">
        <f ca="1">AVERAGE(OFFSET($AM$3,0,0,'Données projet'!$E$10+1,1))-AVERAGE(OFFSET($H$3,0,0,'Données projet'!$E$10+1,1))</f>
        <v>408.65944152905672</v>
      </c>
      <c r="AO158" s="62">
        <f t="shared" si="144"/>
        <v>248.55239719988651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9.5701747142097364</v>
      </c>
      <c r="AV158" s="23">
        <f>EXP(-LN(2)/25)*AV157+(1-EXP(-LN(2)/25))/(LN(2)/25)*Calculateur!AQ158*Calculateur!AS158*VLOOKUP('Données projet'!$B$10,Paramètres!$A$1:$I$89,3,0)*0.475*44/12</f>
        <v>5.1387316390774345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14.708906353287171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598.14</v>
      </c>
      <c r="BE158" s="14">
        <f>BD158*VLOOKUP('Données projet'!$B$11,Paramètres!$A$1:$I$89,3,0)*VLOOKUP('Données projet'!$B$11,Paramètres!$A$1:$I$89,5,0)</f>
        <v>578.52100799999994</v>
      </c>
      <c r="BF158" s="14">
        <f t="shared" si="167"/>
        <v>127.15611541885089</v>
      </c>
      <c r="BG158" s="22">
        <f t="shared" si="168"/>
        <v>1229.0543232878317</v>
      </c>
      <c r="BH158" s="62">
        <f t="shared" si="116"/>
        <v>1522.387656621165</v>
      </c>
      <c r="BI158" s="62">
        <f ca="1">AVERAGE(OFFSET($BH$3,0,0,'Données projet'!$E$11+1,1))-AVERAGE(OFFSET($H$3,0,0,'Données projet'!$E$11+1,1))</f>
        <v>643.38601112255424</v>
      </c>
      <c r="BJ158" s="62">
        <f t="shared" si="146"/>
        <v>572.76381622085694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1.8628233051305092</v>
      </c>
      <c r="BQ158" s="23">
        <f>EXP(-LN(2)/25)*BQ157+(1-EXP(-LN(2)/25))/(LN(2)/25)*Calculateur!BL158*Calculateur!BN158*VLOOKUP('Données projet'!$B$11,Paramètres!$A$1:$I$89,3,0)*0.475*44/12</f>
        <v>0.75911039773544431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2.6219337028659533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505.23000000000025</v>
      </c>
      <c r="BZ158" s="14">
        <f>BY158*VLOOKUP('Données projet'!$B$12,Paramètres!$A$1:$I$89,3,0)*VLOOKUP('Données projet'!$B$12,Paramètres!$A$1:$I$89,5,0)</f>
        <v>338.90828400000015</v>
      </c>
      <c r="CA158" s="14">
        <f t="shared" si="170"/>
        <v>79.274348782791407</v>
      </c>
      <c r="CB158" s="22">
        <f t="shared" si="171"/>
        <v>728.33475209669507</v>
      </c>
      <c r="CC158" s="62">
        <f t="shared" si="119"/>
        <v>1021.6680854300284</v>
      </c>
      <c r="CD158" s="62">
        <f ca="1">AVERAGE(OFFSET($CC$3,0,0,'Données projet'!$E$12+1,1))-AVERAGE(OFFSET($H$3,0,0,'Données projet'!$E$12+1,1))</f>
        <v>323.41415875740768</v>
      </c>
      <c r="CE158" s="62">
        <f t="shared" si="148"/>
        <v>496.54020068152101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598.14</v>
      </c>
      <c r="CU158" s="18">
        <f>CT158*VLOOKUP('Données projet'!$B$13,Paramètres!$A$1:$I$89,3,0)*VLOOKUP('Données projet'!$B$13,Paramètres!$A$1:$I$89,5,0)</f>
        <v>643.837896</v>
      </c>
      <c r="CV158" s="14">
        <f t="shared" si="173"/>
        <v>139.76132574448636</v>
      </c>
      <c r="CW158" s="22">
        <f t="shared" si="174"/>
        <v>1364.7686445383138</v>
      </c>
      <c r="CX158" s="62">
        <f t="shared" si="122"/>
        <v>1658.101977871647</v>
      </c>
      <c r="CY158" s="62">
        <f ca="1">AVERAGE(OFFSET($CX$3,0,0,'Données projet'!$E$13+1,1))-AVERAGE(OFFSET($H$3,0,0,'Données projet'!$E$13+1,1))</f>
        <v>720.47588458554264</v>
      </c>
      <c r="CZ158" s="62">
        <f t="shared" si="150"/>
        <v>638.59686934821627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2.0731420653871804</v>
      </c>
      <c r="DG158" s="23">
        <f>EXP(-LN(2)/25)*DG157+(1-EXP(-LN(2)/25))/(LN(2)/25)*Calculateur!DB158*Calculateur!DD158*VLOOKUP('Données projet'!$B$13,Paramètres!$A$1:$I$89,3,0)*0.475*44/12</f>
        <v>0.84481641038299327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2.9179584757701735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751.18</v>
      </c>
      <c r="O159" s="14">
        <f>N159*VLOOKUP('Données projet'!$B$9,Paramètres!$A$1:$I$89,3,0)*VLOOKUP('Données projet'!$B$9,Paramètres!$A$1:$I$89,5,0)</f>
        <v>351.55223999999993</v>
      </c>
      <c r="P159" s="14">
        <f t="shared" si="141"/>
        <v>81.882051211276618</v>
      </c>
      <c r="Q159" s="22">
        <f t="shared" si="162"/>
        <v>754.89805719297328</v>
      </c>
      <c r="R159" s="62">
        <f t="shared" si="109"/>
        <v>1048.2313905263065</v>
      </c>
      <c r="S159" s="62">
        <f ca="1">AVERAGE(OFFSET($R$3,0,0,'Données projet'!$E$9+1,1))-AVERAGE(OFFSET($H$3,0,0,'Données projet'!$E$9+1,1))</f>
        <v>309.95417097673084</v>
      </c>
      <c r="T159" s="62">
        <f t="shared" si="142"/>
        <v>170.83243426024433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1.7914481757588445</v>
      </c>
      <c r="AA159" s="23">
        <f>EXP(-LN(2)/25)*AA158+(1-EXP(-LN(2)/25))/(LN(2)/25)*Calculateur!V159*Calculateur!X159*VLOOKUP('Données projet'!$B$9,Paramètres!$A$1:$I$89,3,0)*0.475*44/12</f>
        <v>5.0243564269278602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6.815804602686705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4.4499999999999931</v>
      </c>
      <c r="AI159" s="14">
        <f>IF('Données projet'!$A$62&gt;35,AI158+AH159-AQ158,IF(A159&lt;'Données projet'!$A$62,$AF$205^A159,IF(A159='Données projet'!$A$62,'Données projet'!$B$62,AI158+AH159-AQ158)))</f>
        <v>396.88999999999862</v>
      </c>
      <c r="AJ159" s="14">
        <f>AI159*VLOOKUP('Données projet'!$B$10,Paramètres!$A$1:$I$89,3,0)*VLOOKUP('Données projet'!$B$10,Paramètres!$A$1:$I$89,5,0)</f>
        <v>402.44645999999858</v>
      </c>
      <c r="AK159" s="14">
        <f t="shared" si="164"/>
        <v>92.27247129232228</v>
      </c>
      <c r="AL159" s="22">
        <f t="shared" si="165"/>
        <v>861.63547200079211</v>
      </c>
      <c r="AM159" s="62">
        <f t="shared" si="113"/>
        <v>1154.9688053341254</v>
      </c>
      <c r="AN159" s="62">
        <f ca="1">AVERAGE(OFFSET($AM$3,0,0,'Données projet'!$E$10+1,1))-AVERAGE(OFFSET($H$3,0,0,'Données projet'!$E$10+1,1))</f>
        <v>408.65944152905672</v>
      </c>
      <c r="AO159" s="62">
        <f t="shared" si="144"/>
        <v>248.55239719988651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9.3825094252942804</v>
      </c>
      <c r="AV159" s="23">
        <f>EXP(-LN(2)/25)*AV158+(1-EXP(-LN(2)/25))/(LN(2)/25)*Calculateur!AQ159*Calculateur!AS159*VLOOKUP('Données projet'!$B$10,Paramètres!$A$1:$I$89,3,0)*0.475*44/12</f>
        <v>4.9982127521727095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14.380722177466989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598.14</v>
      </c>
      <c r="BE159" s="14">
        <f>BD159*VLOOKUP('Données projet'!$B$11,Paramètres!$A$1:$I$89,3,0)*VLOOKUP('Données projet'!$B$11,Paramètres!$A$1:$I$89,5,0)</f>
        <v>578.52100799999994</v>
      </c>
      <c r="BF159" s="14">
        <f t="shared" si="167"/>
        <v>127.15611541885089</v>
      </c>
      <c r="BG159" s="22">
        <f t="shared" si="168"/>
        <v>1229.0543232878317</v>
      </c>
      <c r="BH159" s="62">
        <f t="shared" si="116"/>
        <v>1522.387656621165</v>
      </c>
      <c r="BI159" s="62">
        <f ca="1">AVERAGE(OFFSET($BH$3,0,0,'Données projet'!$E$11+1,1))-AVERAGE(OFFSET($H$3,0,0,'Données projet'!$E$11+1,1))</f>
        <v>643.38601112255424</v>
      </c>
      <c r="BJ159" s="62">
        <f t="shared" si="146"/>
        <v>572.76381622085694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1.8262944763269247</v>
      </c>
      <c r="BQ159" s="23">
        <f>EXP(-LN(2)/25)*BQ158+(1-EXP(-LN(2)/25))/(LN(2)/25)*Calculateur!BL159*Calculateur!BN159*VLOOKUP('Données projet'!$B$11,Paramètres!$A$1:$I$89,3,0)*0.475*44/12</f>
        <v>0.73835248398948772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2.5646469603164124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505.23000000000025</v>
      </c>
      <c r="BZ159" s="14">
        <f>BY159*VLOOKUP('Données projet'!$B$12,Paramètres!$A$1:$I$89,3,0)*VLOOKUP('Données projet'!$B$12,Paramètres!$A$1:$I$89,5,0)</f>
        <v>338.90828400000015</v>
      </c>
      <c r="CA159" s="14">
        <f t="shared" si="170"/>
        <v>79.274348782791407</v>
      </c>
      <c r="CB159" s="22">
        <f t="shared" si="171"/>
        <v>728.33475209669507</v>
      </c>
      <c r="CC159" s="62">
        <f t="shared" si="119"/>
        <v>1021.6680854300284</v>
      </c>
      <c r="CD159" s="62">
        <f ca="1">AVERAGE(OFFSET($CC$3,0,0,'Données projet'!$E$12+1,1))-AVERAGE(OFFSET($H$3,0,0,'Données projet'!$E$12+1,1))</f>
        <v>323.41415875740768</v>
      </c>
      <c r="CE159" s="62">
        <f t="shared" si="148"/>
        <v>496.54020068152101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598.14</v>
      </c>
      <c r="CU159" s="18">
        <f>CT159*VLOOKUP('Données projet'!$B$13,Paramètres!$A$1:$I$89,3,0)*VLOOKUP('Données projet'!$B$13,Paramètres!$A$1:$I$89,5,0)</f>
        <v>643.837896</v>
      </c>
      <c r="CV159" s="14">
        <f t="shared" si="173"/>
        <v>139.76132574448636</v>
      </c>
      <c r="CW159" s="22">
        <f t="shared" si="174"/>
        <v>1364.7686445383138</v>
      </c>
      <c r="CX159" s="62">
        <f t="shared" si="122"/>
        <v>1658.101977871647</v>
      </c>
      <c r="CY159" s="62">
        <f ca="1">AVERAGE(OFFSET($CX$3,0,0,'Données projet'!$E$13+1,1))-AVERAGE(OFFSET($H$3,0,0,'Données projet'!$E$13+1,1))</f>
        <v>720.47588458554264</v>
      </c>
      <c r="CZ159" s="62">
        <f t="shared" si="150"/>
        <v>638.59686934821627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2.0324890139767393</v>
      </c>
      <c r="DG159" s="23">
        <f>EXP(-LN(2)/25)*DG158+(1-EXP(-LN(2)/25))/(LN(2)/25)*Calculateur!DB159*Calculateur!DD159*VLOOKUP('Données projet'!$B$13,Paramètres!$A$1:$I$89,3,0)*0.475*44/12</f>
        <v>0.8217148612141062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2.8542038751908456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751.18</v>
      </c>
      <c r="O160" s="14">
        <f>N160*VLOOKUP('Données projet'!$B$9,Paramètres!$A$1:$I$89,3,0)*VLOOKUP('Données projet'!$B$9,Paramètres!$A$1:$I$89,5,0)</f>
        <v>351.55223999999993</v>
      </c>
      <c r="P160" s="14">
        <f t="shared" si="141"/>
        <v>81.882051211276618</v>
      </c>
      <c r="Q160" s="22">
        <f t="shared" si="162"/>
        <v>754.89805719297328</v>
      </c>
      <c r="R160" s="62">
        <f t="shared" si="109"/>
        <v>1048.2313905263065</v>
      </c>
      <c r="S160" s="62">
        <f ca="1">AVERAGE(OFFSET($R$3,0,0,'Données projet'!$E$9+1,1))-AVERAGE(OFFSET($H$3,0,0,'Données projet'!$E$9+1,1))</f>
        <v>309.95417097673084</v>
      </c>
      <c r="T160" s="62">
        <f t="shared" si="142"/>
        <v>170.83243426024433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1.756318969707708</v>
      </c>
      <c r="AA160" s="23">
        <f>EXP(-LN(2)/25)*AA159+(1-EXP(-LN(2)/25))/(LN(2)/25)*Calculateur!V160*Calculateur!X160*VLOOKUP('Données projet'!$B$9,Paramètres!$A$1:$I$89,3,0)*0.475*44/12</f>
        <v>4.8869651362140969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6.6432841059218051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>
        <f>VLOOKUP(A160,'Données projet'!$A$61:$I$81,2,0)</f>
        <v>401.34</v>
      </c>
      <c r="AG160" s="13">
        <f>VLOOKUP(A160,'Données projet'!$A$61:$I$81,9,0)</f>
        <v>4.4499999999999931</v>
      </c>
      <c r="AH160" s="13">
        <f t="array" ref="AH160">INDEX(AG:AG,MIN(IF(ISNUMBER(AG160:AG356),ROW(AG160:AG356),"")))</f>
        <v>4.4499999999999931</v>
      </c>
      <c r="AI160" s="14">
        <f>IF('Données projet'!$A$62&gt;35,AI159+AH160-AQ159,IF(A160&lt;'Données projet'!$A$62,$AF$205^A160,IF(A160='Données projet'!$A$62,'Données projet'!$B$62,AI159+AH160-AQ159)))</f>
        <v>401.33999999999861</v>
      </c>
      <c r="AJ160" s="14">
        <f>AI160*VLOOKUP('Données projet'!$B$10,Paramètres!$A$1:$I$89,3,0)*VLOOKUP('Données projet'!$B$10,Paramètres!$A$1:$I$89,5,0)</f>
        <v>406.95875999999868</v>
      </c>
      <c r="AK160" s="14">
        <f t="shared" si="164"/>
        <v>93.186027765783592</v>
      </c>
      <c r="AL160" s="22">
        <f t="shared" si="165"/>
        <v>871.08550535873746</v>
      </c>
      <c r="AM160" s="62">
        <f t="shared" si="113"/>
        <v>1164.4188386920707</v>
      </c>
      <c r="AN160" s="62">
        <f ca="1">AVERAGE(OFFSET($AM$3,0,0,'Données projet'!$E$10+1,1))-AVERAGE(OFFSET($H$3,0,0,'Données projet'!$E$10+1,1))</f>
        <v>408.65944152905672</v>
      </c>
      <c r="AO160" s="62">
        <f t="shared" si="144"/>
        <v>248.55239719988651</v>
      </c>
      <c r="AP160" s="16">
        <f>IF(ISNA(VLOOKUP(A160,'Données projet'!$A$61:$I$81,3,0)),0,VLOOKUP(A160,'Données projet'!$A$61:$I$81,3,0))</f>
        <v>13</v>
      </c>
      <c r="AQ160" s="16">
        <f>IF(ISNA(VLOOKUP(A160,'Données projet'!$A$61:$I$81,4,0)),0,VLOOKUP(A160,'Données projet'!$A$61:$I$81,4,0))</f>
        <v>40.130000000000003</v>
      </c>
      <c r="AR160" s="17">
        <f>IF(ISNA(VLOOKUP(A160,'Données projet'!$A$61:$I$81,5,0)),0%,VLOOKUP(A160,'Données projet'!$A$61:$I$81,5,0)*VLOOKUP('Données projet'!$B$10,Paramètres!$A$1:$I$89,7,0))</f>
        <v>8.1699999999999995E-2</v>
      </c>
      <c r="AS160" s="17">
        <f>IF(ISNA(VLOOKUP(A160,'Données projet'!$A$61:$I$81,6,0)),0%,VLOOKUP(A160,'Données projet'!$A$61:$I$81,6,0)*VLOOKUP('Données projet'!$B$10,Paramètres!$A$1:$I$89,7,0))</f>
        <v>5.5899999999999998E-2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12.873684397061639</v>
      </c>
      <c r="AV160" s="23">
        <f>EXP(-LN(2)/25)*AV159+(1-EXP(-LN(2)/25))/(LN(2)/25)*Calculateur!AQ160*Calculateur!AS160*VLOOKUP('Données projet'!$B$10,Paramètres!$A$1:$I$89,3,0)*0.475*44/12</f>
        <v>7.366218823888854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20.239903220950495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598.14</v>
      </c>
      <c r="BE160" s="14">
        <f>BD160*VLOOKUP('Données projet'!$B$11,Paramètres!$A$1:$I$89,3,0)*VLOOKUP('Données projet'!$B$11,Paramètres!$A$1:$I$89,5,0)</f>
        <v>578.52100799999994</v>
      </c>
      <c r="BF160" s="14">
        <f t="shared" si="167"/>
        <v>127.15611541885089</v>
      </c>
      <c r="BG160" s="22">
        <f t="shared" si="168"/>
        <v>1229.0543232878317</v>
      </c>
      <c r="BH160" s="62">
        <f t="shared" si="116"/>
        <v>1522.387656621165</v>
      </c>
      <c r="BI160" s="62">
        <f ca="1">AVERAGE(OFFSET($BH$3,0,0,'Données projet'!$E$11+1,1))-AVERAGE(OFFSET($H$3,0,0,'Données projet'!$E$11+1,1))</f>
        <v>643.38601112255424</v>
      </c>
      <c r="BJ160" s="62">
        <f t="shared" si="146"/>
        <v>572.76381622085694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1.7904819555757927</v>
      </c>
      <c r="BQ160" s="23">
        <f>EXP(-LN(2)/25)*BQ159+(1-EXP(-LN(2)/25))/(LN(2)/25)*Calculateur!BL160*Calculateur!BN160*VLOOKUP('Données projet'!$B$11,Paramètres!$A$1:$I$89,3,0)*0.475*44/12</f>
        <v>0.71816219648652557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2.5086441520623182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505.23000000000025</v>
      </c>
      <c r="BZ160" s="14">
        <f>BY160*VLOOKUP('Données projet'!$B$12,Paramètres!$A$1:$I$89,3,0)*VLOOKUP('Données projet'!$B$12,Paramètres!$A$1:$I$89,5,0)</f>
        <v>338.90828400000015</v>
      </c>
      <c r="CA160" s="14">
        <f t="shared" si="170"/>
        <v>79.274348782791407</v>
      </c>
      <c r="CB160" s="22">
        <f t="shared" si="171"/>
        <v>728.33475209669507</v>
      </c>
      <c r="CC160" s="62">
        <f t="shared" si="119"/>
        <v>1021.6680854300284</v>
      </c>
      <c r="CD160" s="62">
        <f ca="1">AVERAGE(OFFSET($CC$3,0,0,'Données projet'!$E$12+1,1))-AVERAGE(OFFSET($H$3,0,0,'Données projet'!$E$12+1,1))</f>
        <v>323.41415875740768</v>
      </c>
      <c r="CE160" s="62">
        <f t="shared" si="148"/>
        <v>496.54020068152101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598.14</v>
      </c>
      <c r="CU160" s="18">
        <f>CT160*VLOOKUP('Données projet'!$B$13,Paramètres!$A$1:$I$89,3,0)*VLOOKUP('Données projet'!$B$13,Paramètres!$A$1:$I$89,5,0)</f>
        <v>643.837896</v>
      </c>
      <c r="CV160" s="14">
        <f t="shared" si="173"/>
        <v>139.76132574448636</v>
      </c>
      <c r="CW160" s="22">
        <f t="shared" si="174"/>
        <v>1364.7686445383138</v>
      </c>
      <c r="CX160" s="62">
        <f t="shared" si="122"/>
        <v>1658.101977871647</v>
      </c>
      <c r="CY160" s="62">
        <f ca="1">AVERAGE(OFFSET($CX$3,0,0,'Données projet'!$E$13+1,1))-AVERAGE(OFFSET($H$3,0,0,'Données projet'!$E$13+1,1))</f>
        <v>720.47588458554264</v>
      </c>
      <c r="CZ160" s="62">
        <f t="shared" si="150"/>
        <v>638.59686934821627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1.9926331441085441</v>
      </c>
      <c r="DG160" s="23">
        <f>EXP(-LN(2)/25)*DG159+(1-EXP(-LN(2)/25))/(LN(2)/25)*Calculateur!DB160*Calculateur!DD160*VLOOKUP('Données projet'!$B$13,Paramètres!$A$1:$I$89,3,0)*0.475*44/12</f>
        <v>0.79924502512209994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2.7918781692306442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751.18</v>
      </c>
      <c r="O161" s="14">
        <f>N161*VLOOKUP('Données projet'!$B$9,Paramètres!$A$1:$I$89,3,0)*VLOOKUP('Données projet'!$B$9,Paramètres!$A$1:$I$89,5,0)</f>
        <v>351.55223999999993</v>
      </c>
      <c r="P161" s="14">
        <f t="shared" si="141"/>
        <v>81.882051211276618</v>
      </c>
      <c r="Q161" s="22">
        <f t="shared" si="162"/>
        <v>754.89805719297328</v>
      </c>
      <c r="R161" s="62">
        <f t="shared" si="109"/>
        <v>1048.2313905263065</v>
      </c>
      <c r="S161" s="62">
        <f ca="1">AVERAGE(OFFSET($R$3,0,0,'Données projet'!$E$9+1,1))-AVERAGE(OFFSET($H$3,0,0,'Données projet'!$E$9+1,1))</f>
        <v>309.95417097673084</v>
      </c>
      <c r="T161" s="62">
        <f t="shared" si="142"/>
        <v>170.83243426024433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1.7218786259605343</v>
      </c>
      <c r="AA161" s="23">
        <f>EXP(-LN(2)/25)*AA160+(1-EXP(-LN(2)/25))/(LN(2)/25)*Calculateur!V161*Calculateur!X161*VLOOKUP('Données projet'!$B$9,Paramètres!$A$1:$I$89,3,0)*0.475*44/12</f>
        <v>4.7533308175699949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6.4752094435305292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4.4491666666666703</v>
      </c>
      <c r="AI161" s="14">
        <f>IF('Données projet'!$A$62&gt;35,AI160+AH161-AQ160,IF(A161&lt;'Données projet'!$A$62,$AF$205^A161,IF(A161='Données projet'!$A$62,'Données projet'!$B$62,AI160+AH161-AQ160)))</f>
        <v>365.65916666666527</v>
      </c>
      <c r="AJ161" s="14">
        <f>AI161*VLOOKUP('Données projet'!$B$10,Paramètres!$A$1:$I$89,3,0)*VLOOKUP('Données projet'!$B$10,Paramètres!$A$1:$I$89,5,0)</f>
        <v>370.77839499999862</v>
      </c>
      <c r="AK161" s="14">
        <f t="shared" si="164"/>
        <v>85.826532440242417</v>
      </c>
      <c r="AL161" s="22">
        <f t="shared" si="165"/>
        <v>795.25358195841989</v>
      </c>
      <c r="AM161" s="62">
        <f t="shared" si="113"/>
        <v>1088.5869152917533</v>
      </c>
      <c r="AN161" s="62">
        <f ca="1">AVERAGE(OFFSET($AM$3,0,0,'Données projet'!$E$10+1,1))-AVERAGE(OFFSET($H$3,0,0,'Données projet'!$E$10+1,1))</f>
        <v>408.65944152905672</v>
      </c>
      <c r="AO161" s="62">
        <f t="shared" si="144"/>
        <v>248.55239719988651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12.621239298207405</v>
      </c>
      <c r="AV161" s="23">
        <f>EXP(-LN(2)/25)*AV160+(1-EXP(-LN(2)/25))/(LN(2)/25)*Calculateur!AQ161*Calculateur!AS161*VLOOKUP('Données projet'!$B$10,Paramètres!$A$1:$I$89,3,0)*0.475*44/12</f>
        <v>7.1647891827770014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19.786028480984406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598.14</v>
      </c>
      <c r="BE161" s="14">
        <f>BD161*VLOOKUP('Données projet'!$B$11,Paramètres!$A$1:$I$89,3,0)*VLOOKUP('Données projet'!$B$11,Paramètres!$A$1:$I$89,5,0)</f>
        <v>578.52100799999994</v>
      </c>
      <c r="BF161" s="14">
        <f t="shared" si="167"/>
        <v>127.15611541885089</v>
      </c>
      <c r="BG161" s="22">
        <f t="shared" si="168"/>
        <v>1229.0543232878317</v>
      </c>
      <c r="BH161" s="62">
        <f t="shared" si="116"/>
        <v>1522.387656621165</v>
      </c>
      <c r="BI161" s="62">
        <f ca="1">AVERAGE(OFFSET($BH$3,0,0,'Données projet'!$E$11+1,1))-AVERAGE(OFFSET($H$3,0,0,'Données projet'!$E$11+1,1))</f>
        <v>643.38601112255424</v>
      </c>
      <c r="BJ161" s="62">
        <f t="shared" si="146"/>
        <v>572.76381622085694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1.7553716965131099</v>
      </c>
      <c r="BQ161" s="23">
        <f>EXP(-LN(2)/25)*BQ160+(1-EXP(-LN(2)/25))/(LN(2)/25)*Calculateur!BL161*Calculateur!BN161*VLOOKUP('Données projet'!$B$11,Paramètres!$A$1:$I$89,3,0)*0.475*44/12</f>
        <v>0.69852401345709303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2.4538957099702028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505.23000000000025</v>
      </c>
      <c r="BZ161" s="14">
        <f>BY161*VLOOKUP('Données projet'!$B$12,Paramètres!$A$1:$I$89,3,0)*VLOOKUP('Données projet'!$B$12,Paramètres!$A$1:$I$89,5,0)</f>
        <v>338.90828400000015</v>
      </c>
      <c r="CA161" s="14">
        <f t="shared" si="170"/>
        <v>79.274348782791407</v>
      </c>
      <c r="CB161" s="22">
        <f t="shared" si="171"/>
        <v>728.33475209669507</v>
      </c>
      <c r="CC161" s="62">
        <f t="shared" si="119"/>
        <v>1021.6680854300284</v>
      </c>
      <c r="CD161" s="62">
        <f ca="1">AVERAGE(OFFSET($CC$3,0,0,'Données projet'!$E$12+1,1))-AVERAGE(OFFSET($H$3,0,0,'Données projet'!$E$12+1,1))</f>
        <v>323.41415875740768</v>
      </c>
      <c r="CE161" s="62">
        <f t="shared" si="148"/>
        <v>496.54020068152101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598.14</v>
      </c>
      <c r="CU161" s="18">
        <f>CT161*VLOOKUP('Données projet'!$B$13,Paramètres!$A$1:$I$89,3,0)*VLOOKUP('Données projet'!$B$13,Paramètres!$A$1:$I$89,5,0)</f>
        <v>643.837896</v>
      </c>
      <c r="CV161" s="14">
        <f t="shared" si="173"/>
        <v>139.76132574448636</v>
      </c>
      <c r="CW161" s="22">
        <f t="shared" si="174"/>
        <v>1364.7686445383138</v>
      </c>
      <c r="CX161" s="62">
        <f t="shared" si="122"/>
        <v>1658.101977871647</v>
      </c>
      <c r="CY161" s="62">
        <f ca="1">AVERAGE(OFFSET($CX$3,0,0,'Données projet'!$E$13+1,1))-AVERAGE(OFFSET($H$3,0,0,'Données projet'!$E$13+1,1))</f>
        <v>720.47588458554264</v>
      </c>
      <c r="CZ161" s="62">
        <f t="shared" si="150"/>
        <v>638.59686934821627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1.953558823538784</v>
      </c>
      <c r="DG161" s="23">
        <f>EXP(-LN(2)/25)*DG160+(1-EXP(-LN(2)/25))/(LN(2)/25)*Calculateur!DB161*Calculateur!DD161*VLOOKUP('Données projet'!$B$13,Paramètres!$A$1:$I$89,3,0)*0.475*44/12</f>
        <v>0.77738962787966692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2.7309484514184508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751.18</v>
      </c>
      <c r="O162" s="14">
        <f>N162*VLOOKUP('Données projet'!$B$9,Paramètres!$A$1:$I$89,3,0)*VLOOKUP('Données projet'!$B$9,Paramètres!$A$1:$I$89,5,0)</f>
        <v>351.55223999999993</v>
      </c>
      <c r="P162" s="14">
        <f t="shared" si="141"/>
        <v>81.882051211276618</v>
      </c>
      <c r="Q162" s="22">
        <f t="shared" si="162"/>
        <v>754.89805719297328</v>
      </c>
      <c r="R162" s="62">
        <f t="shared" si="109"/>
        <v>1048.2313905263065</v>
      </c>
      <c r="S162" s="62">
        <f ca="1">AVERAGE(OFFSET($R$3,0,0,'Données projet'!$E$9+1,1))-AVERAGE(OFFSET($H$3,0,0,'Données projet'!$E$9+1,1))</f>
        <v>309.95417097673084</v>
      </c>
      <c r="T162" s="62">
        <f t="shared" si="142"/>
        <v>170.83243426024433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1.6881136363477072</v>
      </c>
      <c r="AA162" s="23">
        <f>EXP(-LN(2)/25)*AA161+(1-EXP(-LN(2)/25))/(LN(2)/25)*Calculateur!V162*Calculateur!X162*VLOOKUP('Données projet'!$B$9,Paramètres!$A$1:$I$89,3,0)*0.475*44/12</f>
        <v>4.6233507363967394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6.3114643727444468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4.4491666666666703</v>
      </c>
      <c r="AI162" s="14">
        <f>IF('Données projet'!$A$62&gt;35,AI161+AH162-AQ161,IF(A162&lt;'Données projet'!$A$62,$AF$205^A162,IF(A162='Données projet'!$A$62,'Données projet'!$B$62,AI161+AH162-AQ161)))</f>
        <v>370.10833333333193</v>
      </c>
      <c r="AJ162" s="14">
        <f>AI162*VLOOKUP('Données projet'!$B$10,Paramètres!$A$1:$I$89,3,0)*VLOOKUP('Données projet'!$B$10,Paramètres!$A$1:$I$89,5,0)</f>
        <v>375.28984999999858</v>
      </c>
      <c r="AK162" s="14">
        <f t="shared" si="164"/>
        <v>86.748622230695275</v>
      </c>
      <c r="AL162" s="22">
        <f t="shared" si="165"/>
        <v>804.71700580179186</v>
      </c>
      <c r="AM162" s="62">
        <f t="shared" si="113"/>
        <v>1098.0503391351251</v>
      </c>
      <c r="AN162" s="62">
        <f ca="1">AVERAGE(OFFSET($AM$3,0,0,'Données projet'!$E$10+1,1))-AVERAGE(OFFSET($H$3,0,0,'Données projet'!$E$10+1,1))</f>
        <v>408.65944152905672</v>
      </c>
      <c r="AO162" s="62">
        <f t="shared" si="144"/>
        <v>248.55239719988651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12.373744493765395</v>
      </c>
      <c r="AV162" s="23">
        <f>EXP(-LN(2)/25)*AV161+(1-EXP(-LN(2)/25))/(LN(2)/25)*Calculateur!AQ162*Calculateur!AS162*VLOOKUP('Données projet'!$B$10,Paramètres!$A$1:$I$89,3,0)*0.475*44/12</f>
        <v>6.9688676457940764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19.342612139559471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598.14</v>
      </c>
      <c r="BE162" s="14">
        <f>BD162*VLOOKUP('Données projet'!$B$11,Paramètres!$A$1:$I$89,3,0)*VLOOKUP('Données projet'!$B$11,Paramètres!$A$1:$I$89,5,0)</f>
        <v>578.52100799999994</v>
      </c>
      <c r="BF162" s="14">
        <f t="shared" si="167"/>
        <v>127.15611541885089</v>
      </c>
      <c r="BG162" s="22">
        <f t="shared" si="168"/>
        <v>1229.0543232878317</v>
      </c>
      <c r="BH162" s="62">
        <f t="shared" si="116"/>
        <v>1522.387656621165</v>
      </c>
      <c r="BI162" s="62">
        <f ca="1">AVERAGE(OFFSET($BH$3,0,0,'Données projet'!$E$11+1,1))-AVERAGE(OFFSET($H$3,0,0,'Données projet'!$E$11+1,1))</f>
        <v>643.38601112255424</v>
      </c>
      <c r="BJ162" s="62">
        <f t="shared" si="146"/>
        <v>572.76381622085694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1.7209499282155027</v>
      </c>
      <c r="BQ162" s="23">
        <f>EXP(-LN(2)/25)*BQ161+(1-EXP(-LN(2)/25))/(LN(2)/25)*Calculateur!BL162*Calculateur!BN162*VLOOKUP('Données projet'!$B$11,Paramètres!$A$1:$I$89,3,0)*0.475*44/12</f>
        <v>0.6794228375753274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2.4003727657908303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505.23000000000025</v>
      </c>
      <c r="BZ162" s="14">
        <f>BY162*VLOOKUP('Données projet'!$B$12,Paramètres!$A$1:$I$89,3,0)*VLOOKUP('Données projet'!$B$12,Paramètres!$A$1:$I$89,5,0)</f>
        <v>338.90828400000015</v>
      </c>
      <c r="CA162" s="14">
        <f t="shared" si="170"/>
        <v>79.274348782791407</v>
      </c>
      <c r="CB162" s="22">
        <f t="shared" si="171"/>
        <v>728.33475209669507</v>
      </c>
      <c r="CC162" s="62">
        <f t="shared" si="119"/>
        <v>1021.6680854300284</v>
      </c>
      <c r="CD162" s="62">
        <f ca="1">AVERAGE(OFFSET($CC$3,0,0,'Données projet'!$E$12+1,1))-AVERAGE(OFFSET($H$3,0,0,'Données projet'!$E$12+1,1))</f>
        <v>323.41415875740768</v>
      </c>
      <c r="CE162" s="62">
        <f t="shared" si="148"/>
        <v>496.54020068152101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598.14</v>
      </c>
      <c r="CU162" s="18">
        <f>CT162*VLOOKUP('Données projet'!$B$13,Paramètres!$A$1:$I$89,3,0)*VLOOKUP('Données projet'!$B$13,Paramètres!$A$1:$I$89,5,0)</f>
        <v>643.837896</v>
      </c>
      <c r="CV162" s="14">
        <f t="shared" si="173"/>
        <v>139.76132574448636</v>
      </c>
      <c r="CW162" s="22">
        <f t="shared" si="174"/>
        <v>1364.7686445383138</v>
      </c>
      <c r="CX162" s="62">
        <f t="shared" si="122"/>
        <v>1658.101977871647</v>
      </c>
      <c r="CY162" s="62">
        <f ca="1">AVERAGE(OFFSET($CX$3,0,0,'Données projet'!$E$13+1,1))-AVERAGE(OFFSET($H$3,0,0,'Données projet'!$E$13+1,1))</f>
        <v>720.47588458554264</v>
      </c>
      <c r="CZ162" s="62">
        <f t="shared" si="150"/>
        <v>638.59686934821627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1.9152507265624146</v>
      </c>
      <c r="DG162" s="23">
        <f>EXP(-LN(2)/25)*DG161+(1-EXP(-LN(2)/25))/(LN(2)/25)*Calculateur!DB162*Calculateur!DD162*VLOOKUP('Données projet'!$B$13,Paramètres!$A$1:$I$89,3,0)*0.475*44/12</f>
        <v>0.75613186762415363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2.6713825941865683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751.18</v>
      </c>
      <c r="O163" s="14">
        <f>N163*VLOOKUP('Données projet'!$B$9,Paramètres!$A$1:$I$89,3,0)*VLOOKUP('Données projet'!$B$9,Paramètres!$A$1:$I$89,5,0)</f>
        <v>351.55223999999993</v>
      </c>
      <c r="P163" s="14">
        <f t="shared" si="141"/>
        <v>81.882051211276618</v>
      </c>
      <c r="Q163" s="22">
        <f t="shared" si="162"/>
        <v>754.89805719297328</v>
      </c>
      <c r="R163" s="62">
        <f t="shared" si="109"/>
        <v>1048.2313905263065</v>
      </c>
      <c r="S163" s="62">
        <f ca="1">AVERAGE(OFFSET($R$3,0,0,'Données projet'!$E$9+1,1))-AVERAGE(OFFSET($H$3,0,0,'Données projet'!$E$9+1,1))</f>
        <v>309.95417097673084</v>
      </c>
      <c r="T163" s="62">
        <f t="shared" si="142"/>
        <v>170.83243426024433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1.6550107575865776</v>
      </c>
      <c r="AA163" s="23">
        <f>EXP(-LN(2)/25)*AA162+(1-EXP(-LN(2)/25))/(LN(2)/25)*Calculateur!V163*Calculateur!X163*VLOOKUP('Données projet'!$B$9,Paramètres!$A$1:$I$89,3,0)*0.475*44/12</f>
        <v>4.4969249673785221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6.1519357249650994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4.4491666666666703</v>
      </c>
      <c r="AI163" s="14">
        <f>IF('Données projet'!$A$62&gt;35,AI162+AH163-AQ162,IF(A163&lt;'Données projet'!$A$62,$AF$205^A163,IF(A163='Données projet'!$A$62,'Données projet'!$B$62,AI162+AH163-AQ162)))</f>
        <v>374.55749999999858</v>
      </c>
      <c r="AJ163" s="14">
        <f>AI163*VLOOKUP('Données projet'!$B$10,Paramètres!$A$1:$I$89,3,0)*VLOOKUP('Données projet'!$B$10,Paramètres!$A$1:$I$89,5,0)</f>
        <v>379.80130499999859</v>
      </c>
      <c r="AK163" s="14">
        <f t="shared" si="164"/>
        <v>87.669422634248662</v>
      </c>
      <c r="AL163" s="22">
        <f t="shared" si="165"/>
        <v>814.17818396298071</v>
      </c>
      <c r="AM163" s="62">
        <f t="shared" si="113"/>
        <v>1107.511517296314</v>
      </c>
      <c r="AN163" s="62">
        <f ca="1">AVERAGE(OFFSET($AM$3,0,0,'Données projet'!$E$10+1,1))-AVERAGE(OFFSET($H$3,0,0,'Données projet'!$E$10+1,1))</f>
        <v>408.65944152905672</v>
      </c>
      <c r="AO163" s="62">
        <f t="shared" si="144"/>
        <v>248.55239719988651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12.13110291148157</v>
      </c>
      <c r="AV163" s="23">
        <f>EXP(-LN(2)/25)*AV162+(1-EXP(-LN(2)/25))/(LN(2)/25)*Calculateur!AQ163*Calculateur!AS163*VLOOKUP('Données projet'!$B$10,Paramètres!$A$1:$I$89,3,0)*0.475*44/12</f>
        <v>6.7783035935430158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18.909406505024585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598.14</v>
      </c>
      <c r="BE163" s="14">
        <f>BD163*VLOOKUP('Données projet'!$B$11,Paramètres!$A$1:$I$89,3,0)*VLOOKUP('Données projet'!$B$11,Paramètres!$A$1:$I$89,5,0)</f>
        <v>578.52100799999994</v>
      </c>
      <c r="BF163" s="14">
        <f t="shared" si="167"/>
        <v>127.15611541885089</v>
      </c>
      <c r="BG163" s="22">
        <f t="shared" si="168"/>
        <v>1229.0543232878317</v>
      </c>
      <c r="BH163" s="62">
        <f t="shared" si="116"/>
        <v>1522.387656621165</v>
      </c>
      <c r="BI163" s="62">
        <f ca="1">AVERAGE(OFFSET($BH$3,0,0,'Données projet'!$E$11+1,1))-AVERAGE(OFFSET($H$3,0,0,'Données projet'!$E$11+1,1))</f>
        <v>643.38601112255424</v>
      </c>
      <c r="BJ163" s="62">
        <f t="shared" si="146"/>
        <v>572.76381622085694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1.6872031497990061</v>
      </c>
      <c r="BQ163" s="23">
        <f>EXP(-LN(2)/25)*BQ162+(1-EXP(-LN(2)/25))/(LN(2)/25)*Calculateur!BL163*Calculateur!BN163*VLOOKUP('Données projet'!$B$11,Paramètres!$A$1:$I$89,3,0)*0.475*44/12</f>
        <v>0.66084398435253588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2.3480471341515421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505.23000000000025</v>
      </c>
      <c r="BZ163" s="14">
        <f>BY163*VLOOKUP('Données projet'!$B$12,Paramètres!$A$1:$I$89,3,0)*VLOOKUP('Données projet'!$B$12,Paramètres!$A$1:$I$89,5,0)</f>
        <v>338.90828400000015</v>
      </c>
      <c r="CA163" s="14">
        <f t="shared" si="170"/>
        <v>79.274348782791407</v>
      </c>
      <c r="CB163" s="22">
        <f t="shared" si="171"/>
        <v>728.33475209669507</v>
      </c>
      <c r="CC163" s="62">
        <f t="shared" si="119"/>
        <v>1021.6680854300284</v>
      </c>
      <c r="CD163" s="62">
        <f ca="1">AVERAGE(OFFSET($CC$3,0,0,'Données projet'!$E$12+1,1))-AVERAGE(OFFSET($H$3,0,0,'Données projet'!$E$12+1,1))</f>
        <v>323.41415875740768</v>
      </c>
      <c r="CE163" s="62">
        <f t="shared" si="148"/>
        <v>496.54020068152101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598.14</v>
      </c>
      <c r="CU163" s="18">
        <f>CT163*VLOOKUP('Données projet'!$B$13,Paramètres!$A$1:$I$89,3,0)*VLOOKUP('Données projet'!$B$13,Paramètres!$A$1:$I$89,5,0)</f>
        <v>643.837896</v>
      </c>
      <c r="CV163" s="14">
        <f t="shared" si="173"/>
        <v>139.76132574448636</v>
      </c>
      <c r="CW163" s="22">
        <f t="shared" si="174"/>
        <v>1364.7686445383138</v>
      </c>
      <c r="CX163" s="62">
        <f t="shared" si="122"/>
        <v>1658.101977871647</v>
      </c>
      <c r="CY163" s="62">
        <f ca="1">AVERAGE(OFFSET($CX$3,0,0,'Données projet'!$E$13+1,1))-AVERAGE(OFFSET($H$3,0,0,'Données projet'!$E$13+1,1))</f>
        <v>720.47588458554264</v>
      </c>
      <c r="CZ163" s="62">
        <f t="shared" si="150"/>
        <v>638.59686934821627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1.8776938280021198</v>
      </c>
      <c r="DG163" s="23">
        <f>EXP(-LN(2)/25)*DG162+(1-EXP(-LN(2)/25))/(LN(2)/25)*Calculateur!DB163*Calculateur!DD163*VLOOKUP('Données projet'!$B$13,Paramètres!$A$1:$I$89,3,0)*0.475*44/12</f>
        <v>0.73545540194072434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2.6131492299428443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751.18</v>
      </c>
      <c r="O164" s="14">
        <f>N164*VLOOKUP('Données projet'!$B$9,Paramètres!$A$1:$I$89,3,0)*VLOOKUP('Données projet'!$B$9,Paramètres!$A$1:$I$89,5,0)</f>
        <v>351.55223999999993</v>
      </c>
      <c r="P164" s="14">
        <f t="shared" si="141"/>
        <v>81.882051211276618</v>
      </c>
      <c r="Q164" s="22">
        <f t="shared" si="162"/>
        <v>754.89805719297328</v>
      </c>
      <c r="R164" s="62">
        <f t="shared" si="109"/>
        <v>1048.2313905263065</v>
      </c>
      <c r="S164" s="62">
        <f ca="1">AVERAGE(OFFSET($R$3,0,0,'Données projet'!$E$9+1,1))-AVERAGE(OFFSET($H$3,0,0,'Données projet'!$E$9+1,1))</f>
        <v>309.95417097673084</v>
      </c>
      <c r="T164" s="62">
        <f t="shared" si="142"/>
        <v>170.83243426024433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1.6225570060871912</v>
      </c>
      <c r="AA164" s="23">
        <f>EXP(-LN(2)/25)*AA163+(1-EXP(-LN(2)/25))/(LN(2)/25)*Calculateur!V164*Calculateur!X164*VLOOKUP('Données projet'!$B$9,Paramètres!$A$1:$I$89,3,0)*0.475*44/12</f>
        <v>4.3739563176625502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5.9965133237497419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4.4491666666666703</v>
      </c>
      <c r="AI164" s="14">
        <f>IF('Données projet'!$A$62&gt;35,AI163+AH164-AQ163,IF(A164&lt;'Données projet'!$A$62,$AF$205^A164,IF(A164='Données projet'!$A$62,'Données projet'!$B$62,AI163+AH164-AQ163)))</f>
        <v>379.00666666666524</v>
      </c>
      <c r="AJ164" s="14">
        <f>AI164*VLOOKUP('Données projet'!$B$10,Paramètres!$A$1:$I$89,3,0)*VLOOKUP('Données projet'!$B$10,Paramètres!$A$1:$I$89,5,0)</f>
        <v>384.3127599999986</v>
      </c>
      <c r="AK164" s="14">
        <f t="shared" si="164"/>
        <v>88.588950738601795</v>
      </c>
      <c r="AL164" s="22">
        <f t="shared" si="165"/>
        <v>823.63714620306234</v>
      </c>
      <c r="AM164" s="62">
        <f t="shared" si="113"/>
        <v>1116.9704795363957</v>
      </c>
      <c r="AN164" s="62">
        <f ca="1">AVERAGE(OFFSET($AM$3,0,0,'Données projet'!$E$10+1,1))-AVERAGE(OFFSET($H$3,0,0,'Données projet'!$E$10+1,1))</f>
        <v>408.65944152905672</v>
      </c>
      <c r="AO164" s="62">
        <f t="shared" si="144"/>
        <v>248.55239719988651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11.893219382629578</v>
      </c>
      <c r="AV164" s="23">
        <f>EXP(-LN(2)/25)*AV163+(1-EXP(-LN(2)/25))/(LN(2)/25)*Calculateur!AQ164*Calculateur!AS164*VLOOKUP('Données projet'!$B$10,Paramètres!$A$1:$I$89,3,0)*0.475*44/12</f>
        <v>6.5929505253220881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18.486169907951666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598.14</v>
      </c>
      <c r="BE164" s="14">
        <f>BD164*VLOOKUP('Données projet'!$B$11,Paramètres!$A$1:$I$89,3,0)*VLOOKUP('Données projet'!$B$11,Paramètres!$A$1:$I$89,5,0)</f>
        <v>578.52100799999994</v>
      </c>
      <c r="BF164" s="14">
        <f t="shared" si="167"/>
        <v>127.15611541885089</v>
      </c>
      <c r="BG164" s="22">
        <f t="shared" si="168"/>
        <v>1229.0543232878317</v>
      </c>
      <c r="BH164" s="62">
        <f t="shared" si="116"/>
        <v>1522.387656621165</v>
      </c>
      <c r="BI164" s="62">
        <f ca="1">AVERAGE(OFFSET($BH$3,0,0,'Données projet'!$E$11+1,1))-AVERAGE(OFFSET($H$3,0,0,'Données projet'!$E$11+1,1))</f>
        <v>643.38601112255424</v>
      </c>
      <c r="BJ164" s="62">
        <f t="shared" si="146"/>
        <v>572.76381622085694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1.6541181251237544</v>
      </c>
      <c r="BQ164" s="23">
        <f>EXP(-LN(2)/25)*BQ163+(1-EXP(-LN(2)/25))/(LN(2)/25)*Calculateur!BL164*Calculateur!BN164*VLOOKUP('Données projet'!$B$11,Paramètres!$A$1:$I$89,3,0)*0.475*44/12</f>
        <v>0.64277317084814101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2.2968912959718955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505.23000000000025</v>
      </c>
      <c r="BZ164" s="14">
        <f>BY164*VLOOKUP('Données projet'!$B$12,Paramètres!$A$1:$I$89,3,0)*VLOOKUP('Données projet'!$B$12,Paramètres!$A$1:$I$89,5,0)</f>
        <v>338.90828400000015</v>
      </c>
      <c r="CA164" s="14">
        <f t="shared" si="170"/>
        <v>79.274348782791407</v>
      </c>
      <c r="CB164" s="22">
        <f t="shared" si="171"/>
        <v>728.33475209669507</v>
      </c>
      <c r="CC164" s="62">
        <f t="shared" si="119"/>
        <v>1021.6680854300284</v>
      </c>
      <c r="CD164" s="62">
        <f ca="1">AVERAGE(OFFSET($CC$3,0,0,'Données projet'!$E$12+1,1))-AVERAGE(OFFSET($H$3,0,0,'Données projet'!$E$12+1,1))</f>
        <v>323.41415875740768</v>
      </c>
      <c r="CE164" s="62">
        <f t="shared" si="148"/>
        <v>496.54020068152101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598.14</v>
      </c>
      <c r="CU164" s="18">
        <f>CT164*VLOOKUP('Données projet'!$B$13,Paramètres!$A$1:$I$89,3,0)*VLOOKUP('Données projet'!$B$13,Paramètres!$A$1:$I$89,5,0)</f>
        <v>643.837896</v>
      </c>
      <c r="CV164" s="14">
        <f t="shared" si="173"/>
        <v>139.76132574448636</v>
      </c>
      <c r="CW164" s="22">
        <f t="shared" si="174"/>
        <v>1364.7686445383138</v>
      </c>
      <c r="CX164" s="62">
        <f t="shared" si="122"/>
        <v>1658.101977871647</v>
      </c>
      <c r="CY164" s="62">
        <f ca="1">AVERAGE(OFFSET($CX$3,0,0,'Données projet'!$E$13+1,1))-AVERAGE(OFFSET($H$3,0,0,'Données projet'!$E$13+1,1))</f>
        <v>720.47588458554264</v>
      </c>
      <c r="CZ164" s="62">
        <f t="shared" si="150"/>
        <v>638.59686934821627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1.8408733973151463</v>
      </c>
      <c r="DG164" s="23">
        <f>EXP(-LN(2)/25)*DG163+(1-EXP(-LN(2)/25))/(LN(2)/25)*Calculateur!DB164*Calculateur!DD164*VLOOKUP('Données projet'!$B$13,Paramètres!$A$1:$I$89,3,0)*0.475*44/12</f>
        <v>0.71534433529873653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2.5562177326138826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751.18</v>
      </c>
      <c r="O165" s="14">
        <f>N165*VLOOKUP('Données projet'!$B$9,Paramètres!$A$1:$I$89,3,0)*VLOOKUP('Données projet'!$B$9,Paramètres!$A$1:$I$89,5,0)</f>
        <v>351.55223999999993</v>
      </c>
      <c r="P165" s="14">
        <f t="shared" si="141"/>
        <v>81.882051211276618</v>
      </c>
      <c r="Q165" s="22">
        <f t="shared" si="162"/>
        <v>754.89805719297328</v>
      </c>
      <c r="R165" s="62">
        <f t="shared" si="109"/>
        <v>1048.2313905263065</v>
      </c>
      <c r="S165" s="62">
        <f ca="1">AVERAGE(OFFSET($R$3,0,0,'Données projet'!$E$9+1,1))-AVERAGE(OFFSET($H$3,0,0,'Données projet'!$E$9+1,1))</f>
        <v>309.95417097673084</v>
      </c>
      <c r="T165" s="62">
        <f t="shared" si="142"/>
        <v>170.83243426024433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1.5907396528598741</v>
      </c>
      <c r="AA165" s="23">
        <f>EXP(-LN(2)/25)*AA164+(1-EXP(-LN(2)/25))/(LN(2)/25)*Calculateur!V165*Calculateur!X165*VLOOKUP('Données projet'!$B$9,Paramètres!$A$1:$I$89,3,0)*0.475*44/12</f>
        <v>4.2543502521397016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5.8450899049995755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4.4491666666666703</v>
      </c>
      <c r="AI165" s="14">
        <f>IF('Données projet'!$A$62&gt;35,AI164+AH165-AQ164,IF(A165&lt;'Données projet'!$A$62,$AF$205^A165,IF(A165='Données projet'!$A$62,'Données projet'!$B$62,AI164+AH165-AQ164)))</f>
        <v>383.4558333333319</v>
      </c>
      <c r="AJ165" s="14">
        <f>AI165*VLOOKUP('Données projet'!$B$10,Paramètres!$A$1:$I$89,3,0)*VLOOKUP('Données projet'!$B$10,Paramètres!$A$1:$I$89,5,0)</f>
        <v>388.82421499999856</v>
      </c>
      <c r="AK165" s="14">
        <f t="shared" si="164"/>
        <v>89.507223207179877</v>
      </c>
      <c r="AL165" s="22">
        <f t="shared" si="165"/>
        <v>833.09392154416912</v>
      </c>
      <c r="AM165" s="62">
        <f t="shared" si="113"/>
        <v>1126.4272548775025</v>
      </c>
      <c r="AN165" s="62">
        <f ca="1">AVERAGE(OFFSET($AM$3,0,0,'Données projet'!$E$10+1,1))-AVERAGE(OFFSET($H$3,0,0,'Données projet'!$E$10+1,1))</f>
        <v>408.65944152905672</v>
      </c>
      <c r="AO165" s="62">
        <f t="shared" si="144"/>
        <v>248.55239719988651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11.660000604683749</v>
      </c>
      <c r="AV165" s="23">
        <f>EXP(-LN(2)/25)*AV164+(1-EXP(-LN(2)/25))/(LN(2)/25)*Calculateur!AQ165*Calculateur!AS165*VLOOKUP('Données projet'!$B$10,Paramètres!$A$1:$I$89,3,0)*0.475*44/12</f>
        <v>6.4126659464989562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18.072666551182706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598.14</v>
      </c>
      <c r="BE165" s="14">
        <f>BD165*VLOOKUP('Données projet'!$B$11,Paramètres!$A$1:$I$89,3,0)*VLOOKUP('Données projet'!$B$11,Paramètres!$A$1:$I$89,5,0)</f>
        <v>578.52100799999994</v>
      </c>
      <c r="BF165" s="14">
        <f t="shared" si="167"/>
        <v>127.15611541885089</v>
      </c>
      <c r="BG165" s="22">
        <f t="shared" si="168"/>
        <v>1229.0543232878317</v>
      </c>
      <c r="BH165" s="62">
        <f t="shared" si="116"/>
        <v>1522.387656621165</v>
      </c>
      <c r="BI165" s="62">
        <f ca="1">AVERAGE(OFFSET($BH$3,0,0,'Données projet'!$E$11+1,1))-AVERAGE(OFFSET($H$3,0,0,'Données projet'!$E$11+1,1))</f>
        <v>643.38601112255424</v>
      </c>
      <c r="BJ165" s="62">
        <f t="shared" si="146"/>
        <v>572.76381622085694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1.6216818776025121</v>
      </c>
      <c r="BQ165" s="23">
        <f>EXP(-LN(2)/25)*BQ164+(1-EXP(-LN(2)/25))/(LN(2)/25)*Calculateur!BL165*Calculateur!BN165*VLOOKUP('Données projet'!$B$11,Paramètres!$A$1:$I$89,3,0)*0.475*44/12</f>
        <v>0.62519650468932664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2.2468783822918388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505.23000000000025</v>
      </c>
      <c r="BZ165" s="14">
        <f>BY165*VLOOKUP('Données projet'!$B$12,Paramètres!$A$1:$I$89,3,0)*VLOOKUP('Données projet'!$B$12,Paramètres!$A$1:$I$89,5,0)</f>
        <v>338.90828400000015</v>
      </c>
      <c r="CA165" s="14">
        <f t="shared" si="170"/>
        <v>79.274348782791407</v>
      </c>
      <c r="CB165" s="22">
        <f t="shared" si="171"/>
        <v>728.33475209669507</v>
      </c>
      <c r="CC165" s="62">
        <f t="shared" si="119"/>
        <v>1021.6680854300284</v>
      </c>
      <c r="CD165" s="62">
        <f ca="1">AVERAGE(OFFSET($CC$3,0,0,'Données projet'!$E$12+1,1))-AVERAGE(OFFSET($H$3,0,0,'Données projet'!$E$12+1,1))</f>
        <v>323.41415875740768</v>
      </c>
      <c r="CE165" s="62">
        <f t="shared" si="148"/>
        <v>496.54020068152101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598.14</v>
      </c>
      <c r="CU165" s="18">
        <f>CT165*VLOOKUP('Données projet'!$B$13,Paramètres!$A$1:$I$89,3,0)*VLOOKUP('Données projet'!$B$13,Paramètres!$A$1:$I$89,5,0)</f>
        <v>643.837896</v>
      </c>
      <c r="CV165" s="14">
        <f t="shared" si="173"/>
        <v>139.76132574448636</v>
      </c>
      <c r="CW165" s="22">
        <f t="shared" si="174"/>
        <v>1364.7686445383138</v>
      </c>
      <c r="CX165" s="62">
        <f t="shared" si="122"/>
        <v>1658.101977871647</v>
      </c>
      <c r="CY165" s="62">
        <f ca="1">AVERAGE(OFFSET($CX$3,0,0,'Données projet'!$E$13+1,1))-AVERAGE(OFFSET($H$3,0,0,'Données projet'!$E$13+1,1))</f>
        <v>720.47588458554264</v>
      </c>
      <c r="CZ165" s="62">
        <f t="shared" si="150"/>
        <v>638.59686934821627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1.8047749928156993</v>
      </c>
      <c r="DG165" s="23">
        <f>EXP(-LN(2)/25)*DG164+(1-EXP(-LN(2)/25))/(LN(2)/25)*Calculateur!DB165*Calculateur!DD165*VLOOKUP('Données projet'!$B$13,Paramètres!$A$1:$I$89,3,0)*0.475*44/12</f>
        <v>0.69578320683166894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2.5005581996473683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751.18</v>
      </c>
      <c r="O166" s="14">
        <f>N166*VLOOKUP('Données projet'!$B$9,Paramètres!$A$1:$I$89,3,0)*VLOOKUP('Données projet'!$B$9,Paramètres!$A$1:$I$89,5,0)</f>
        <v>351.55223999999993</v>
      </c>
      <c r="P166" s="14">
        <f t="shared" si="141"/>
        <v>81.882051211276618</v>
      </c>
      <c r="Q166" s="22">
        <f t="shared" si="162"/>
        <v>754.89805719297328</v>
      </c>
      <c r="R166" s="62">
        <f t="shared" si="109"/>
        <v>1048.2313905263065</v>
      </c>
      <c r="S166" s="62">
        <f ca="1">AVERAGE(OFFSET($R$3,0,0,'Données projet'!$E$9+1,1))-AVERAGE(OFFSET($H$3,0,0,'Données projet'!$E$9+1,1))</f>
        <v>309.95417097673084</v>
      </c>
      <c r="T166" s="62">
        <f t="shared" si="142"/>
        <v>170.83243426024433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1.5595462185226754</v>
      </c>
      <c r="AA166" s="23">
        <f>EXP(-LN(2)/25)*AA165+(1-EXP(-LN(2)/25))/(LN(2)/25)*Calculateur!V166*Calculateur!X166*VLOOKUP('Données projet'!$B$9,Paramètres!$A$1:$I$89,3,0)*0.475*44/12</f>
        <v>4.1380148207683849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5.6975610392910605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4.4491666666666703</v>
      </c>
      <c r="AI166" s="14">
        <f>IF('Données projet'!$A$62&gt;35,AI165+AH166-AQ165,IF(A166&lt;'Données projet'!$A$62,$AF$205^A166,IF(A166='Données projet'!$A$62,'Données projet'!$B$62,AI165+AH166-AQ165)))</f>
        <v>387.90499999999855</v>
      </c>
      <c r="AJ166" s="14">
        <f>AI166*VLOOKUP('Données projet'!$B$10,Paramètres!$A$1:$I$89,3,0)*VLOOKUP('Données projet'!$B$10,Paramètres!$A$1:$I$89,5,0)</f>
        <v>393.33566999999857</v>
      </c>
      <c r="AK166" s="14">
        <f t="shared" si="164"/>
        <v>90.424256294467142</v>
      </c>
      <c r="AL166" s="22">
        <f t="shared" si="165"/>
        <v>842.54853829619435</v>
      </c>
      <c r="AM166" s="62">
        <f t="shared" si="113"/>
        <v>1135.8818716295277</v>
      </c>
      <c r="AN166" s="62">
        <f ca="1">AVERAGE(OFFSET($AM$3,0,0,'Données projet'!$E$10+1,1))-AVERAGE(OFFSET($H$3,0,0,'Données projet'!$E$10+1,1))</f>
        <v>408.65944152905672</v>
      </c>
      <c r="AO166" s="62">
        <f t="shared" si="144"/>
        <v>248.55239719988651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11.431355104724027</v>
      </c>
      <c r="AV166" s="23">
        <f>EXP(-LN(2)/25)*AV165+(1-EXP(-LN(2)/25))/(LN(2)/25)*Calculateur!AQ166*Calculateur!AS166*VLOOKUP('Données projet'!$B$10,Paramètres!$A$1:$I$89,3,0)*0.475*44/12</f>
        <v>6.2373112589644961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17.668666363688523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598.14</v>
      </c>
      <c r="BE166" s="14">
        <f>BD166*VLOOKUP('Données projet'!$B$11,Paramètres!$A$1:$I$89,3,0)*VLOOKUP('Données projet'!$B$11,Paramètres!$A$1:$I$89,5,0)</f>
        <v>578.52100799999994</v>
      </c>
      <c r="BF166" s="14">
        <f t="shared" si="167"/>
        <v>127.15611541885089</v>
      </c>
      <c r="BG166" s="22">
        <f t="shared" si="168"/>
        <v>1229.0543232878317</v>
      </c>
      <c r="BH166" s="62">
        <f t="shared" si="116"/>
        <v>1522.387656621165</v>
      </c>
      <c r="BI166" s="62">
        <f ca="1">AVERAGE(OFFSET($BH$3,0,0,'Données projet'!$E$11+1,1))-AVERAGE(OFFSET($H$3,0,0,'Données projet'!$E$11+1,1))</f>
        <v>643.38601112255424</v>
      </c>
      <c r="BJ166" s="62">
        <f t="shared" si="146"/>
        <v>572.76381622085694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1.5898816851110038</v>
      </c>
      <c r="BQ166" s="23">
        <f>EXP(-LN(2)/25)*BQ165+(1-EXP(-LN(2)/25))/(LN(2)/25)*Calculateur!BL166*Calculateur!BN166*VLOOKUP('Données projet'!$B$11,Paramètres!$A$1:$I$89,3,0)*0.475*44/12</f>
        <v>0.60810047339094175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2.1979821585019454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505.23000000000025</v>
      </c>
      <c r="BZ166" s="14">
        <f>BY166*VLOOKUP('Données projet'!$B$12,Paramètres!$A$1:$I$89,3,0)*VLOOKUP('Données projet'!$B$12,Paramètres!$A$1:$I$89,5,0)</f>
        <v>338.90828400000015</v>
      </c>
      <c r="CA166" s="14">
        <f t="shared" si="170"/>
        <v>79.274348782791407</v>
      </c>
      <c r="CB166" s="22">
        <f t="shared" si="171"/>
        <v>728.33475209669507</v>
      </c>
      <c r="CC166" s="62">
        <f t="shared" si="119"/>
        <v>1021.6680854300284</v>
      </c>
      <c r="CD166" s="62">
        <f ca="1">AVERAGE(OFFSET($CC$3,0,0,'Données projet'!$E$12+1,1))-AVERAGE(OFFSET($H$3,0,0,'Données projet'!$E$12+1,1))</f>
        <v>323.41415875740768</v>
      </c>
      <c r="CE166" s="62">
        <f t="shared" si="148"/>
        <v>496.54020068152101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598.14</v>
      </c>
      <c r="CU166" s="18">
        <f>CT166*VLOOKUP('Données projet'!$B$13,Paramètres!$A$1:$I$89,3,0)*VLOOKUP('Données projet'!$B$13,Paramètres!$A$1:$I$89,5,0)</f>
        <v>643.837896</v>
      </c>
      <c r="CV166" s="14">
        <f t="shared" si="173"/>
        <v>139.76132574448636</v>
      </c>
      <c r="CW166" s="22">
        <f t="shared" si="174"/>
        <v>1364.7686445383138</v>
      </c>
      <c r="CX166" s="62">
        <f t="shared" si="122"/>
        <v>1658.101977871647</v>
      </c>
      <c r="CY166" s="62">
        <f ca="1">AVERAGE(OFFSET($CX$3,0,0,'Données projet'!$E$13+1,1))-AVERAGE(OFFSET($H$3,0,0,'Données projet'!$E$13+1,1))</f>
        <v>720.47588458554264</v>
      </c>
      <c r="CZ166" s="62">
        <f t="shared" si="150"/>
        <v>638.59686934821627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1.7693844560106338</v>
      </c>
      <c r="DG166" s="23">
        <f>EXP(-LN(2)/25)*DG165+(1-EXP(-LN(2)/25))/(LN(2)/25)*Calculateur!DB166*Calculateur!DD166*VLOOKUP('Données projet'!$B$13,Paramètres!$A$1:$I$89,3,0)*0.475*44/12</f>
        <v>0.6767569784512083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2.446141434461842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751.18</v>
      </c>
      <c r="O167" s="14">
        <f>N167*VLOOKUP('Données projet'!$B$9,Paramètres!$A$1:$I$89,3,0)*VLOOKUP('Données projet'!$B$9,Paramètres!$A$1:$I$89,5,0)</f>
        <v>351.55223999999993</v>
      </c>
      <c r="P167" s="14">
        <f t="shared" si="141"/>
        <v>81.882051211276618</v>
      </c>
      <c r="Q167" s="22">
        <f t="shared" si="162"/>
        <v>754.89805719297328</v>
      </c>
      <c r="R167" s="62">
        <f t="shared" si="109"/>
        <v>1048.2313905263065</v>
      </c>
      <c r="S167" s="62">
        <f ca="1">AVERAGE(OFFSET($R$3,0,0,'Données projet'!$E$9+1,1))-AVERAGE(OFFSET($H$3,0,0,'Données projet'!$E$9+1,1))</f>
        <v>309.95417097673084</v>
      </c>
      <c r="T167" s="62">
        <f t="shared" si="142"/>
        <v>170.83243426024433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1.528964468406713</v>
      </c>
      <c r="AA167" s="23">
        <f>EXP(-LN(2)/25)*AA166+(1-EXP(-LN(2)/25))/(LN(2)/25)*Calculateur!V167*Calculateur!X167*VLOOKUP('Données projet'!$B$9,Paramètres!$A$1:$I$89,3,0)*0.475*44/12</f>
        <v>4.0248605878857315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5.5538250562924443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4.4491666666666703</v>
      </c>
      <c r="AI167" s="14">
        <f>IF('Données projet'!$A$62&gt;35,AI166+AH167-AQ166,IF(A167&lt;'Données projet'!$A$62,$AF$205^A167,IF(A167='Données projet'!$A$62,'Données projet'!$B$62,AI166+AH167-AQ166)))</f>
        <v>392.35416666666521</v>
      </c>
      <c r="AJ167" s="14">
        <f>AI167*VLOOKUP('Données projet'!$B$10,Paramètres!$A$1:$I$89,3,0)*VLOOKUP('Données projet'!$B$10,Paramètres!$A$1:$I$89,5,0)</f>
        <v>397.84712499999853</v>
      </c>
      <c r="AK167" s="14">
        <f t="shared" si="164"/>
        <v>91.340065860614857</v>
      </c>
      <c r="AL167" s="22">
        <f t="shared" si="165"/>
        <v>852.00102408223495</v>
      </c>
      <c r="AM167" s="62">
        <f t="shared" si="113"/>
        <v>1145.3343574155683</v>
      </c>
      <c r="AN167" s="62">
        <f ca="1">AVERAGE(OFFSET($AM$3,0,0,'Données projet'!$E$10+1,1))-AVERAGE(OFFSET($H$3,0,0,'Données projet'!$E$10+1,1))</f>
        <v>408.65944152905672</v>
      </c>
      <c r="AO167" s="62">
        <f t="shared" si="144"/>
        <v>248.55239719988651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11.207193203558532</v>
      </c>
      <c r="AV167" s="23">
        <f>EXP(-LN(2)/25)*AV166+(1-EXP(-LN(2)/25))/(LN(2)/25)*Calculateur!AQ167*Calculateur!AS167*VLOOKUP('Données projet'!$B$10,Paramètres!$A$1:$I$89,3,0)*0.475*44/12</f>
        <v>6.066751654582168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17.273944858140702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598.14</v>
      </c>
      <c r="BE167" s="14">
        <f>BD167*VLOOKUP('Données projet'!$B$11,Paramètres!$A$1:$I$89,3,0)*VLOOKUP('Données projet'!$B$11,Paramètres!$A$1:$I$89,5,0)</f>
        <v>578.52100799999994</v>
      </c>
      <c r="BF167" s="14">
        <f t="shared" si="167"/>
        <v>127.15611541885089</v>
      </c>
      <c r="BG167" s="22">
        <f t="shared" si="168"/>
        <v>1229.0543232878317</v>
      </c>
      <c r="BH167" s="62">
        <f t="shared" si="116"/>
        <v>1522.387656621165</v>
      </c>
      <c r="BI167" s="62">
        <f ca="1">AVERAGE(OFFSET($BH$3,0,0,'Données projet'!$E$11+1,1))-AVERAGE(OFFSET($H$3,0,0,'Données projet'!$E$11+1,1))</f>
        <v>643.38601112255424</v>
      </c>
      <c r="BJ167" s="62">
        <f t="shared" si="146"/>
        <v>572.76381622085694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1.5587050749980518</v>
      </c>
      <c r="BQ167" s="23">
        <f>EXP(-LN(2)/25)*BQ166+(1-EXP(-LN(2)/25))/(LN(2)/25)*Calculateur!BL167*Calculateur!BN167*VLOOKUP('Données projet'!$B$11,Paramètres!$A$1:$I$89,3,0)*0.475*44/12</f>
        <v>0.59147193396745235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2.1501770089655041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505.23000000000025</v>
      </c>
      <c r="BZ167" s="14">
        <f>BY167*VLOOKUP('Données projet'!$B$12,Paramètres!$A$1:$I$89,3,0)*VLOOKUP('Données projet'!$B$12,Paramètres!$A$1:$I$89,5,0)</f>
        <v>338.90828400000015</v>
      </c>
      <c r="CA167" s="14">
        <f t="shared" si="170"/>
        <v>79.274348782791407</v>
      </c>
      <c r="CB167" s="22">
        <f t="shared" si="171"/>
        <v>728.33475209669507</v>
      </c>
      <c r="CC167" s="62">
        <f t="shared" si="119"/>
        <v>1021.6680854300284</v>
      </c>
      <c r="CD167" s="62">
        <f ca="1">AVERAGE(OFFSET($CC$3,0,0,'Données projet'!$E$12+1,1))-AVERAGE(OFFSET($H$3,0,0,'Données projet'!$E$12+1,1))</f>
        <v>323.41415875740768</v>
      </c>
      <c r="CE167" s="62">
        <f t="shared" si="148"/>
        <v>496.54020068152101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598.14</v>
      </c>
      <c r="CU167" s="18">
        <f>CT167*VLOOKUP('Données projet'!$B$13,Paramètres!$A$1:$I$89,3,0)*VLOOKUP('Données projet'!$B$13,Paramètres!$A$1:$I$89,5,0)</f>
        <v>643.837896</v>
      </c>
      <c r="CV167" s="14">
        <f t="shared" si="173"/>
        <v>139.76132574448636</v>
      </c>
      <c r="CW167" s="22">
        <f t="shared" si="174"/>
        <v>1364.7686445383138</v>
      </c>
      <c r="CX167" s="62">
        <f t="shared" si="122"/>
        <v>1658.101977871647</v>
      </c>
      <c r="CY167" s="62">
        <f ca="1">AVERAGE(OFFSET($CX$3,0,0,'Données projet'!$E$13+1,1))-AVERAGE(OFFSET($H$3,0,0,'Données projet'!$E$13+1,1))</f>
        <v>720.47588458554264</v>
      </c>
      <c r="CZ167" s="62">
        <f t="shared" si="150"/>
        <v>638.59686934821627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1.7346879060462195</v>
      </c>
      <c r="DG167" s="23">
        <f>EXP(-LN(2)/25)*DG166+(1-EXP(-LN(2)/25))/(LN(2)/25)*Calculateur!DB167*Calculateur!DD167*VLOOKUP('Données projet'!$B$13,Paramètres!$A$1:$I$89,3,0)*0.475*44/12</f>
        <v>0.65825102328635732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2.3929389293325767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751.18</v>
      </c>
      <c r="O168" s="14">
        <f>N168*VLOOKUP('Données projet'!$B$9,Paramètres!$A$1:$I$89,3,0)*VLOOKUP('Données projet'!$B$9,Paramètres!$A$1:$I$89,5,0)</f>
        <v>351.55223999999993</v>
      </c>
      <c r="P168" s="14">
        <f t="shared" si="141"/>
        <v>81.882051211276618</v>
      </c>
      <c r="Q168" s="22">
        <f t="shared" si="162"/>
        <v>754.89805719297328</v>
      </c>
      <c r="R168" s="62">
        <f t="shared" si="109"/>
        <v>1048.2313905263065</v>
      </c>
      <c r="S168" s="62">
        <f ca="1">AVERAGE(OFFSET($R$3,0,0,'Données projet'!$E$9+1,1))-AVERAGE(OFFSET($H$3,0,0,'Données projet'!$E$9+1,1))</f>
        <v>309.95417097673084</v>
      </c>
      <c r="T168" s="62">
        <f t="shared" si="142"/>
        <v>170.83243426024433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1.4989824077574987</v>
      </c>
      <c r="AA168" s="23">
        <f>EXP(-LN(2)/25)*AA167+(1-EXP(-LN(2)/25))/(LN(2)/25)*Calculateur!V168*Calculateur!X168*VLOOKUP('Données projet'!$B$9,Paramètres!$A$1:$I$89,3,0)*0.475*44/12</f>
        <v>3.9148005634517768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5.413782971209276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4.4491666666666703</v>
      </c>
      <c r="AI168" s="14">
        <f>IF('Données projet'!$A$62&gt;35,AI167+AH168-AQ167,IF(A168&lt;'Données projet'!$A$62,$AF$205^A168,IF(A168='Données projet'!$A$62,'Données projet'!$B$62,AI167+AH168-AQ167)))</f>
        <v>396.80333333333186</v>
      </c>
      <c r="AJ168" s="14">
        <f>AI168*VLOOKUP('Données projet'!$B$10,Paramètres!$A$1:$I$89,3,0)*VLOOKUP('Données projet'!$B$10,Paramètres!$A$1:$I$89,5,0)</f>
        <v>402.35857999999848</v>
      </c>
      <c r="AK168" s="14">
        <f t="shared" si="164"/>
        <v>92.254667385369061</v>
      </c>
      <c r="AL168" s="22">
        <f t="shared" si="165"/>
        <v>861.45140586284845</v>
      </c>
      <c r="AM168" s="62">
        <f t="shared" si="113"/>
        <v>1154.7847391961818</v>
      </c>
      <c r="AN168" s="62">
        <f ca="1">AVERAGE(OFFSET($AM$3,0,0,'Données projet'!$E$10+1,1))-AVERAGE(OFFSET($H$3,0,0,'Données projet'!$E$10+1,1))</f>
        <v>408.65944152905672</v>
      </c>
      <c r="AO168" s="62">
        <f t="shared" si="144"/>
        <v>248.55239719988651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10.987426980549634</v>
      </c>
      <c r="AV168" s="23">
        <f>EXP(-LN(2)/25)*AV167+(1-EXP(-LN(2)/25))/(LN(2)/25)*Calculateur!AQ168*Calculateur!AS168*VLOOKUP('Données projet'!$B$10,Paramètres!$A$1:$I$89,3,0)*0.475*44/12</f>
        <v>5.9008560115510145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16.888282992100649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598.14</v>
      </c>
      <c r="BE168" s="14">
        <f>BD168*VLOOKUP('Données projet'!$B$11,Paramètres!$A$1:$I$89,3,0)*VLOOKUP('Données projet'!$B$11,Paramètres!$A$1:$I$89,5,0)</f>
        <v>578.52100799999994</v>
      </c>
      <c r="BF168" s="14">
        <f t="shared" si="167"/>
        <v>127.15611541885089</v>
      </c>
      <c r="BG168" s="22">
        <f t="shared" si="168"/>
        <v>1229.0543232878317</v>
      </c>
      <c r="BH168" s="62">
        <f t="shared" si="116"/>
        <v>1522.387656621165</v>
      </c>
      <c r="BI168" s="62">
        <f ca="1">AVERAGE(OFFSET($BH$3,0,0,'Données projet'!$E$11+1,1))-AVERAGE(OFFSET($H$3,0,0,'Données projet'!$E$11+1,1))</f>
        <v>643.38601112255424</v>
      </c>
      <c r="BJ168" s="62">
        <f t="shared" si="146"/>
        <v>572.76381622085694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1.5281398191935602</v>
      </c>
      <c r="BQ168" s="23">
        <f>EXP(-LN(2)/25)*BQ167+(1-EXP(-LN(2)/25))/(LN(2)/25)*Calculateur!BL168*Calculateur!BN168*VLOOKUP('Données projet'!$B$11,Paramètres!$A$1:$I$89,3,0)*0.475*44/12</f>
        <v>0.57529810282895522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2.1034379220225157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505.23000000000025</v>
      </c>
      <c r="BZ168" s="14">
        <f>BY168*VLOOKUP('Données projet'!$B$12,Paramètres!$A$1:$I$89,3,0)*VLOOKUP('Données projet'!$B$12,Paramètres!$A$1:$I$89,5,0)</f>
        <v>338.90828400000015</v>
      </c>
      <c r="CA168" s="14">
        <f t="shared" si="170"/>
        <v>79.274348782791407</v>
      </c>
      <c r="CB168" s="22">
        <f t="shared" si="171"/>
        <v>728.33475209669507</v>
      </c>
      <c r="CC168" s="62">
        <f t="shared" si="119"/>
        <v>1021.6680854300284</v>
      </c>
      <c r="CD168" s="62">
        <f ca="1">AVERAGE(OFFSET($CC$3,0,0,'Données projet'!$E$12+1,1))-AVERAGE(OFFSET($H$3,0,0,'Données projet'!$E$12+1,1))</f>
        <v>323.41415875740768</v>
      </c>
      <c r="CE168" s="62">
        <f t="shared" si="148"/>
        <v>496.54020068152101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598.14</v>
      </c>
      <c r="CU168" s="18">
        <f>CT168*VLOOKUP('Données projet'!$B$13,Paramètres!$A$1:$I$89,3,0)*VLOOKUP('Données projet'!$B$13,Paramètres!$A$1:$I$89,5,0)</f>
        <v>643.837896</v>
      </c>
      <c r="CV168" s="14">
        <f t="shared" si="173"/>
        <v>139.76132574448636</v>
      </c>
      <c r="CW168" s="22">
        <f t="shared" si="174"/>
        <v>1364.7686445383138</v>
      </c>
      <c r="CX168" s="62">
        <f t="shared" si="122"/>
        <v>1658.101977871647</v>
      </c>
      <c r="CY168" s="62">
        <f ca="1">AVERAGE(OFFSET($CX$3,0,0,'Données projet'!$E$13+1,1))-AVERAGE(OFFSET($H$3,0,0,'Données projet'!$E$13+1,1))</f>
        <v>720.47588458554264</v>
      </c>
      <c r="CZ168" s="62">
        <f t="shared" si="150"/>
        <v>638.59686934821627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1.7006717342638016</v>
      </c>
      <c r="DG168" s="23">
        <f>EXP(-LN(2)/25)*DG167+(1-EXP(-LN(2)/25))/(LN(2)/25)*Calculateur!DB168*Calculateur!DD168*VLOOKUP('Données projet'!$B$13,Paramètres!$A$1:$I$89,3,0)*0.475*44/12</f>
        <v>0.640251114438675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2.3409228487024767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751.18</v>
      </c>
      <c r="O169" s="14">
        <f>N169*VLOOKUP('Données projet'!$B$9,Paramètres!$A$1:$I$89,3,0)*VLOOKUP('Données projet'!$B$9,Paramètres!$A$1:$I$89,5,0)</f>
        <v>351.55223999999993</v>
      </c>
      <c r="P169" s="14">
        <f t="shared" si="141"/>
        <v>81.882051211276618</v>
      </c>
      <c r="Q169" s="22">
        <f t="shared" si="162"/>
        <v>754.89805719297328</v>
      </c>
      <c r="R169" s="62">
        <f t="shared" si="109"/>
        <v>1048.2313905263065</v>
      </c>
      <c r="S169" s="62">
        <f ca="1">AVERAGE(OFFSET($R$3,0,0,'Données projet'!$E$9+1,1))-AVERAGE(OFFSET($H$3,0,0,'Données projet'!$E$9+1,1))</f>
        <v>309.95417097673084</v>
      </c>
      <c r="T169" s="62">
        <f t="shared" si="142"/>
        <v>170.83243426024433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1.4695882770303643</v>
      </c>
      <c r="AA169" s="23">
        <f>EXP(-LN(2)/25)*AA168+(1-EXP(-LN(2)/25))/(LN(2)/25)*Calculateur!V169*Calculateur!X169*VLOOKUP('Données projet'!$B$9,Paramètres!$A$1:$I$89,3,0)*0.475*44/12</f>
        <v>3.8077501361737736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5.2773384132041379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4.4491666666666703</v>
      </c>
      <c r="AI169" s="14">
        <f>IF('Données projet'!$A$62&gt;35,AI168+AH169-AQ168,IF(A169&lt;'Données projet'!$A$62,$AF$205^A169,IF(A169='Données projet'!$A$62,'Données projet'!$B$62,AI168+AH169-AQ168)))</f>
        <v>401.25249999999852</v>
      </c>
      <c r="AJ169" s="14">
        <f>AI169*VLOOKUP('Données projet'!$B$10,Paramètres!$A$1:$I$89,3,0)*VLOOKUP('Données projet'!$B$10,Paramètres!$A$1:$I$89,5,0)</f>
        <v>406.8700349999985</v>
      </c>
      <c r="AK169" s="14">
        <f t="shared" si="164"/>
        <v>93.168075981355329</v>
      </c>
      <c r="AL169" s="22">
        <f t="shared" si="165"/>
        <v>870.89970995919123</v>
      </c>
      <c r="AM169" s="62">
        <f t="shared" si="113"/>
        <v>1164.2330432925246</v>
      </c>
      <c r="AN169" s="62">
        <f ca="1">AVERAGE(OFFSET($AM$3,0,0,'Données projet'!$E$10+1,1))-AVERAGE(OFFSET($H$3,0,0,'Données projet'!$E$10+1,1))</f>
        <v>408.65944152905672</v>
      </c>
      <c r="AO169" s="62">
        <f t="shared" si="144"/>
        <v>248.55239719988651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10.771970239129779</v>
      </c>
      <c r="AV169" s="23">
        <f>EXP(-LN(2)/25)*AV168+(1-EXP(-LN(2)/25))/(LN(2)/25)*Calculateur!AQ169*Calculateur!AS169*VLOOKUP('Données projet'!$B$10,Paramètres!$A$1:$I$89,3,0)*0.475*44/12</f>
        <v>5.7394967936026209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16.511467032732398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598.14</v>
      </c>
      <c r="BE169" s="14">
        <f>BD169*VLOOKUP('Données projet'!$B$11,Paramètres!$A$1:$I$89,3,0)*VLOOKUP('Données projet'!$B$11,Paramètres!$A$1:$I$89,5,0)</f>
        <v>578.52100799999994</v>
      </c>
      <c r="BF169" s="14">
        <f t="shared" si="167"/>
        <v>127.15611541885089</v>
      </c>
      <c r="BG169" s="22">
        <f t="shared" si="168"/>
        <v>1229.0543232878317</v>
      </c>
      <c r="BH169" s="62">
        <f t="shared" si="116"/>
        <v>1522.387656621165</v>
      </c>
      <c r="BI169" s="62">
        <f ca="1">AVERAGE(OFFSET($BH$3,0,0,'Données projet'!$E$11+1,1))-AVERAGE(OFFSET($H$3,0,0,'Données projet'!$E$11+1,1))</f>
        <v>643.38601112255424</v>
      </c>
      <c r="BJ169" s="62">
        <f t="shared" si="146"/>
        <v>572.76381622085694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1.4981739294124297</v>
      </c>
      <c r="BQ169" s="23">
        <f>EXP(-LN(2)/25)*BQ168+(1-EXP(-LN(2)/25))/(LN(2)/25)*Calculateur!BL169*Calculateur!BN169*VLOOKUP('Données projet'!$B$11,Paramètres!$A$1:$I$89,3,0)*0.475*44/12</f>
        <v>0.55956654595348509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2.0577404753659145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505.23000000000025</v>
      </c>
      <c r="BZ169" s="14">
        <f>BY169*VLOOKUP('Données projet'!$B$12,Paramètres!$A$1:$I$89,3,0)*VLOOKUP('Données projet'!$B$12,Paramètres!$A$1:$I$89,5,0)</f>
        <v>338.90828400000015</v>
      </c>
      <c r="CA169" s="14">
        <f t="shared" si="170"/>
        <v>79.274348782791407</v>
      </c>
      <c r="CB169" s="22">
        <f t="shared" si="171"/>
        <v>728.33475209669507</v>
      </c>
      <c r="CC169" s="62">
        <f t="shared" si="119"/>
        <v>1021.6680854300284</v>
      </c>
      <c r="CD169" s="62">
        <f ca="1">AVERAGE(OFFSET($CC$3,0,0,'Données projet'!$E$12+1,1))-AVERAGE(OFFSET($H$3,0,0,'Données projet'!$E$12+1,1))</f>
        <v>323.41415875740768</v>
      </c>
      <c r="CE169" s="62">
        <f t="shared" si="148"/>
        <v>496.54020068152101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598.14</v>
      </c>
      <c r="CU169" s="18">
        <f>CT169*VLOOKUP('Données projet'!$B$13,Paramètres!$A$1:$I$89,3,0)*VLOOKUP('Données projet'!$B$13,Paramètres!$A$1:$I$89,5,0)</f>
        <v>643.837896</v>
      </c>
      <c r="CV169" s="14">
        <f t="shared" si="173"/>
        <v>139.76132574448636</v>
      </c>
      <c r="CW169" s="22">
        <f t="shared" si="174"/>
        <v>1364.7686445383138</v>
      </c>
      <c r="CX169" s="62">
        <f t="shared" si="122"/>
        <v>1658.101977871647</v>
      </c>
      <c r="CY169" s="62">
        <f ca="1">AVERAGE(OFFSET($CX$3,0,0,'Données projet'!$E$13+1,1))-AVERAGE(OFFSET($H$3,0,0,'Données projet'!$E$13+1,1))</f>
        <v>720.47588458554264</v>
      </c>
      <c r="CZ169" s="62">
        <f t="shared" si="150"/>
        <v>638.59686934821627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1.6673225988622207</v>
      </c>
      <c r="DG169" s="23">
        <f>EXP(-LN(2)/25)*DG168+(1-EXP(-LN(2)/25))/(LN(2)/25)*Calculateur!DB169*Calculateur!DD169*VLOOKUP('Données projet'!$B$13,Paramètres!$A$1:$I$89,3,0)*0.475*44/12</f>
        <v>0.62274341404500666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2.2900660129072272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751.18</v>
      </c>
      <c r="O170" s="14">
        <f>N170*VLOOKUP('Données projet'!$B$9,Paramètres!$A$1:$I$89,3,0)*VLOOKUP('Données projet'!$B$9,Paramètres!$A$1:$I$89,5,0)</f>
        <v>351.55223999999993</v>
      </c>
      <c r="P170" s="14">
        <f t="shared" si="141"/>
        <v>81.882051211276618</v>
      </c>
      <c r="Q170" s="22">
        <f t="shared" si="162"/>
        <v>754.89805719297328</v>
      </c>
      <c r="R170" s="62">
        <f t="shared" si="109"/>
        <v>1048.2313905263065</v>
      </c>
      <c r="S170" s="62">
        <f ca="1">AVERAGE(OFFSET($R$3,0,0,'Données projet'!$E$9+1,1))-AVERAGE(OFFSET($H$3,0,0,'Données projet'!$E$9+1,1))</f>
        <v>309.95417097673084</v>
      </c>
      <c r="T170" s="62">
        <f t="shared" si="142"/>
        <v>170.83243426024433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1.4407705472781396</v>
      </c>
      <c r="AA170" s="23">
        <f>EXP(-LN(2)/25)*AA169+(1-EXP(-LN(2)/25))/(LN(2)/25)*Calculateur!V170*Calculateur!X170*VLOOKUP('Données projet'!$B$9,Paramètres!$A$1:$I$89,3,0)*0.475*44/12</f>
        <v>3.7036270084592249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5.1443975557373642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4.4491666666666703</v>
      </c>
      <c r="AI170" s="14">
        <f>IF('Données projet'!$A$62&gt;35,AI169+AH170-AQ169,IF(A170&lt;'Données projet'!$A$62,$AF$205^A170,IF(A170='Données projet'!$A$62,'Données projet'!$B$62,AI169+AH170-AQ169)))</f>
        <v>405.70166666666518</v>
      </c>
      <c r="AJ170" s="14">
        <f>AI170*VLOOKUP('Données projet'!$B$10,Paramètres!$A$1:$I$89,3,0)*VLOOKUP('Données projet'!$B$10,Paramètres!$A$1:$I$89,5,0)</f>
        <v>411.38148999999856</v>
      </c>
      <c r="AK170" s="14">
        <f t="shared" si="164"/>
        <v>94.080306406757472</v>
      </c>
      <c r="AL170" s="22">
        <f t="shared" si="165"/>
        <v>880.34596207510003</v>
      </c>
      <c r="AM170" s="62">
        <f t="shared" si="113"/>
        <v>1173.6792954084333</v>
      </c>
      <c r="AN170" s="62">
        <f ca="1">AVERAGE(OFFSET($AM$3,0,0,'Données projet'!$E$10+1,1))-AVERAGE(OFFSET($H$3,0,0,'Données projet'!$E$10+1,1))</f>
        <v>408.65944152905672</v>
      </c>
      <c r="AO170" s="62">
        <f t="shared" si="144"/>
        <v>248.55239719988651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10.560738472993531</v>
      </c>
      <c r="AV170" s="23">
        <f>EXP(-LN(2)/25)*AV169+(1-EXP(-LN(2)/25))/(LN(2)/25)*Calculateur!AQ170*Calculateur!AS170*VLOOKUP('Données projet'!$B$10,Paramètres!$A$1:$I$89,3,0)*0.475*44/12</f>
        <v>5.5825499519545385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16.143288424948068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598.14</v>
      </c>
      <c r="BE170" s="14">
        <f>BD170*VLOOKUP('Données projet'!$B$11,Paramètres!$A$1:$I$89,3,0)*VLOOKUP('Données projet'!$B$11,Paramètres!$A$1:$I$89,5,0)</f>
        <v>578.52100799999994</v>
      </c>
      <c r="BF170" s="14">
        <f t="shared" si="167"/>
        <v>127.15611541885089</v>
      </c>
      <c r="BG170" s="22">
        <f t="shared" si="168"/>
        <v>1229.0543232878317</v>
      </c>
      <c r="BH170" s="62">
        <f t="shared" si="116"/>
        <v>1522.387656621165</v>
      </c>
      <c r="BI170" s="62">
        <f ca="1">AVERAGE(OFFSET($BH$3,0,0,'Données projet'!$E$11+1,1))-AVERAGE(OFFSET($H$3,0,0,'Données projet'!$E$11+1,1))</f>
        <v>643.38601112255424</v>
      </c>
      <c r="BJ170" s="62">
        <f t="shared" si="146"/>
        <v>572.76381622085694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1.468795652452519</v>
      </c>
      <c r="BQ170" s="23">
        <f>EXP(-LN(2)/25)*BQ169+(1-EXP(-LN(2)/25))/(LN(2)/25)*Calculateur!BL170*Calculateur!BN170*VLOOKUP('Données projet'!$B$11,Paramètres!$A$1:$I$89,3,0)*0.475*44/12</f>
        <v>0.54426516932806135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2.0130608217805803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505.23000000000025</v>
      </c>
      <c r="BZ170" s="14">
        <f>BY170*VLOOKUP('Données projet'!$B$12,Paramètres!$A$1:$I$89,3,0)*VLOOKUP('Données projet'!$B$12,Paramètres!$A$1:$I$89,5,0)</f>
        <v>338.90828400000015</v>
      </c>
      <c r="CA170" s="14">
        <f t="shared" si="170"/>
        <v>79.274348782791407</v>
      </c>
      <c r="CB170" s="22">
        <f t="shared" si="171"/>
        <v>728.33475209669507</v>
      </c>
      <c r="CC170" s="62">
        <f t="shared" si="119"/>
        <v>1021.6680854300284</v>
      </c>
      <c r="CD170" s="62">
        <f ca="1">AVERAGE(OFFSET($CC$3,0,0,'Données projet'!$E$12+1,1))-AVERAGE(OFFSET($H$3,0,0,'Données projet'!$E$12+1,1))</f>
        <v>323.41415875740768</v>
      </c>
      <c r="CE170" s="62">
        <f t="shared" si="148"/>
        <v>496.54020068152101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598.14</v>
      </c>
      <c r="CU170" s="18">
        <f>CT170*VLOOKUP('Données projet'!$B$13,Paramètres!$A$1:$I$89,3,0)*VLOOKUP('Données projet'!$B$13,Paramètres!$A$1:$I$89,5,0)</f>
        <v>643.837896</v>
      </c>
      <c r="CV170" s="14">
        <f t="shared" si="173"/>
        <v>139.76132574448636</v>
      </c>
      <c r="CW170" s="22">
        <f t="shared" si="174"/>
        <v>1364.7686445383138</v>
      </c>
      <c r="CX170" s="62">
        <f t="shared" si="122"/>
        <v>1658.101977871647</v>
      </c>
      <c r="CY170" s="62">
        <f ca="1">AVERAGE(OFFSET($CX$3,0,0,'Données projet'!$E$13+1,1))-AVERAGE(OFFSET($H$3,0,0,'Données projet'!$E$13+1,1))</f>
        <v>720.47588458554264</v>
      </c>
      <c r="CZ170" s="62">
        <f t="shared" si="150"/>
        <v>638.59686934821627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1.6346274196649007</v>
      </c>
      <c r="DG170" s="23">
        <f>EXP(-LN(2)/25)*DG169+(1-EXP(-LN(2)/25))/(LN(2)/25)*Calculateur!DB170*Calculateur!DD170*VLOOKUP('Données projet'!$B$13,Paramètres!$A$1:$I$89,3,0)*0.475*44/12</f>
        <v>0.60571446263929307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2.2403418823041936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751.18</v>
      </c>
      <c r="O171" s="14">
        <f>N171*VLOOKUP('Données projet'!$B$9,Paramètres!$A$1:$I$89,3,0)*VLOOKUP('Données projet'!$B$9,Paramètres!$A$1:$I$89,5,0)</f>
        <v>351.55223999999993</v>
      </c>
      <c r="P171" s="14">
        <f t="shared" si="141"/>
        <v>81.882051211276618</v>
      </c>
      <c r="Q171" s="22">
        <f t="shared" si="162"/>
        <v>754.89805719297328</v>
      </c>
      <c r="R171" s="62">
        <f t="shared" si="109"/>
        <v>1048.2313905263065</v>
      </c>
      <c r="S171" s="62">
        <f ca="1">AVERAGE(OFFSET($R$3,0,0,'Données projet'!$E$9+1,1))-AVERAGE(OFFSET($H$3,0,0,'Données projet'!$E$9+1,1))</f>
        <v>309.95417097673084</v>
      </c>
      <c r="T171" s="62">
        <f t="shared" si="142"/>
        <v>170.83243426024433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1.4125179156292764</v>
      </c>
      <c r="AA171" s="23">
        <f>EXP(-LN(2)/25)*AA170+(1-EXP(-LN(2)/25))/(LN(2)/25)*Calculateur!V171*Calculateur!X171*VLOOKUP('Données projet'!$B$9,Paramètres!$A$1:$I$89,3,0)*0.475*44/12</f>
        <v>3.6023511331476277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5.0148690487769043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4.4491666666666703</v>
      </c>
      <c r="AI171" s="14">
        <f>IF('Données projet'!$A$62&gt;35,AI170+AH171-AQ170,IF(A171&lt;'Données projet'!$A$62,$AF$205^A171,IF(A171='Données projet'!$A$62,'Données projet'!$B$62,AI170+AH171-AQ170)))</f>
        <v>410.15083333333183</v>
      </c>
      <c r="AJ171" s="14">
        <f>AI171*VLOOKUP('Données projet'!$B$10,Paramètres!$A$1:$I$89,3,0)*VLOOKUP('Données projet'!$B$10,Paramètres!$A$1:$I$89,5,0)</f>
        <v>415.89294499999852</v>
      </c>
      <c r="AK171" s="14">
        <f t="shared" si="164"/>
        <v>94.991373077424441</v>
      </c>
      <c r="AL171" s="22">
        <f t="shared" si="165"/>
        <v>889.79018731817825</v>
      </c>
      <c r="AM171" s="62">
        <f t="shared" si="113"/>
        <v>1183.1235206515116</v>
      </c>
      <c r="AN171" s="62">
        <f ca="1">AVERAGE(OFFSET($AM$3,0,0,'Données projet'!$E$10+1,1))-AVERAGE(OFFSET($H$3,0,0,'Données projet'!$E$10+1,1))</f>
        <v>408.65944152905672</v>
      </c>
      <c r="AO171" s="62">
        <f t="shared" si="144"/>
        <v>248.55239719988651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10.35364883295256</v>
      </c>
      <c r="AV171" s="23">
        <f>EXP(-LN(2)/25)*AV170+(1-EXP(-LN(2)/25))/(LN(2)/25)*Calculateur!AQ171*Calculateur!AS171*VLOOKUP('Données projet'!$B$10,Paramètres!$A$1:$I$89,3,0)*0.475*44/12</f>
        <v>5.4298948299447991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15.783543662897358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598.14</v>
      </c>
      <c r="BE171" s="14">
        <f>BD171*VLOOKUP('Données projet'!$B$11,Paramètres!$A$1:$I$89,3,0)*VLOOKUP('Données projet'!$B$11,Paramètres!$A$1:$I$89,5,0)</f>
        <v>578.52100799999994</v>
      </c>
      <c r="BF171" s="14">
        <f t="shared" si="167"/>
        <v>127.15611541885089</v>
      </c>
      <c r="BG171" s="22">
        <f t="shared" si="168"/>
        <v>1229.0543232878317</v>
      </c>
      <c r="BH171" s="62">
        <f t="shared" si="116"/>
        <v>1522.387656621165</v>
      </c>
      <c r="BI171" s="62">
        <f ca="1">AVERAGE(OFFSET($BH$3,0,0,'Données projet'!$E$11+1,1))-AVERAGE(OFFSET($H$3,0,0,'Données projet'!$E$11+1,1))</f>
        <v>643.38601112255424</v>
      </c>
      <c r="BJ171" s="62">
        <f t="shared" si="146"/>
        <v>572.76381622085694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1.4399934655848126</v>
      </c>
      <c r="BQ171" s="23">
        <f>EXP(-LN(2)/25)*BQ170+(1-EXP(-LN(2)/25))/(LN(2)/25)*Calculateur!BL171*Calculateur!BN171*VLOOKUP('Données projet'!$B$11,Paramètres!$A$1:$I$89,3,0)*0.475*44/12</f>
        <v>0.52938220965112415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1.9693756752359368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505.23000000000025</v>
      </c>
      <c r="BZ171" s="14">
        <f>BY171*VLOOKUP('Données projet'!$B$12,Paramètres!$A$1:$I$89,3,0)*VLOOKUP('Données projet'!$B$12,Paramètres!$A$1:$I$89,5,0)</f>
        <v>338.90828400000015</v>
      </c>
      <c r="CA171" s="14">
        <f t="shared" si="170"/>
        <v>79.274348782791407</v>
      </c>
      <c r="CB171" s="22">
        <f t="shared" si="171"/>
        <v>728.33475209669507</v>
      </c>
      <c r="CC171" s="62">
        <f t="shared" si="119"/>
        <v>1021.6680854300284</v>
      </c>
      <c r="CD171" s="62">
        <f ca="1">AVERAGE(OFFSET($CC$3,0,0,'Données projet'!$E$12+1,1))-AVERAGE(OFFSET($H$3,0,0,'Données projet'!$E$12+1,1))</f>
        <v>323.41415875740768</v>
      </c>
      <c r="CE171" s="62">
        <f t="shared" si="148"/>
        <v>496.54020068152101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598.14</v>
      </c>
      <c r="CU171" s="18">
        <f>CT171*VLOOKUP('Données projet'!$B$13,Paramètres!$A$1:$I$89,3,0)*VLOOKUP('Données projet'!$B$13,Paramètres!$A$1:$I$89,5,0)</f>
        <v>643.837896</v>
      </c>
      <c r="CV171" s="14">
        <f t="shared" si="173"/>
        <v>139.76132574448636</v>
      </c>
      <c r="CW171" s="22">
        <f t="shared" si="174"/>
        <v>1364.7686445383138</v>
      </c>
      <c r="CX171" s="62">
        <f t="shared" si="122"/>
        <v>1658.101977871647</v>
      </c>
      <c r="CY171" s="62">
        <f ca="1">AVERAGE(OFFSET($CX$3,0,0,'Données projet'!$E$13+1,1))-AVERAGE(OFFSET($H$3,0,0,'Données projet'!$E$13+1,1))</f>
        <v>720.47588458554264</v>
      </c>
      <c r="CZ171" s="62">
        <f t="shared" si="150"/>
        <v>638.59686934821627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1.6025733729895499</v>
      </c>
      <c r="DG171" s="23">
        <f>EXP(-LN(2)/25)*DG170+(1-EXP(-LN(2)/25))/(LN(2)/25)*Calculateur!DB171*Calculateur!DD171*VLOOKUP('Données projet'!$B$13,Paramètres!$A$1:$I$89,3,0)*0.475*44/12</f>
        <v>0.5891511688052824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2.1917245417948323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751.18</v>
      </c>
      <c r="O172" s="14">
        <f>N172*VLOOKUP('Données projet'!$B$9,Paramètres!$A$1:$I$89,3,0)*VLOOKUP('Données projet'!$B$9,Paramètres!$A$1:$I$89,5,0)</f>
        <v>351.55223999999993</v>
      </c>
      <c r="P172" s="14">
        <f t="shared" si="141"/>
        <v>81.882051211276618</v>
      </c>
      <c r="Q172" s="22">
        <f t="shared" si="162"/>
        <v>754.89805719297328</v>
      </c>
      <c r="R172" s="62">
        <f t="shared" si="109"/>
        <v>1048.2313905263065</v>
      </c>
      <c r="S172" s="62">
        <f ca="1">AVERAGE(OFFSET($R$3,0,0,'Données projet'!$E$9+1,1))-AVERAGE(OFFSET($H$3,0,0,'Données projet'!$E$9+1,1))</f>
        <v>309.95417097673084</v>
      </c>
      <c r="T172" s="62">
        <f t="shared" si="142"/>
        <v>170.83243426024433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1.3848193008546437</v>
      </c>
      <c r="AA172" s="23">
        <f>EXP(-LN(2)/25)*AA171+(1-EXP(-LN(2)/25))/(LN(2)/25)*Calculateur!V172*Calculateur!X172*VLOOKUP('Données projet'!$B$9,Paramètres!$A$1:$I$89,3,0)*0.475*44/12</f>
        <v>3.503844651972293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4.8886639528269367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>
        <f>VLOOKUP(A172,'Données projet'!$A$61:$I$81,2,0)</f>
        <v>414.6</v>
      </c>
      <c r="AG172" s="13">
        <f>VLOOKUP(A172,'Données projet'!$A$61:$I$81,9,0)</f>
        <v>4.4491666666666703</v>
      </c>
      <c r="AH172" s="13">
        <f t="array" ref="AH172">INDEX(AG:AG,MIN(IF(ISNUMBER(AG172:AG368),ROW(AG172:AG368),"")))</f>
        <v>4.4491666666666703</v>
      </c>
      <c r="AI172" s="14">
        <f>IF('Données projet'!$A$62&gt;35,AI171+AH172-AQ171,IF(A172&lt;'Données projet'!$A$62,$AF$205^A172,IF(A172='Données projet'!$A$62,'Données projet'!$B$62,AI171+AH172-AQ171)))</f>
        <v>414.59999999999849</v>
      </c>
      <c r="AJ172" s="14">
        <f>AI172*VLOOKUP('Données projet'!$B$10,Paramètres!$A$1:$I$89,3,0)*VLOOKUP('Données projet'!$B$10,Paramètres!$A$1:$I$89,5,0)</f>
        <v>420.40439999999853</v>
      </c>
      <c r="AK172" s="14">
        <f t="shared" si="164"/>
        <v>95.901290078436588</v>
      </c>
      <c r="AL172" s="22">
        <f t="shared" si="165"/>
        <v>899.23241021994102</v>
      </c>
      <c r="AM172" s="62">
        <f t="shared" si="113"/>
        <v>1192.5657435532744</v>
      </c>
      <c r="AN172" s="62">
        <f ca="1">AVERAGE(OFFSET($AM$3,0,0,'Données projet'!$E$10+1,1))-AVERAGE(OFFSET($H$3,0,0,'Données projet'!$E$10+1,1))</f>
        <v>408.65944152905672</v>
      </c>
      <c r="AO172" s="62">
        <f t="shared" si="144"/>
        <v>248.55239719988651</v>
      </c>
      <c r="AP172" s="16">
        <f>IF(ISNA(VLOOKUP(A172,'Données projet'!$A$61:$I$81,3,0)),0,VLOOKUP(A172,'Données projet'!$A$61:$I$81,3,0))</f>
        <v>14</v>
      </c>
      <c r="AQ172" s="16">
        <f>IF(ISNA(VLOOKUP(A172,'Données projet'!$A$61:$I$81,4,0)),0,VLOOKUP(A172,'Données projet'!$A$61:$I$81,4,0))</f>
        <v>41.46</v>
      </c>
      <c r="AR172" s="17">
        <f>IF(ISNA(VLOOKUP(A172,'Données projet'!$A$61:$I$81,5,0)),0%,VLOOKUP(A172,'Données projet'!$A$61:$I$81,5,0)*VLOOKUP('Données projet'!$B$10,Paramètres!$A$1:$I$89,7,0))</f>
        <v>8.1699999999999995E-2</v>
      </c>
      <c r="AS172" s="17">
        <f>IF(ISNA(VLOOKUP(A172,'Données projet'!$A$61:$I$81,6,0)),0%,VLOOKUP(A172,'Données projet'!$A$61:$I$81,6,0)*VLOOKUP('Données projet'!$B$10,Paramètres!$A$1:$I$89,7,0))</f>
        <v>6.0200000000000004E-2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13.947583571419466</v>
      </c>
      <c r="AV172" s="23">
        <f>EXP(-LN(2)/25)*AV171+(1-EXP(-LN(2)/25))/(LN(2)/25)*Calculateur!AQ172*Calculateur!AS172*VLOOKUP('Données projet'!$B$10,Paramètres!$A$1:$I$89,3,0)*0.475*44/12</f>
        <v>8.0681607750209956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22.015744346440464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598.14</v>
      </c>
      <c r="BE172" s="14">
        <f>BD172*VLOOKUP('Données projet'!$B$11,Paramètres!$A$1:$I$89,3,0)*VLOOKUP('Données projet'!$B$11,Paramètres!$A$1:$I$89,5,0)</f>
        <v>578.52100799999994</v>
      </c>
      <c r="BF172" s="14">
        <f t="shared" si="167"/>
        <v>127.15611541885089</v>
      </c>
      <c r="BG172" s="22">
        <f t="shared" si="168"/>
        <v>1229.0543232878317</v>
      </c>
      <c r="BH172" s="62">
        <f t="shared" si="116"/>
        <v>1522.387656621165</v>
      </c>
      <c r="BI172" s="62">
        <f ca="1">AVERAGE(OFFSET($BH$3,0,0,'Données projet'!$E$11+1,1))-AVERAGE(OFFSET($H$3,0,0,'Données projet'!$E$11+1,1))</f>
        <v>643.38601112255424</v>
      </c>
      <c r="BJ172" s="62">
        <f t="shared" si="146"/>
        <v>572.76381622085694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1.4117560720339826</v>
      </c>
      <c r="BQ172" s="23">
        <f>EXP(-LN(2)/25)*BQ171+(1-EXP(-LN(2)/25))/(LN(2)/25)*Calculateur!BL172*Calculateur!BN172*VLOOKUP('Données projet'!$B$11,Paramètres!$A$1:$I$89,3,0)*0.475*44/12</f>
        <v>0.5149062252892137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1.9266622973231962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505.23000000000025</v>
      </c>
      <c r="BZ172" s="14">
        <f>BY172*VLOOKUP('Données projet'!$B$12,Paramètres!$A$1:$I$89,3,0)*VLOOKUP('Données projet'!$B$12,Paramètres!$A$1:$I$89,5,0)</f>
        <v>338.90828400000015</v>
      </c>
      <c r="CA172" s="14">
        <f t="shared" si="170"/>
        <v>79.274348782791407</v>
      </c>
      <c r="CB172" s="22">
        <f t="shared" si="171"/>
        <v>728.33475209669507</v>
      </c>
      <c r="CC172" s="62">
        <f t="shared" si="119"/>
        <v>1021.6680854300284</v>
      </c>
      <c r="CD172" s="62">
        <f ca="1">AVERAGE(OFFSET($CC$3,0,0,'Données projet'!$E$12+1,1))-AVERAGE(OFFSET($H$3,0,0,'Données projet'!$E$12+1,1))</f>
        <v>323.41415875740768</v>
      </c>
      <c r="CE172" s="62">
        <f t="shared" si="148"/>
        <v>496.54020068152101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598.14</v>
      </c>
      <c r="CU172" s="18">
        <f>CT172*VLOOKUP('Données projet'!$B$13,Paramètres!$A$1:$I$89,3,0)*VLOOKUP('Données projet'!$B$13,Paramètres!$A$1:$I$89,5,0)</f>
        <v>643.837896</v>
      </c>
      <c r="CV172" s="14">
        <f t="shared" si="173"/>
        <v>139.76132574448636</v>
      </c>
      <c r="CW172" s="22">
        <f t="shared" si="174"/>
        <v>1364.7686445383138</v>
      </c>
      <c r="CX172" s="62">
        <f t="shared" si="122"/>
        <v>1658.101977871647</v>
      </c>
      <c r="CY172" s="62">
        <f ca="1">AVERAGE(OFFSET($CX$3,0,0,'Données projet'!$E$13+1,1))-AVERAGE(OFFSET($H$3,0,0,'Données projet'!$E$13+1,1))</f>
        <v>720.47588458554264</v>
      </c>
      <c r="CZ172" s="62">
        <f t="shared" si="150"/>
        <v>638.59686934821627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1.5711478866184649</v>
      </c>
      <c r="DG172" s="23">
        <f>EXP(-LN(2)/25)*DG171+(1-EXP(-LN(2)/25))/(LN(2)/25)*Calculateur!DB172*Calculateur!DD172*VLOOKUP('Données projet'!$B$13,Paramètres!$A$1:$I$89,3,0)*0.475*44/12</f>
        <v>0.57304079911218853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2.1441886857306534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751.18</v>
      </c>
      <c r="O173" s="14">
        <f>N173*VLOOKUP('Données projet'!$B$9,Paramètres!$A$1:$I$89,3,0)*VLOOKUP('Données projet'!$B$9,Paramètres!$A$1:$I$89,5,0)</f>
        <v>351.55223999999993</v>
      </c>
      <c r="P173" s="14">
        <f t="shared" si="141"/>
        <v>81.882051211276618</v>
      </c>
      <c r="Q173" s="22">
        <f t="shared" si="162"/>
        <v>754.89805719297328</v>
      </c>
      <c r="R173" s="62">
        <f t="shared" si="109"/>
        <v>1048.2313905263065</v>
      </c>
      <c r="S173" s="62">
        <f ca="1">AVERAGE(OFFSET($R$3,0,0,'Données projet'!$E$9+1,1))-AVERAGE(OFFSET($H$3,0,0,'Données projet'!$E$9+1,1))</f>
        <v>309.95417097673084</v>
      </c>
      <c r="T173" s="62">
        <f t="shared" si="142"/>
        <v>170.83243426024433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1.3576638390212548</v>
      </c>
      <c r="AA173" s="23">
        <f>EXP(-LN(2)/25)*AA172+(1-EXP(-LN(2)/25))/(LN(2)/25)*Calculateur!V173*Calculateur!X173*VLOOKUP('Données projet'!$B$9,Paramètres!$A$1:$I$89,3,0)*0.475*44/12</f>
        <v>3.4080318357049286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4.7656956747261834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4.4499999999999984</v>
      </c>
      <c r="AI173" s="14">
        <f>IF('Données projet'!$A$62&gt;35,AI172+AH173-AQ172,IF(A173&lt;'Données projet'!$A$62,$AF$205^A173,IF(A173='Données projet'!$A$62,'Données projet'!$B$62,AI172+AH173-AQ172)))</f>
        <v>377.5899999999985</v>
      </c>
      <c r="AJ173" s="14">
        <f>AI173*VLOOKUP('Données projet'!$B$10,Paramètres!$A$1:$I$89,3,0)*VLOOKUP('Données projet'!$B$10,Paramètres!$A$1:$I$89,5,0)</f>
        <v>382.87625999999852</v>
      </c>
      <c r="AK173" s="14">
        <f t="shared" si="164"/>
        <v>88.296299282033416</v>
      </c>
      <c r="AL173" s="22">
        <f t="shared" si="165"/>
        <v>820.62554074953903</v>
      </c>
      <c r="AM173" s="62">
        <f t="shared" si="113"/>
        <v>1113.9588740828724</v>
      </c>
      <c r="AN173" s="62">
        <f ca="1">AVERAGE(OFFSET($AM$3,0,0,'Données projet'!$E$10+1,1))-AVERAGE(OFFSET($H$3,0,0,'Données projet'!$E$10+1,1))</f>
        <v>408.65944152905672</v>
      </c>
      <c r="AO173" s="62">
        <f t="shared" si="144"/>
        <v>248.55239719988651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13.674079964769895</v>
      </c>
      <c r="AV173" s="23">
        <f>EXP(-LN(2)/25)*AV172+(1-EXP(-LN(2)/25))/(LN(2)/25)*Calculateur!AQ173*Calculateur!AS173*VLOOKUP('Données projet'!$B$10,Paramètres!$A$1:$I$89,3,0)*0.475*44/12</f>
        <v>7.8475364943419113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21.521616459111804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598.14</v>
      </c>
      <c r="BE173" s="14">
        <f>BD173*VLOOKUP('Données projet'!$B$11,Paramètres!$A$1:$I$89,3,0)*VLOOKUP('Données projet'!$B$11,Paramètres!$A$1:$I$89,5,0)</f>
        <v>578.52100799999994</v>
      </c>
      <c r="BF173" s="14">
        <f t="shared" si="167"/>
        <v>127.15611541885089</v>
      </c>
      <c r="BG173" s="22">
        <f t="shared" si="168"/>
        <v>1229.0543232878317</v>
      </c>
      <c r="BH173" s="62">
        <f t="shared" si="116"/>
        <v>1522.387656621165</v>
      </c>
      <c r="BI173" s="62">
        <f ca="1">AVERAGE(OFFSET($BH$3,0,0,'Données projet'!$E$11+1,1))-AVERAGE(OFFSET($H$3,0,0,'Données projet'!$E$11+1,1))</f>
        <v>643.38601112255424</v>
      </c>
      <c r="BJ173" s="62">
        <f t="shared" si="146"/>
        <v>572.76381622085694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1.384072396547575</v>
      </c>
      <c r="BQ173" s="23">
        <f>EXP(-LN(2)/25)*BQ172+(1-EXP(-LN(2)/25))/(LN(2)/25)*Calculateur!BL173*Calculateur!BN173*VLOOKUP('Données projet'!$B$11,Paramètres!$A$1:$I$89,3,0)*0.475*44/12</f>
        <v>0.5008260874809386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1.8848984840285135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505.23000000000025</v>
      </c>
      <c r="BZ173" s="14">
        <f>BY173*VLOOKUP('Données projet'!$B$12,Paramètres!$A$1:$I$89,3,0)*VLOOKUP('Données projet'!$B$12,Paramètres!$A$1:$I$89,5,0)</f>
        <v>338.90828400000015</v>
      </c>
      <c r="CA173" s="14">
        <f t="shared" si="170"/>
        <v>79.274348782791407</v>
      </c>
      <c r="CB173" s="22">
        <f t="shared" si="171"/>
        <v>728.33475209669507</v>
      </c>
      <c r="CC173" s="62">
        <f t="shared" si="119"/>
        <v>1021.6680854300284</v>
      </c>
      <c r="CD173" s="62">
        <f ca="1">AVERAGE(OFFSET($CC$3,0,0,'Données projet'!$E$12+1,1))-AVERAGE(OFFSET($H$3,0,0,'Données projet'!$E$12+1,1))</f>
        <v>323.41415875740768</v>
      </c>
      <c r="CE173" s="62">
        <f t="shared" si="148"/>
        <v>496.54020068152101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598.14</v>
      </c>
      <c r="CU173" s="18">
        <f>CT173*VLOOKUP('Données projet'!$B$13,Paramètres!$A$1:$I$89,3,0)*VLOOKUP('Données projet'!$B$13,Paramètres!$A$1:$I$89,5,0)</f>
        <v>643.837896</v>
      </c>
      <c r="CV173" s="14">
        <f t="shared" si="173"/>
        <v>139.76132574448636</v>
      </c>
      <c r="CW173" s="22">
        <f t="shared" si="174"/>
        <v>1364.7686445383138</v>
      </c>
      <c r="CX173" s="62">
        <f t="shared" si="122"/>
        <v>1658.101977871647</v>
      </c>
      <c r="CY173" s="62">
        <f ca="1">AVERAGE(OFFSET($CX$3,0,0,'Données projet'!$E$13+1,1))-AVERAGE(OFFSET($H$3,0,0,'Données projet'!$E$13+1,1))</f>
        <v>720.47588458554264</v>
      </c>
      <c r="CZ173" s="62">
        <f t="shared" si="150"/>
        <v>638.59686934821627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1.5403386348674628</v>
      </c>
      <c r="DG173" s="23">
        <f>EXP(-LN(2)/25)*DG172+(1-EXP(-LN(2)/25))/(LN(2)/25)*Calculateur!DB173*Calculateur!DD173*VLOOKUP('Données projet'!$B$13,Paramètres!$A$1:$I$89,3,0)*0.475*44/12</f>
        <v>0.55737096832555977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2.0977096031930227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751.18</v>
      </c>
      <c r="O174" s="14">
        <f>N174*VLOOKUP('Données projet'!$B$9,Paramètres!$A$1:$I$89,3,0)*VLOOKUP('Données projet'!$B$9,Paramètres!$A$1:$I$89,5,0)</f>
        <v>351.55223999999993</v>
      </c>
      <c r="P174" s="14">
        <f t="shared" si="141"/>
        <v>81.882051211276618</v>
      </c>
      <c r="Q174" s="22">
        <f t="shared" si="162"/>
        <v>754.89805719297328</v>
      </c>
      <c r="R174" s="62">
        <f t="shared" si="109"/>
        <v>1048.2313905263065</v>
      </c>
      <c r="S174" s="62">
        <f ca="1">AVERAGE(OFFSET($R$3,0,0,'Données projet'!$E$9+1,1))-AVERAGE(OFFSET($H$3,0,0,'Données projet'!$E$9+1,1))</f>
        <v>309.95417097673084</v>
      </c>
      <c r="T174" s="62">
        <f t="shared" si="142"/>
        <v>170.83243426024433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1.3310408792312223</v>
      </c>
      <c r="AA174" s="23">
        <f>EXP(-LN(2)/25)*AA173+(1-EXP(-LN(2)/25))/(LN(2)/25)*Calculateur!V174*Calculateur!X174*VLOOKUP('Données projet'!$B$9,Paramètres!$A$1:$I$89,3,0)*0.475*44/12</f>
        <v>3.3148390259369722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4.6458799051681945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4.4499999999999984</v>
      </c>
      <c r="AI174" s="14">
        <f>IF('Données projet'!$A$62&gt;35,AI173+AH174-AQ173,IF(A174&lt;'Données projet'!$A$62,$AF$205^A174,IF(A174='Données projet'!$A$62,'Données projet'!$B$62,AI173+AH174-AQ173)))</f>
        <v>382.03999999999849</v>
      </c>
      <c r="AJ174" s="14">
        <f>AI174*VLOOKUP('Données projet'!$B$10,Paramètres!$A$1:$I$89,3,0)*VLOOKUP('Données projet'!$B$10,Paramètres!$A$1:$I$89,5,0)</f>
        <v>387.38855999999851</v>
      </c>
      <c r="AK174" s="14">
        <f t="shared" si="164"/>
        <v>89.215141727514549</v>
      </c>
      <c r="AL174" s="22">
        <f t="shared" si="165"/>
        <v>830.08478050875192</v>
      </c>
      <c r="AM174" s="62">
        <f t="shared" si="113"/>
        <v>1123.4181138420852</v>
      </c>
      <c r="AN174" s="62">
        <f ca="1">AVERAGE(OFFSET($AM$3,0,0,'Données projet'!$E$10+1,1))-AVERAGE(OFFSET($H$3,0,0,'Données projet'!$E$10+1,1))</f>
        <v>408.65944152905672</v>
      </c>
      <c r="AO174" s="62">
        <f t="shared" si="144"/>
        <v>248.55239719988651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13.405939597025993</v>
      </c>
      <c r="AV174" s="23">
        <f>EXP(-LN(2)/25)*AV173+(1-EXP(-LN(2)/25))/(LN(2)/25)*Calculateur!AQ174*Calculateur!AS174*VLOOKUP('Données projet'!$B$10,Paramètres!$A$1:$I$89,3,0)*0.475*44/12</f>
        <v>7.6329451962201231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21.038884793246115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598.14</v>
      </c>
      <c r="BE174" s="14">
        <f>BD174*VLOOKUP('Données projet'!$B$11,Paramètres!$A$1:$I$89,3,0)*VLOOKUP('Données projet'!$B$11,Paramètres!$A$1:$I$89,5,0)</f>
        <v>578.52100799999994</v>
      </c>
      <c r="BF174" s="14">
        <f t="shared" si="167"/>
        <v>127.15611541885089</v>
      </c>
      <c r="BG174" s="22">
        <f t="shared" si="168"/>
        <v>1229.0543232878317</v>
      </c>
      <c r="BH174" s="62">
        <f t="shared" si="116"/>
        <v>1522.387656621165</v>
      </c>
      <c r="BI174" s="62">
        <f ca="1">AVERAGE(OFFSET($BH$3,0,0,'Données projet'!$E$11+1,1))-AVERAGE(OFFSET($H$3,0,0,'Données projet'!$E$11+1,1))</f>
        <v>643.38601112255424</v>
      </c>
      <c r="BJ174" s="62">
        <f t="shared" si="146"/>
        <v>572.76381622085694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1.356931581052081</v>
      </c>
      <c r="BQ174" s="23">
        <f>EXP(-LN(2)/25)*BQ173+(1-EXP(-LN(2)/25))/(LN(2)/25)*Calculateur!BL174*Calculateur!BN174*VLOOKUP('Données projet'!$B$11,Paramètres!$A$1:$I$89,3,0)*0.475*44/12</f>
        <v>0.48713097178147302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1.8440625528335541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505.23000000000025</v>
      </c>
      <c r="BZ174" s="14">
        <f>BY174*VLOOKUP('Données projet'!$B$12,Paramètres!$A$1:$I$89,3,0)*VLOOKUP('Données projet'!$B$12,Paramètres!$A$1:$I$89,5,0)</f>
        <v>338.90828400000015</v>
      </c>
      <c r="CA174" s="14">
        <f t="shared" si="170"/>
        <v>79.274348782791407</v>
      </c>
      <c r="CB174" s="22">
        <f t="shared" si="171"/>
        <v>728.33475209669507</v>
      </c>
      <c r="CC174" s="62">
        <f t="shared" si="119"/>
        <v>1021.6680854300284</v>
      </c>
      <c r="CD174" s="62">
        <f ca="1">AVERAGE(OFFSET($CC$3,0,0,'Données projet'!$E$12+1,1))-AVERAGE(OFFSET($H$3,0,0,'Données projet'!$E$12+1,1))</f>
        <v>323.41415875740768</v>
      </c>
      <c r="CE174" s="62">
        <f t="shared" si="148"/>
        <v>496.54020068152101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598.14</v>
      </c>
      <c r="CU174" s="18">
        <f>CT174*VLOOKUP('Données projet'!$B$13,Paramètres!$A$1:$I$89,3,0)*VLOOKUP('Données projet'!$B$13,Paramètres!$A$1:$I$89,5,0)</f>
        <v>643.837896</v>
      </c>
      <c r="CV174" s="14">
        <f t="shared" si="173"/>
        <v>139.76132574448636</v>
      </c>
      <c r="CW174" s="22">
        <f t="shared" si="174"/>
        <v>1364.7686445383138</v>
      </c>
      <c r="CX174" s="62">
        <f t="shared" si="122"/>
        <v>1658.101977871647</v>
      </c>
      <c r="CY174" s="62">
        <f ca="1">AVERAGE(OFFSET($CX$3,0,0,'Données projet'!$E$13+1,1))-AVERAGE(OFFSET($H$3,0,0,'Données projet'!$E$13+1,1))</f>
        <v>720.47588458554264</v>
      </c>
      <c r="CZ174" s="62">
        <f t="shared" si="150"/>
        <v>638.59686934821627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1.5101335337515098</v>
      </c>
      <c r="DG174" s="23">
        <f>EXP(-LN(2)/25)*DG173+(1-EXP(-LN(2)/25))/(LN(2)/25)*Calculateur!DB174*Calculateur!DD174*VLOOKUP('Données projet'!$B$13,Paramètres!$A$1:$I$89,3,0)*0.475*44/12</f>
        <v>0.54212962988583202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2.0522631636373418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751.18</v>
      </c>
      <c r="O175" s="14">
        <f>N175*VLOOKUP('Données projet'!$B$9,Paramètres!$A$1:$I$89,3,0)*VLOOKUP('Données projet'!$B$9,Paramètres!$A$1:$I$89,5,0)</f>
        <v>351.55223999999993</v>
      </c>
      <c r="P175" s="14">
        <f t="shared" si="141"/>
        <v>81.882051211276618</v>
      </c>
      <c r="Q175" s="22">
        <f t="shared" si="162"/>
        <v>754.89805719297328</v>
      </c>
      <c r="R175" s="62">
        <f t="shared" si="109"/>
        <v>1048.2313905263065</v>
      </c>
      <c r="S175" s="62">
        <f ca="1">AVERAGE(OFFSET($R$3,0,0,'Données projet'!$E$9+1,1))-AVERAGE(OFFSET($H$3,0,0,'Données projet'!$E$9+1,1))</f>
        <v>309.95417097673084</v>
      </c>
      <c r="T175" s="62">
        <f t="shared" si="142"/>
        <v>170.83243426024433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1.3049399794442704</v>
      </c>
      <c r="AA175" s="23">
        <f>EXP(-LN(2)/25)*AA174+(1-EXP(-LN(2)/25))/(LN(2)/25)*Calculateur!V175*Calculateur!X175*VLOOKUP('Données projet'!$B$9,Paramètres!$A$1:$I$89,3,0)*0.475*44/12</f>
        <v>3.2241945784529173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4.529134557897188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4.4499999999999984</v>
      </c>
      <c r="AI175" s="14">
        <f>IF('Données projet'!$A$62&gt;35,AI174+AH175-AQ174,IF(A175&lt;'Données projet'!$A$62,$AF$205^A175,IF(A175='Données projet'!$A$62,'Données projet'!$B$62,AI174+AH175-AQ174)))</f>
        <v>386.48999999999847</v>
      </c>
      <c r="AJ175" s="14">
        <f>AI175*VLOOKUP('Données projet'!$B$10,Paramètres!$A$1:$I$89,3,0)*VLOOKUP('Données projet'!$B$10,Paramètres!$A$1:$I$89,5,0)</f>
        <v>391.90085999999849</v>
      </c>
      <c r="AK175" s="14">
        <f t="shared" si="164"/>
        <v>90.132739196338349</v>
      </c>
      <c r="AL175" s="22">
        <f t="shared" si="165"/>
        <v>839.54185193361991</v>
      </c>
      <c r="AM175" s="62">
        <f t="shared" si="113"/>
        <v>1132.8751852669532</v>
      </c>
      <c r="AN175" s="62">
        <f ca="1">AVERAGE(OFFSET($AM$3,0,0,'Données projet'!$E$10+1,1))-AVERAGE(OFFSET($H$3,0,0,'Données projet'!$E$10+1,1))</f>
        <v>408.65944152905672</v>
      </c>
      <c r="AO175" s="62">
        <f t="shared" si="144"/>
        <v>248.55239719988651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13.143057298344074</v>
      </c>
      <c r="AV175" s="23">
        <f>EXP(-LN(2)/25)*AV174+(1-EXP(-LN(2)/25))/(LN(2)/25)*Calculateur!AQ175*Calculateur!AS175*VLOOKUP('Données projet'!$B$10,Paramètres!$A$1:$I$89,3,0)*0.475*44/12</f>
        <v>7.4242219084303409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20.567279206774415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598.14</v>
      </c>
      <c r="BE175" s="14">
        <f>BD175*VLOOKUP('Données projet'!$B$11,Paramètres!$A$1:$I$89,3,0)*VLOOKUP('Données projet'!$B$11,Paramètres!$A$1:$I$89,5,0)</f>
        <v>578.52100799999994</v>
      </c>
      <c r="BF175" s="14">
        <f t="shared" si="167"/>
        <v>127.15611541885089</v>
      </c>
      <c r="BG175" s="22">
        <f t="shared" si="168"/>
        <v>1229.0543232878317</v>
      </c>
      <c r="BH175" s="62">
        <f t="shared" si="116"/>
        <v>1522.387656621165</v>
      </c>
      <c r="BI175" s="62">
        <f ca="1">AVERAGE(OFFSET($BH$3,0,0,'Données projet'!$E$11+1,1))-AVERAGE(OFFSET($H$3,0,0,'Données projet'!$E$11+1,1))</f>
        <v>643.38601112255424</v>
      </c>
      <c r="BJ175" s="62">
        <f t="shared" si="146"/>
        <v>572.76381622085694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1.3303229803941907</v>
      </c>
      <c r="BQ175" s="23">
        <f>EXP(-LN(2)/25)*BQ174+(1-EXP(-LN(2)/25))/(LN(2)/25)*Calculateur!BL175*Calculateur!BN175*VLOOKUP('Données projet'!$B$11,Paramètres!$A$1:$I$89,3,0)*0.475*44/12</f>
        <v>0.47381034974100417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1.8041333301351949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505.23000000000025</v>
      </c>
      <c r="BZ175" s="14">
        <f>BY175*VLOOKUP('Données projet'!$B$12,Paramètres!$A$1:$I$89,3,0)*VLOOKUP('Données projet'!$B$12,Paramètres!$A$1:$I$89,5,0)</f>
        <v>338.90828400000015</v>
      </c>
      <c r="CA175" s="14">
        <f t="shared" si="170"/>
        <v>79.274348782791407</v>
      </c>
      <c r="CB175" s="22">
        <f t="shared" si="171"/>
        <v>728.33475209669507</v>
      </c>
      <c r="CC175" s="62">
        <f t="shared" si="119"/>
        <v>1021.6680854300284</v>
      </c>
      <c r="CD175" s="62">
        <f ca="1">AVERAGE(OFFSET($CC$3,0,0,'Données projet'!$E$12+1,1))-AVERAGE(OFFSET($H$3,0,0,'Données projet'!$E$12+1,1))</f>
        <v>323.41415875740768</v>
      </c>
      <c r="CE175" s="62">
        <f t="shared" si="148"/>
        <v>496.54020068152101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598.14</v>
      </c>
      <c r="CU175" s="18">
        <f>CT175*VLOOKUP('Données projet'!$B$13,Paramètres!$A$1:$I$89,3,0)*VLOOKUP('Données projet'!$B$13,Paramètres!$A$1:$I$89,5,0)</f>
        <v>643.837896</v>
      </c>
      <c r="CV175" s="14">
        <f t="shared" si="173"/>
        <v>139.76132574448636</v>
      </c>
      <c r="CW175" s="22">
        <f t="shared" si="174"/>
        <v>1364.7686445383138</v>
      </c>
      <c r="CX175" s="62">
        <f t="shared" si="122"/>
        <v>1658.101977871647</v>
      </c>
      <c r="CY175" s="62">
        <f ca="1">AVERAGE(OFFSET($CX$3,0,0,'Données projet'!$E$13+1,1))-AVERAGE(OFFSET($H$3,0,0,'Données projet'!$E$13+1,1))</f>
        <v>720.47588458554264</v>
      </c>
      <c r="CZ175" s="62">
        <f t="shared" si="150"/>
        <v>638.59686934821627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1.4805207362451482</v>
      </c>
      <c r="DG175" s="23">
        <f>EXP(-LN(2)/25)*DG174+(1-EXP(-LN(2)/25))/(LN(2)/25)*Calculateur!DB175*Calculateur!DD175*VLOOKUP('Données projet'!$B$13,Paramètres!$A$1:$I$89,3,0)*0.475*44/12</f>
        <v>0.52730506664724575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2.0078258028923939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751.18</v>
      </c>
      <c r="O176" s="14">
        <f>N176*VLOOKUP('Données projet'!$B$9,Paramètres!$A$1:$I$89,3,0)*VLOOKUP('Données projet'!$B$9,Paramètres!$A$1:$I$89,5,0)</f>
        <v>351.55223999999993</v>
      </c>
      <c r="P176" s="14">
        <f t="shared" si="141"/>
        <v>81.882051211276618</v>
      </c>
      <c r="Q176" s="22">
        <f t="shared" si="162"/>
        <v>754.89805719297328</v>
      </c>
      <c r="R176" s="62">
        <f t="shared" si="109"/>
        <v>1048.2313905263065</v>
      </c>
      <c r="S176" s="62">
        <f ca="1">AVERAGE(OFFSET($R$3,0,0,'Données projet'!$E$9+1,1))-AVERAGE(OFFSET($H$3,0,0,'Données projet'!$E$9+1,1))</f>
        <v>309.95417097673084</v>
      </c>
      <c r="T176" s="62">
        <f t="shared" si="142"/>
        <v>170.83243426024433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1.2793509023821636</v>
      </c>
      <c r="AA176" s="23">
        <f>EXP(-LN(2)/25)*AA175+(1-EXP(-LN(2)/25))/(LN(2)/25)*Calculateur!V176*Calculateur!X176*VLOOKUP('Données projet'!$B$9,Paramètres!$A$1:$I$89,3,0)*0.475*44/12</f>
        <v>3.1360288081520986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4.4153797105342623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4.4499999999999984</v>
      </c>
      <c r="AI176" s="14">
        <f>IF('Données projet'!$A$62&gt;35,AI175+AH176-AQ175,IF(A176&lt;'Données projet'!$A$62,$AF$205^A176,IF(A176='Données projet'!$A$62,'Données projet'!$B$62,AI175+AH176-AQ175)))</f>
        <v>390.93999999999846</v>
      </c>
      <c r="AJ176" s="14">
        <f>AI176*VLOOKUP('Données projet'!$B$10,Paramètres!$A$1:$I$89,3,0)*VLOOKUP('Données projet'!$B$10,Paramètres!$A$1:$I$89,5,0)</f>
        <v>396.41315999999847</v>
      </c>
      <c r="AK176" s="14">
        <f t="shared" si="164"/>
        <v>91.049107681547312</v>
      </c>
      <c r="AL176" s="22">
        <f t="shared" si="165"/>
        <v>848.9967828786921</v>
      </c>
      <c r="AM176" s="62">
        <f t="shared" si="113"/>
        <v>1142.3301162120254</v>
      </c>
      <c r="AN176" s="62">
        <f ca="1">AVERAGE(OFFSET($AM$3,0,0,'Données projet'!$E$10+1,1))-AVERAGE(OFFSET($H$3,0,0,'Données projet'!$E$10+1,1))</f>
        <v>408.65944152905672</v>
      </c>
      <c r="AO176" s="62">
        <f t="shared" si="144"/>
        <v>248.55239719988651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12.885329961196938</v>
      </c>
      <c r="AV176" s="23">
        <f>EXP(-LN(2)/25)*AV175+(1-EXP(-LN(2)/25))/(LN(2)/25)*Calculateur!AQ176*Calculateur!AS176*VLOOKUP('Données projet'!$B$10,Paramètres!$A$1:$I$89,3,0)*0.475*44/12</f>
        <v>7.2212061699214516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20.106536131118389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598.14</v>
      </c>
      <c r="BE176" s="14">
        <f>BD176*VLOOKUP('Données projet'!$B$11,Paramètres!$A$1:$I$89,3,0)*VLOOKUP('Données projet'!$B$11,Paramètres!$A$1:$I$89,5,0)</f>
        <v>578.52100799999994</v>
      </c>
      <c r="BF176" s="14">
        <f t="shared" si="167"/>
        <v>127.15611541885089</v>
      </c>
      <c r="BG176" s="22">
        <f t="shared" si="168"/>
        <v>1229.0543232878317</v>
      </c>
      <c r="BH176" s="62">
        <f t="shared" si="116"/>
        <v>1522.387656621165</v>
      </c>
      <c r="BI176" s="62">
        <f ca="1">AVERAGE(OFFSET($BH$3,0,0,'Données projet'!$E$11+1,1))-AVERAGE(OFFSET($H$3,0,0,'Données projet'!$E$11+1,1))</f>
        <v>643.38601112255424</v>
      </c>
      <c r="BJ176" s="62">
        <f t="shared" si="146"/>
        <v>572.76381622085694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1.3042361581655579</v>
      </c>
      <c r="BQ176" s="23">
        <f>EXP(-LN(2)/25)*BQ175+(1-EXP(-LN(2)/25))/(LN(2)/25)*Calculateur!BL176*Calculateur!BN176*VLOOKUP('Données projet'!$B$11,Paramètres!$A$1:$I$89,3,0)*0.475*44/12</f>
        <v>0.46085398081073303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1.765090138976291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505.23000000000025</v>
      </c>
      <c r="BZ176" s="14">
        <f>BY176*VLOOKUP('Données projet'!$B$12,Paramètres!$A$1:$I$89,3,0)*VLOOKUP('Données projet'!$B$12,Paramètres!$A$1:$I$89,5,0)</f>
        <v>338.90828400000015</v>
      </c>
      <c r="CA176" s="14">
        <f t="shared" si="170"/>
        <v>79.274348782791407</v>
      </c>
      <c r="CB176" s="22">
        <f t="shared" si="171"/>
        <v>728.33475209669507</v>
      </c>
      <c r="CC176" s="62">
        <f t="shared" si="119"/>
        <v>1021.6680854300284</v>
      </c>
      <c r="CD176" s="62">
        <f ca="1">AVERAGE(OFFSET($CC$3,0,0,'Données projet'!$E$12+1,1))-AVERAGE(OFFSET($H$3,0,0,'Données projet'!$E$12+1,1))</f>
        <v>323.41415875740768</v>
      </c>
      <c r="CE176" s="62">
        <f t="shared" si="148"/>
        <v>496.54020068152101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598.14</v>
      </c>
      <c r="CU176" s="18">
        <f>CT176*VLOOKUP('Données projet'!$B$13,Paramètres!$A$1:$I$89,3,0)*VLOOKUP('Données projet'!$B$13,Paramètres!$A$1:$I$89,5,0)</f>
        <v>643.837896</v>
      </c>
      <c r="CV176" s="14">
        <f t="shared" si="173"/>
        <v>139.76132574448636</v>
      </c>
      <c r="CW176" s="22">
        <f t="shared" si="174"/>
        <v>1364.7686445383138</v>
      </c>
      <c r="CX176" s="62">
        <f t="shared" si="122"/>
        <v>1658.101977871647</v>
      </c>
      <c r="CY176" s="62">
        <f ca="1">AVERAGE(OFFSET($CX$3,0,0,'Données projet'!$E$13+1,1))-AVERAGE(OFFSET($H$3,0,0,'Données projet'!$E$13+1,1))</f>
        <v>720.47588458554264</v>
      </c>
      <c r="CZ176" s="62">
        <f t="shared" si="150"/>
        <v>638.59686934821627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1.4514886276358634</v>
      </c>
      <c r="DG176" s="23">
        <f>EXP(-LN(2)/25)*DG175+(1-EXP(-LN(2)/25))/(LN(2)/25)*Calculateur!DB176*Calculateur!DD176*VLOOKUP('Données projet'!$B$13,Paramètres!$A$1:$I$89,3,0)*0.475*44/12</f>
        <v>0.5128858818700085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1.964374509505872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751.18</v>
      </c>
      <c r="O177" s="14">
        <f>N177*VLOOKUP('Données projet'!$B$9,Paramètres!$A$1:$I$89,3,0)*VLOOKUP('Données projet'!$B$9,Paramètres!$A$1:$I$89,5,0)</f>
        <v>351.55223999999993</v>
      </c>
      <c r="P177" s="14">
        <f t="shared" si="141"/>
        <v>81.882051211276618</v>
      </c>
      <c r="Q177" s="22">
        <f t="shared" si="162"/>
        <v>754.89805719297328</v>
      </c>
      <c r="R177" s="62">
        <f t="shared" si="109"/>
        <v>1048.2313905263065</v>
      </c>
      <c r="S177" s="62">
        <f ca="1">AVERAGE(OFFSET($R$3,0,0,'Données projet'!$E$9+1,1))-AVERAGE(OFFSET($H$3,0,0,'Données projet'!$E$9+1,1))</f>
        <v>309.95417097673084</v>
      </c>
      <c r="T177" s="62">
        <f t="shared" si="142"/>
        <v>170.83243426024433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1.2542636115134489</v>
      </c>
      <c r="AA177" s="23">
        <f>EXP(-LN(2)/25)*AA176+(1-EXP(-LN(2)/25))/(LN(2)/25)*Calculateur!V177*Calculateur!X177*VLOOKUP('Données projet'!$B$9,Paramètres!$A$1:$I$89,3,0)*0.475*44/12</f>
        <v>3.050273935476592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4.3045375469900407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4.4499999999999984</v>
      </c>
      <c r="AI177" s="14">
        <f>IF('Données projet'!$A$62&gt;35,AI176+AH177-AQ176,IF(A177&lt;'Données projet'!$A$62,$AF$205^A177,IF(A177='Données projet'!$A$62,'Données projet'!$B$62,AI176+AH177-AQ176)))</f>
        <v>395.38999999999845</v>
      </c>
      <c r="AJ177" s="14">
        <f>AI177*VLOOKUP('Données projet'!$B$10,Paramètres!$A$1:$I$89,3,0)*VLOOKUP('Données projet'!$B$10,Paramètres!$A$1:$I$89,5,0)</f>
        <v>400.92545999999845</v>
      </c>
      <c r="AK177" s="14">
        <f t="shared" si="164"/>
        <v>91.964262791131844</v>
      </c>
      <c r="AL177" s="22">
        <f t="shared" si="165"/>
        <v>858.4496005278852</v>
      </c>
      <c r="AM177" s="62">
        <f t="shared" si="113"/>
        <v>1151.7829338612185</v>
      </c>
      <c r="AN177" s="62">
        <f ca="1">AVERAGE(OFFSET($AM$3,0,0,'Données projet'!$E$10+1,1))-AVERAGE(OFFSET($H$3,0,0,'Données projet'!$E$10+1,1))</f>
        <v>408.65944152905672</v>
      </c>
      <c r="AO177" s="62">
        <f t="shared" si="144"/>
        <v>248.55239719988651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12.632656499933104</v>
      </c>
      <c r="AV177" s="23">
        <f>EXP(-LN(2)/25)*AV176+(1-EXP(-LN(2)/25))/(LN(2)/25)*Calculateur!AQ177*Calculateur!AS177*VLOOKUP('Données projet'!$B$10,Paramètres!$A$1:$I$89,3,0)*0.475*44/12</f>
        <v>7.0237419074582217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19.656398407391325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598.14</v>
      </c>
      <c r="BE177" s="14">
        <f>BD177*VLOOKUP('Données projet'!$B$11,Paramètres!$A$1:$I$89,3,0)*VLOOKUP('Données projet'!$B$11,Paramètres!$A$1:$I$89,5,0)</f>
        <v>578.52100799999994</v>
      </c>
      <c r="BF177" s="14">
        <f t="shared" si="167"/>
        <v>127.15611541885089</v>
      </c>
      <c r="BG177" s="22">
        <f t="shared" si="168"/>
        <v>1229.0543232878317</v>
      </c>
      <c r="BH177" s="62">
        <f t="shared" si="116"/>
        <v>1522.387656621165</v>
      </c>
      <c r="BI177" s="62">
        <f ca="1">AVERAGE(OFFSET($BH$3,0,0,'Données projet'!$E$11+1,1))-AVERAGE(OFFSET($H$3,0,0,'Données projet'!$E$11+1,1))</f>
        <v>643.38601112255424</v>
      </c>
      <c r="BJ177" s="62">
        <f t="shared" si="146"/>
        <v>572.76381622085694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1.2786608826094381</v>
      </c>
      <c r="BQ177" s="23">
        <f>EXP(-LN(2)/25)*BQ176+(1-EXP(-LN(2)/25))/(LN(2)/25)*Calculateur!BL177*Calculateur!BN177*VLOOKUP('Données projet'!$B$11,Paramètres!$A$1:$I$89,3,0)*0.475*44/12</f>
        <v>0.44825190447020596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1.7269127870796441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505.23000000000025</v>
      </c>
      <c r="BZ177" s="14">
        <f>BY177*VLOOKUP('Données projet'!$B$12,Paramètres!$A$1:$I$89,3,0)*VLOOKUP('Données projet'!$B$12,Paramètres!$A$1:$I$89,5,0)</f>
        <v>338.90828400000015</v>
      </c>
      <c r="CA177" s="14">
        <f t="shared" si="170"/>
        <v>79.274348782791407</v>
      </c>
      <c r="CB177" s="22">
        <f t="shared" si="171"/>
        <v>728.33475209669507</v>
      </c>
      <c r="CC177" s="62">
        <f t="shared" si="119"/>
        <v>1021.6680854300284</v>
      </c>
      <c r="CD177" s="62">
        <f ca="1">AVERAGE(OFFSET($CC$3,0,0,'Données projet'!$E$12+1,1))-AVERAGE(OFFSET($H$3,0,0,'Données projet'!$E$12+1,1))</f>
        <v>323.41415875740768</v>
      </c>
      <c r="CE177" s="62">
        <f t="shared" si="148"/>
        <v>496.54020068152101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598.14</v>
      </c>
      <c r="CU177" s="18">
        <f>CT177*VLOOKUP('Données projet'!$B$13,Paramètres!$A$1:$I$89,3,0)*VLOOKUP('Données projet'!$B$13,Paramètres!$A$1:$I$89,5,0)</f>
        <v>643.837896</v>
      </c>
      <c r="CV177" s="14">
        <f t="shared" si="173"/>
        <v>139.76132574448636</v>
      </c>
      <c r="CW177" s="22">
        <f t="shared" si="174"/>
        <v>1364.7686445383138</v>
      </c>
      <c r="CX177" s="62">
        <f t="shared" si="122"/>
        <v>1658.101977871647</v>
      </c>
      <c r="CY177" s="62">
        <f ca="1">AVERAGE(OFFSET($CX$3,0,0,'Données projet'!$E$13+1,1))-AVERAGE(OFFSET($H$3,0,0,'Données projet'!$E$13+1,1))</f>
        <v>720.47588458554264</v>
      </c>
      <c r="CZ177" s="62">
        <f t="shared" si="150"/>
        <v>638.59686934821627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1.4230258209685689</v>
      </c>
      <c r="DG177" s="23">
        <f>EXP(-LN(2)/25)*DG176+(1-EXP(-LN(2)/25))/(LN(2)/25)*Calculateur!DB177*Calculateur!DD177*VLOOKUP('Données projet'!$B$13,Paramètres!$A$1:$I$89,3,0)*0.475*44/12</f>
        <v>0.4988609904587768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1.9218868114273457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751.18</v>
      </c>
      <c r="O178" s="14">
        <f>N178*VLOOKUP('Données projet'!$B$9,Paramètres!$A$1:$I$89,3,0)*VLOOKUP('Données projet'!$B$9,Paramètres!$A$1:$I$89,5,0)</f>
        <v>351.55223999999993</v>
      </c>
      <c r="P178" s="14">
        <f t="shared" si="141"/>
        <v>81.882051211276618</v>
      </c>
      <c r="Q178" s="22">
        <f t="shared" si="162"/>
        <v>754.89805719297328</v>
      </c>
      <c r="R178" s="62">
        <f t="shared" si="109"/>
        <v>1048.2313905263065</v>
      </c>
      <c r="S178" s="62">
        <f ca="1">AVERAGE(OFFSET($R$3,0,0,'Données projet'!$E$9+1,1))-AVERAGE(OFFSET($H$3,0,0,'Données projet'!$E$9+1,1))</f>
        <v>309.95417097673084</v>
      </c>
      <c r="T178" s="62">
        <f t="shared" si="142"/>
        <v>170.83243426024433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1.2296682671169332</v>
      </c>
      <c r="AA178" s="23">
        <f>EXP(-LN(2)/25)*AA177+(1-EXP(-LN(2)/25))/(LN(2)/25)*Calculateur!V178*Calculateur!X178*VLOOKUP('Données projet'!$B$9,Paramètres!$A$1:$I$89,3,0)*0.475*44/12</f>
        <v>2.96686403430405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4.1965323014209837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4.4499999999999984</v>
      </c>
      <c r="AI178" s="14">
        <f>IF('Données projet'!$A$62&gt;35,AI177+AH178-AQ177,IF(A178&lt;'Données projet'!$A$62,$AF$205^A178,IF(A178='Données projet'!$A$62,'Données projet'!$B$62,AI177+AH178-AQ177)))</f>
        <v>399.83999999999844</v>
      </c>
      <c r="AJ178" s="14">
        <f>AI178*VLOOKUP('Données projet'!$B$10,Paramètres!$A$1:$I$89,3,0)*VLOOKUP('Données projet'!$B$10,Paramètres!$A$1:$I$89,5,0)</f>
        <v>405.43775999999843</v>
      </c>
      <c r="AK178" s="14">
        <f t="shared" si="164"/>
        <v>92.878219761528698</v>
      </c>
      <c r="AL178" s="22">
        <f t="shared" si="165"/>
        <v>867.90033141799302</v>
      </c>
      <c r="AM178" s="62">
        <f t="shared" si="113"/>
        <v>1161.2336647513264</v>
      </c>
      <c r="AN178" s="62">
        <f ca="1">AVERAGE(OFFSET($AM$3,0,0,'Données projet'!$E$10+1,1))-AVERAGE(OFFSET($H$3,0,0,'Données projet'!$E$10+1,1))</f>
        <v>408.65944152905672</v>
      </c>
      <c r="AO178" s="62">
        <f t="shared" si="144"/>
        <v>248.55239719988651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12.38493781112906</v>
      </c>
      <c r="AV178" s="23">
        <f>EXP(-LN(2)/25)*AV177+(1-EXP(-LN(2)/25))/(LN(2)/25)*Calculateur!AQ178*Calculateur!AS178*VLOOKUP('Données projet'!$B$10,Paramètres!$A$1:$I$89,3,0)*0.475*44/12</f>
        <v>6.8316773156362425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19.216615126765301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598.14</v>
      </c>
      <c r="BE178" s="14">
        <f>BD178*VLOOKUP('Données projet'!$B$11,Paramètres!$A$1:$I$89,3,0)*VLOOKUP('Données projet'!$B$11,Paramètres!$A$1:$I$89,5,0)</f>
        <v>578.52100799999994</v>
      </c>
      <c r="BF178" s="14">
        <f t="shared" si="167"/>
        <v>127.15611541885089</v>
      </c>
      <c r="BG178" s="22">
        <f t="shared" si="168"/>
        <v>1229.0543232878317</v>
      </c>
      <c r="BH178" s="62">
        <f t="shared" si="116"/>
        <v>1522.387656621165</v>
      </c>
      <c r="BI178" s="62">
        <f ca="1">AVERAGE(OFFSET($BH$3,0,0,'Données projet'!$E$11+1,1))-AVERAGE(OFFSET($H$3,0,0,'Données projet'!$E$11+1,1))</f>
        <v>643.38601112255424</v>
      </c>
      <c r="BJ178" s="62">
        <f t="shared" si="146"/>
        <v>572.76381622085694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1.2535871226075961</v>
      </c>
      <c r="BQ178" s="23">
        <f>EXP(-LN(2)/25)*BQ177+(1-EXP(-LN(2)/25))/(LN(2)/25)*Calculateur!BL178*Calculateur!BN178*VLOOKUP('Données projet'!$B$11,Paramètres!$A$1:$I$89,3,0)*0.475*44/12</f>
        <v>0.43599443256992504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1.6895815551775211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505.23000000000025</v>
      </c>
      <c r="BZ178" s="14">
        <f>BY178*VLOOKUP('Données projet'!$B$12,Paramètres!$A$1:$I$89,3,0)*VLOOKUP('Données projet'!$B$12,Paramètres!$A$1:$I$89,5,0)</f>
        <v>338.90828400000015</v>
      </c>
      <c r="CA178" s="14">
        <f t="shared" si="170"/>
        <v>79.274348782791407</v>
      </c>
      <c r="CB178" s="22">
        <f t="shared" si="171"/>
        <v>728.33475209669507</v>
      </c>
      <c r="CC178" s="62">
        <f t="shared" si="119"/>
        <v>1021.6680854300284</v>
      </c>
      <c r="CD178" s="62">
        <f ca="1">AVERAGE(OFFSET($CC$3,0,0,'Données projet'!$E$12+1,1))-AVERAGE(OFFSET($H$3,0,0,'Données projet'!$E$12+1,1))</f>
        <v>323.41415875740768</v>
      </c>
      <c r="CE178" s="62">
        <f t="shared" si="148"/>
        <v>496.54020068152101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598.14</v>
      </c>
      <c r="CU178" s="18">
        <f>CT178*VLOOKUP('Données projet'!$B$13,Paramètres!$A$1:$I$89,3,0)*VLOOKUP('Données projet'!$B$13,Paramètres!$A$1:$I$89,5,0)</f>
        <v>643.837896</v>
      </c>
      <c r="CV178" s="14">
        <f t="shared" si="173"/>
        <v>139.76132574448636</v>
      </c>
      <c r="CW178" s="22">
        <f t="shared" si="174"/>
        <v>1364.7686445383138</v>
      </c>
      <c r="CX178" s="62">
        <f t="shared" si="122"/>
        <v>1658.101977871647</v>
      </c>
      <c r="CY178" s="62">
        <f ca="1">AVERAGE(OFFSET($CX$3,0,0,'Données projet'!$E$13+1,1))-AVERAGE(OFFSET($H$3,0,0,'Données projet'!$E$13+1,1))</f>
        <v>720.47588458554264</v>
      </c>
      <c r="CZ178" s="62">
        <f t="shared" si="150"/>
        <v>638.59686934821627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1.395121152579422</v>
      </c>
      <c r="DG178" s="23">
        <f>EXP(-LN(2)/25)*DG177+(1-EXP(-LN(2)/25))/(LN(2)/25)*Calculateur!DB178*Calculateur!DD178*VLOOKUP('Données projet'!$B$13,Paramètres!$A$1:$I$89,3,0)*0.475*44/12</f>
        <v>0.4852196104407222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1.8803407630201443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751.18</v>
      </c>
      <c r="O179" s="14">
        <f>N179*VLOOKUP('Données projet'!$B$9,Paramètres!$A$1:$I$89,3,0)*VLOOKUP('Données projet'!$B$9,Paramètres!$A$1:$I$89,5,0)</f>
        <v>351.55223999999993</v>
      </c>
      <c r="P179" s="14">
        <f t="shared" si="141"/>
        <v>81.882051211276618</v>
      </c>
      <c r="Q179" s="22">
        <f t="shared" si="162"/>
        <v>754.89805719297328</v>
      </c>
      <c r="R179" s="62">
        <f t="shared" si="109"/>
        <v>1048.2313905263065</v>
      </c>
      <c r="S179" s="62">
        <f ca="1">AVERAGE(OFFSET($R$3,0,0,'Données projet'!$E$9+1,1))-AVERAGE(OFFSET($H$3,0,0,'Données projet'!$E$9+1,1))</f>
        <v>309.95417097673084</v>
      </c>
      <c r="T179" s="62">
        <f t="shared" si="142"/>
        <v>170.83243426024433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1.2055552224223545</v>
      </c>
      <c r="AA179" s="23">
        <f>EXP(-LN(2)/25)*AA178+(1-EXP(-LN(2)/25))/(LN(2)/25)*Calculateur!V179*Calculateur!X179*VLOOKUP('Données projet'!$B$9,Paramètres!$A$1:$I$89,3,0)*0.475*44/12</f>
        <v>2.885734981265407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4.0912902036877616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4.4499999999999984</v>
      </c>
      <c r="AI179" s="14">
        <f>IF('Données projet'!$A$62&gt;35,AI178+AH179-AQ178,IF(A179&lt;'Données projet'!$A$62,$AF$205^A179,IF(A179='Données projet'!$A$62,'Données projet'!$B$62,AI178+AH179-AQ178)))</f>
        <v>404.28999999999843</v>
      </c>
      <c r="AJ179" s="14">
        <f>AI179*VLOOKUP('Données projet'!$B$10,Paramètres!$A$1:$I$89,3,0)*VLOOKUP('Données projet'!$B$10,Paramètres!$A$1:$I$89,5,0)</f>
        <v>409.95005999999842</v>
      </c>
      <c r="AK179" s="14">
        <f t="shared" si="164"/>
        <v>93.790993470500368</v>
      </c>
      <c r="AL179" s="22">
        <f t="shared" si="165"/>
        <v>877.34900146111875</v>
      </c>
      <c r="AM179" s="62">
        <f t="shared" si="113"/>
        <v>1170.6823347944521</v>
      </c>
      <c r="AN179" s="62">
        <f ca="1">AVERAGE(OFFSET($AM$3,0,0,'Données projet'!$E$10+1,1))-AVERAGE(OFFSET($H$3,0,0,'Données projet'!$E$10+1,1))</f>
        <v>408.65944152905672</v>
      </c>
      <c r="AO179" s="62">
        <f t="shared" si="144"/>
        <v>248.55239719988651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12.142076734718982</v>
      </c>
      <c r="AV179" s="23">
        <f>EXP(-LN(2)/25)*AV178+(1-EXP(-LN(2)/25))/(LN(2)/25)*Calculateur!AQ179*Calculateur!AS179*VLOOKUP('Données projet'!$B$10,Paramètres!$A$1:$I$89,3,0)*0.475*44/12</f>
        <v>6.6448647401778738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18.786941474896857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598.14</v>
      </c>
      <c r="BE179" s="14">
        <f>BD179*VLOOKUP('Données projet'!$B$11,Paramètres!$A$1:$I$89,3,0)*VLOOKUP('Données projet'!$B$11,Paramètres!$A$1:$I$89,5,0)</f>
        <v>578.52100799999994</v>
      </c>
      <c r="BF179" s="14">
        <f t="shared" si="167"/>
        <v>127.15611541885089</v>
      </c>
      <c r="BG179" s="22">
        <f t="shared" si="168"/>
        <v>1229.0543232878317</v>
      </c>
      <c r="BH179" s="62">
        <f t="shared" si="116"/>
        <v>1522.387656621165</v>
      </c>
      <c r="BI179" s="62">
        <f ca="1">AVERAGE(OFFSET($BH$3,0,0,'Données projet'!$E$11+1,1))-AVERAGE(OFFSET($H$3,0,0,'Données projet'!$E$11+1,1))</f>
        <v>643.38601112255424</v>
      </c>
      <c r="BJ179" s="62">
        <f t="shared" si="146"/>
        <v>572.76381622085694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1.2290050437459066</v>
      </c>
      <c r="BQ179" s="23">
        <f>EXP(-LN(2)/25)*BQ178+(1-EXP(-LN(2)/25))/(LN(2)/25)*Calculateur!BL179*Calculateur!BN179*VLOOKUP('Données projet'!$B$11,Paramètres!$A$1:$I$89,3,0)*0.475*44/12</f>
        <v>0.42407214188334968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1.6530771856292563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505.23000000000025</v>
      </c>
      <c r="BZ179" s="14">
        <f>BY179*VLOOKUP('Données projet'!$B$12,Paramètres!$A$1:$I$89,3,0)*VLOOKUP('Données projet'!$B$12,Paramètres!$A$1:$I$89,5,0)</f>
        <v>338.90828400000015</v>
      </c>
      <c r="CA179" s="14">
        <f t="shared" si="170"/>
        <v>79.274348782791407</v>
      </c>
      <c r="CB179" s="22">
        <f t="shared" si="171"/>
        <v>728.33475209669507</v>
      </c>
      <c r="CC179" s="62">
        <f t="shared" si="119"/>
        <v>1021.6680854300284</v>
      </c>
      <c r="CD179" s="62">
        <f ca="1">AVERAGE(OFFSET($CC$3,0,0,'Données projet'!$E$12+1,1))-AVERAGE(OFFSET($H$3,0,0,'Données projet'!$E$12+1,1))</f>
        <v>323.41415875740768</v>
      </c>
      <c r="CE179" s="62">
        <f t="shared" si="148"/>
        <v>496.54020068152101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598.14</v>
      </c>
      <c r="CU179" s="18">
        <f>CT179*VLOOKUP('Données projet'!$B$13,Paramètres!$A$1:$I$89,3,0)*VLOOKUP('Données projet'!$B$13,Paramètres!$A$1:$I$89,5,0)</f>
        <v>643.837896</v>
      </c>
      <c r="CV179" s="14">
        <f t="shared" si="173"/>
        <v>139.76132574448636</v>
      </c>
      <c r="CW179" s="22">
        <f t="shared" si="174"/>
        <v>1364.7686445383138</v>
      </c>
      <c r="CX179" s="62">
        <f t="shared" si="122"/>
        <v>1658.101977871647</v>
      </c>
      <c r="CY179" s="62">
        <f ca="1">AVERAGE(OFFSET($CX$3,0,0,'Données projet'!$E$13+1,1))-AVERAGE(OFFSET($H$3,0,0,'Données projet'!$E$13+1,1))</f>
        <v>720.47588458554264</v>
      </c>
      <c r="CZ179" s="62">
        <f t="shared" si="150"/>
        <v>638.59686934821627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1.3677636777172193</v>
      </c>
      <c r="DG179" s="23">
        <f>EXP(-LN(2)/25)*DG178+(1-EXP(-LN(2)/25))/(LN(2)/25)*Calculateur!DB179*Calculateur!DD179*VLOOKUP('Données projet'!$B$13,Paramètres!$A$1:$I$89,3,0)*0.475*44/12</f>
        <v>0.47195125467663035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1.8397149323938495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751.18</v>
      </c>
      <c r="O180" s="14">
        <f>N180*VLOOKUP('Données projet'!$B$9,Paramètres!$A$1:$I$89,3,0)*VLOOKUP('Données projet'!$B$9,Paramètres!$A$1:$I$89,5,0)</f>
        <v>351.55223999999993</v>
      </c>
      <c r="P180" s="14">
        <f t="shared" si="141"/>
        <v>81.882051211276618</v>
      </c>
      <c r="Q180" s="22">
        <f t="shared" si="162"/>
        <v>754.89805719297328</v>
      </c>
      <c r="R180" s="62">
        <f t="shared" si="109"/>
        <v>1048.2313905263065</v>
      </c>
      <c r="S180" s="62">
        <f ca="1">AVERAGE(OFFSET($R$3,0,0,'Données projet'!$E$9+1,1))-AVERAGE(OFFSET($H$3,0,0,'Données projet'!$E$9+1,1))</f>
        <v>309.95417097673084</v>
      </c>
      <c r="T180" s="62">
        <f t="shared" si="142"/>
        <v>170.83243426024433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1.1819150198267314</v>
      </c>
      <c r="AA180" s="23">
        <f>EXP(-LN(2)/25)*AA179+(1-EXP(-LN(2)/25))/(LN(2)/25)*Calculateur!V180*Calculateur!X180*VLOOKUP('Données projet'!$B$9,Paramètres!$A$1:$I$89,3,0)*0.475*44/12</f>
        <v>2.8068244064484973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3.9887394262752287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4.4499999999999984</v>
      </c>
      <c r="AI180" s="14">
        <f>IF('Données projet'!$A$62&gt;35,AI179+AH180-AQ179,IF(A180&lt;'Données projet'!$A$62,$AF$205^A180,IF(A180='Données projet'!$A$62,'Données projet'!$B$62,AI179+AH180-AQ179)))</f>
        <v>408.73999999999842</v>
      </c>
      <c r="AJ180" s="14">
        <f>AI180*VLOOKUP('Données projet'!$B$10,Paramètres!$A$1:$I$89,3,0)*VLOOKUP('Données projet'!$B$10,Paramètres!$A$1:$I$89,5,0)</f>
        <v>414.4623599999984</v>
      </c>
      <c r="AK180" s="14">
        <f t="shared" si="164"/>
        <v>94.702598449431179</v>
      </c>
      <c r="AL180" s="22">
        <f t="shared" si="165"/>
        <v>886.79563596608978</v>
      </c>
      <c r="AM180" s="62">
        <f t="shared" si="113"/>
        <v>1180.128969299423</v>
      </c>
      <c r="AN180" s="62">
        <f ca="1">AVERAGE(OFFSET($AM$3,0,0,'Données projet'!$E$10+1,1))-AVERAGE(OFFSET($H$3,0,0,'Données projet'!$E$10+1,1))</f>
        <v>408.65944152905672</v>
      </c>
      <c r="AO180" s="62">
        <f t="shared" si="144"/>
        <v>248.55239719988651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11.903978015886675</v>
      </c>
      <c r="AV180" s="23">
        <f>EXP(-LN(2)/25)*AV179+(1-EXP(-LN(2)/25))/(LN(2)/25)*Calculateur!AQ180*Calculateur!AS180*VLOOKUP('Données projet'!$B$10,Paramètres!$A$1:$I$89,3,0)*0.475*44/12</f>
        <v>6.4631605644194599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18.367138580306136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598.14</v>
      </c>
      <c r="BE180" s="14">
        <f>BD180*VLOOKUP('Données projet'!$B$11,Paramètres!$A$1:$I$89,3,0)*VLOOKUP('Données projet'!$B$11,Paramètres!$A$1:$I$89,5,0)</f>
        <v>578.52100799999994</v>
      </c>
      <c r="BF180" s="14">
        <f t="shared" si="167"/>
        <v>127.15611541885089</v>
      </c>
      <c r="BG180" s="22">
        <f t="shared" si="168"/>
        <v>1229.0543232878317</v>
      </c>
      <c r="BH180" s="62">
        <f t="shared" si="116"/>
        <v>1522.387656621165</v>
      </c>
      <c r="BI180" s="62">
        <f ca="1">AVERAGE(OFFSET($BH$3,0,0,'Données projet'!$E$11+1,1))-AVERAGE(OFFSET($H$3,0,0,'Données projet'!$E$11+1,1))</f>
        <v>643.38601112255424</v>
      </c>
      <c r="BJ180" s="62">
        <f t="shared" si="146"/>
        <v>572.76381622085694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1.2049050044571072</v>
      </c>
      <c r="BQ180" s="23">
        <f>EXP(-LN(2)/25)*BQ179+(1-EXP(-LN(2)/25))/(LN(2)/25)*Calculateur!BL180*Calculateur!BN180*VLOOKUP('Données projet'!$B$11,Paramètres!$A$1:$I$89,3,0)*0.475*44/12</f>
        <v>0.41247586686256477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1.617380871319672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505.23000000000025</v>
      </c>
      <c r="BZ180" s="14">
        <f>BY180*VLOOKUP('Données projet'!$B$12,Paramètres!$A$1:$I$89,3,0)*VLOOKUP('Données projet'!$B$12,Paramètres!$A$1:$I$89,5,0)</f>
        <v>338.90828400000015</v>
      </c>
      <c r="CA180" s="14">
        <f t="shared" si="170"/>
        <v>79.274348782791407</v>
      </c>
      <c r="CB180" s="22">
        <f t="shared" si="171"/>
        <v>728.33475209669507</v>
      </c>
      <c r="CC180" s="62">
        <f t="shared" si="119"/>
        <v>1021.6680854300284</v>
      </c>
      <c r="CD180" s="62">
        <f ca="1">AVERAGE(OFFSET($CC$3,0,0,'Données projet'!$E$12+1,1))-AVERAGE(OFFSET($H$3,0,0,'Données projet'!$E$12+1,1))</f>
        <v>323.41415875740768</v>
      </c>
      <c r="CE180" s="62">
        <f t="shared" si="148"/>
        <v>496.54020068152101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598.14</v>
      </c>
      <c r="CU180" s="18">
        <f>CT180*VLOOKUP('Données projet'!$B$13,Paramètres!$A$1:$I$89,3,0)*VLOOKUP('Données projet'!$B$13,Paramètres!$A$1:$I$89,5,0)</f>
        <v>643.837896</v>
      </c>
      <c r="CV180" s="14">
        <f t="shared" si="173"/>
        <v>139.76132574448636</v>
      </c>
      <c r="CW180" s="22">
        <f t="shared" si="174"/>
        <v>1364.7686445383138</v>
      </c>
      <c r="CX180" s="62">
        <f t="shared" si="122"/>
        <v>1658.101977871647</v>
      </c>
      <c r="CY180" s="62">
        <f ca="1">AVERAGE(OFFSET($CX$3,0,0,'Données projet'!$E$13+1,1))-AVERAGE(OFFSET($H$3,0,0,'Données projet'!$E$13+1,1))</f>
        <v>720.47588458554264</v>
      </c>
      <c r="CZ180" s="62">
        <f t="shared" si="150"/>
        <v>638.59686934821627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1.3409426662506523</v>
      </c>
      <c r="DG180" s="23">
        <f>EXP(-LN(2)/25)*DG179+(1-EXP(-LN(2)/25))/(LN(2)/25)*Calculateur!DB180*Calculateur!DD180*VLOOKUP('Données projet'!$B$13,Paramètres!$A$1:$I$89,3,0)*0.475*44/12</f>
        <v>0.45904572279866007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1.7999883890493122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751.18</v>
      </c>
      <c r="O181" s="14">
        <f>N181*VLOOKUP('Données projet'!$B$9,Paramètres!$A$1:$I$89,3,0)*VLOOKUP('Données projet'!$B$9,Paramètres!$A$1:$I$89,5,0)</f>
        <v>351.55223999999993</v>
      </c>
      <c r="P181" s="14">
        <f t="shared" si="141"/>
        <v>81.882051211276618</v>
      </c>
      <c r="Q181" s="22">
        <f t="shared" si="162"/>
        <v>754.89805719297328</v>
      </c>
      <c r="R181" s="62">
        <f t="shared" si="109"/>
        <v>1048.2313905263065</v>
      </c>
      <c r="S181" s="62">
        <f ca="1">AVERAGE(OFFSET($R$3,0,0,'Données projet'!$E$9+1,1))-AVERAGE(OFFSET($H$3,0,0,'Données projet'!$E$9+1,1))</f>
        <v>309.95417097673084</v>
      </c>
      <c r="T181" s="62">
        <f t="shared" si="142"/>
        <v>170.83243426024433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1.1587383871849086</v>
      </c>
      <c r="AA181" s="23">
        <f>EXP(-LN(2)/25)*AA180+(1-EXP(-LN(2)/25))/(LN(2)/25)*Calculateur!V181*Calculateur!X181*VLOOKUP('Données projet'!$B$9,Paramètres!$A$1:$I$89,3,0)*0.475*44/12</f>
        <v>2.7300716454496827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3.8888100326345914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4.4499999999999984</v>
      </c>
      <c r="AI181" s="14">
        <f>IF('Données projet'!$A$62&gt;35,AI180+AH181-AQ180,IF(A181&lt;'Données projet'!$A$62,$AF$205^A181,IF(A181='Données projet'!$A$62,'Données projet'!$B$62,AI180+AH181-AQ180)))</f>
        <v>413.18999999999841</v>
      </c>
      <c r="AJ181" s="14">
        <f>AI181*VLOOKUP('Données projet'!$B$10,Paramètres!$A$1:$I$89,3,0)*VLOOKUP('Données projet'!$B$10,Paramètres!$A$1:$I$89,5,0)</f>
        <v>418.97465999999844</v>
      </c>
      <c r="AK181" s="14">
        <f t="shared" si="164"/>
        <v>95.613048895072978</v>
      </c>
      <c r="AL181" s="22">
        <f t="shared" si="165"/>
        <v>896.24025965891599</v>
      </c>
      <c r="AM181" s="62">
        <f t="shared" si="113"/>
        <v>1189.5735929922494</v>
      </c>
      <c r="AN181" s="62">
        <f ca="1">AVERAGE(OFFSET($AM$3,0,0,'Données projet'!$E$10+1,1))-AVERAGE(OFFSET($H$3,0,0,'Données projet'!$E$10+1,1))</f>
        <v>408.65944152905672</v>
      </c>
      <c r="AO181" s="62">
        <f t="shared" si="144"/>
        <v>248.55239719988651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11.670548267704792</v>
      </c>
      <c r="AV181" s="23">
        <f>EXP(-LN(2)/25)*AV180+(1-EXP(-LN(2)/25))/(LN(2)/25)*Calculateur!AQ181*Calculateur!AS181*VLOOKUP('Données projet'!$B$10,Paramètres!$A$1:$I$89,3,0)*0.475*44/12</f>
        <v>6.2864250989025674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17.956973366607357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598.14</v>
      </c>
      <c r="BE181" s="14">
        <f>BD181*VLOOKUP('Données projet'!$B$11,Paramètres!$A$1:$I$89,3,0)*VLOOKUP('Données projet'!$B$11,Paramètres!$A$1:$I$89,5,0)</f>
        <v>578.52100799999994</v>
      </c>
      <c r="BF181" s="14">
        <f t="shared" si="167"/>
        <v>127.15611541885089</v>
      </c>
      <c r="BG181" s="22">
        <f t="shared" si="168"/>
        <v>1229.0543232878317</v>
      </c>
      <c r="BH181" s="62">
        <f t="shared" si="116"/>
        <v>1522.387656621165</v>
      </c>
      <c r="BI181" s="62">
        <f ca="1">AVERAGE(OFFSET($BH$3,0,0,'Données projet'!$E$11+1,1))-AVERAGE(OFFSET($H$3,0,0,'Données projet'!$E$11+1,1))</f>
        <v>643.38601112255424</v>
      </c>
      <c r="BJ181" s="62">
        <f t="shared" si="146"/>
        <v>572.76381622085694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1.1812775522391887</v>
      </c>
      <c r="BQ181" s="23">
        <f>EXP(-LN(2)/25)*BQ180+(1-EXP(-LN(2)/25))/(LN(2)/25)*Calculateur!BL181*Calculateur!BN181*VLOOKUP('Données projet'!$B$11,Paramètres!$A$1:$I$89,3,0)*0.475*44/12</f>
        <v>0.40119669259204482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1.5824742448312334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505.23000000000025</v>
      </c>
      <c r="BZ181" s="14">
        <f>BY181*VLOOKUP('Données projet'!$B$12,Paramètres!$A$1:$I$89,3,0)*VLOOKUP('Données projet'!$B$12,Paramètres!$A$1:$I$89,5,0)</f>
        <v>338.90828400000015</v>
      </c>
      <c r="CA181" s="14">
        <f t="shared" si="170"/>
        <v>79.274348782791407</v>
      </c>
      <c r="CB181" s="22">
        <f t="shared" si="171"/>
        <v>728.33475209669507</v>
      </c>
      <c r="CC181" s="62">
        <f t="shared" si="119"/>
        <v>1021.6680854300284</v>
      </c>
      <c r="CD181" s="62">
        <f ca="1">AVERAGE(OFFSET($CC$3,0,0,'Données projet'!$E$12+1,1))-AVERAGE(OFFSET($H$3,0,0,'Données projet'!$E$12+1,1))</f>
        <v>323.41415875740768</v>
      </c>
      <c r="CE181" s="62">
        <f t="shared" si="148"/>
        <v>496.54020068152101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598.14</v>
      </c>
      <c r="CU181" s="18">
        <f>CT181*VLOOKUP('Données projet'!$B$13,Paramètres!$A$1:$I$89,3,0)*VLOOKUP('Données projet'!$B$13,Paramètres!$A$1:$I$89,5,0)</f>
        <v>643.837896</v>
      </c>
      <c r="CV181" s="14">
        <f t="shared" si="173"/>
        <v>139.76132574448636</v>
      </c>
      <c r="CW181" s="22">
        <f t="shared" si="174"/>
        <v>1364.7686445383138</v>
      </c>
      <c r="CX181" s="62">
        <f t="shared" si="122"/>
        <v>1658.101977871647</v>
      </c>
      <c r="CY181" s="62">
        <f ca="1">AVERAGE(OFFSET($CX$3,0,0,'Données projet'!$E$13+1,1))-AVERAGE(OFFSET($H$3,0,0,'Données projet'!$E$13+1,1))</f>
        <v>720.47588458554264</v>
      </c>
      <c r="CZ181" s="62">
        <f t="shared" si="150"/>
        <v>638.59686934821627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1.314647598459743</v>
      </c>
      <c r="DG181" s="23">
        <f>EXP(-LN(2)/25)*DG180+(1-EXP(-LN(2)/25))/(LN(2)/25)*Calculateur!DB181*Calculateur!DD181*VLOOKUP('Données projet'!$B$13,Paramètres!$A$1:$I$89,3,0)*0.475*44/12</f>
        <v>0.4464930933685653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1.7611406918283083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751.18</v>
      </c>
      <c r="O182" s="14">
        <f>N182*VLOOKUP('Données projet'!$B$9,Paramètres!$A$1:$I$89,3,0)*VLOOKUP('Données projet'!$B$9,Paramètres!$A$1:$I$89,5,0)</f>
        <v>351.55223999999993</v>
      </c>
      <c r="P182" s="14">
        <f t="shared" si="141"/>
        <v>81.882051211276618</v>
      </c>
      <c r="Q182" s="22">
        <f t="shared" si="162"/>
        <v>754.89805719297328</v>
      </c>
      <c r="R182" s="62">
        <f t="shared" si="109"/>
        <v>1048.2313905263065</v>
      </c>
      <c r="S182" s="62">
        <f ca="1">AVERAGE(OFFSET($R$3,0,0,'Données projet'!$E$9+1,1))-AVERAGE(OFFSET($H$3,0,0,'Données projet'!$E$9+1,1))</f>
        <v>309.95417097673084</v>
      </c>
      <c r="T182" s="62">
        <f t="shared" si="142"/>
        <v>170.83243426024433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1.1360162341728419</v>
      </c>
      <c r="AA182" s="23">
        <f>EXP(-LN(2)/25)*AA181+(1-EXP(-LN(2)/25))/(LN(2)/25)*Calculateur!V182*Calculateur!X182*VLOOKUP('Données projet'!$B$9,Paramètres!$A$1:$I$89,3,0)*0.475*44/12</f>
        <v>2.6554176927366329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3.791433926909475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4.4499999999999984</v>
      </c>
      <c r="AI182" s="14">
        <f>IF('Données projet'!$A$62&gt;35,AI181+AH182-AQ181,IF(A182&lt;'Données projet'!$A$62,$AF$205^A182,IF(A182='Données projet'!$A$62,'Données projet'!$B$62,AI181+AH182-AQ181)))</f>
        <v>417.63999999999839</v>
      </c>
      <c r="AJ182" s="14">
        <f>AI182*VLOOKUP('Données projet'!$B$10,Paramètres!$A$1:$I$89,3,0)*VLOOKUP('Données projet'!$B$10,Paramètres!$A$1:$I$89,5,0)</f>
        <v>423.48695999999842</v>
      </c>
      <c r="AK182" s="14">
        <f t="shared" si="164"/>
        <v>96.522358680770736</v>
      </c>
      <c r="AL182" s="22">
        <f t="shared" si="165"/>
        <v>905.68289670233969</v>
      </c>
      <c r="AM182" s="62">
        <f t="shared" si="113"/>
        <v>1199.0162300356731</v>
      </c>
      <c r="AN182" s="62">
        <f ca="1">AVERAGE(OFFSET($AM$3,0,0,'Données projet'!$E$10+1,1))-AVERAGE(OFFSET($H$3,0,0,'Données projet'!$E$10+1,1))</f>
        <v>408.65944152905672</v>
      </c>
      <c r="AO182" s="62">
        <f t="shared" si="144"/>
        <v>248.55239719988651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11.441695934506667</v>
      </c>
      <c r="AV182" s="23">
        <f>EXP(-LN(2)/25)*AV181+(1-EXP(-LN(2)/25))/(LN(2)/25)*Calculateur!AQ182*Calculateur!AS182*VLOOKUP('Données projet'!$B$10,Paramètres!$A$1:$I$89,3,0)*0.475*44/12</f>
        <v>6.1145224739843487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17.556218408491016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598.14</v>
      </c>
      <c r="BE182" s="14">
        <f>BD182*VLOOKUP('Données projet'!$B$11,Paramètres!$A$1:$I$89,3,0)*VLOOKUP('Données projet'!$B$11,Paramètres!$A$1:$I$89,5,0)</f>
        <v>578.52100799999994</v>
      </c>
      <c r="BF182" s="14">
        <f t="shared" si="167"/>
        <v>127.15611541885089</v>
      </c>
      <c r="BG182" s="22">
        <f t="shared" si="168"/>
        <v>1229.0543232878317</v>
      </c>
      <c r="BH182" s="62">
        <f t="shared" si="116"/>
        <v>1522.387656621165</v>
      </c>
      <c r="BI182" s="62">
        <f ca="1">AVERAGE(OFFSET($BH$3,0,0,'Données projet'!$E$11+1,1))-AVERAGE(OFFSET($H$3,0,0,'Données projet'!$E$11+1,1))</f>
        <v>643.38601112255424</v>
      </c>
      <c r="BJ182" s="62">
        <f t="shared" si="146"/>
        <v>572.76381622085694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1.1581134199479408</v>
      </c>
      <c r="BQ182" s="23">
        <f>EXP(-LN(2)/25)*BQ181+(1-EXP(-LN(2)/25))/(LN(2)/25)*Calculateur!BL182*Calculateur!BN182*VLOOKUP('Données projet'!$B$11,Paramètres!$A$1:$I$89,3,0)*0.475*44/12</f>
        <v>0.39022594793509824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1.5483393678830391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505.23000000000025</v>
      </c>
      <c r="BZ182" s="14">
        <f>BY182*VLOOKUP('Données projet'!$B$12,Paramètres!$A$1:$I$89,3,0)*VLOOKUP('Données projet'!$B$12,Paramètres!$A$1:$I$89,5,0)</f>
        <v>338.90828400000015</v>
      </c>
      <c r="CA182" s="14">
        <f t="shared" si="170"/>
        <v>79.274348782791407</v>
      </c>
      <c r="CB182" s="22">
        <f t="shared" si="171"/>
        <v>728.33475209669507</v>
      </c>
      <c r="CC182" s="62">
        <f t="shared" si="119"/>
        <v>1021.6680854300284</v>
      </c>
      <c r="CD182" s="62">
        <f ca="1">AVERAGE(OFFSET($CC$3,0,0,'Données projet'!$E$12+1,1))-AVERAGE(OFFSET($H$3,0,0,'Données projet'!$E$12+1,1))</f>
        <v>323.41415875740768</v>
      </c>
      <c r="CE182" s="62">
        <f t="shared" si="148"/>
        <v>496.54020068152101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598.14</v>
      </c>
      <c r="CU182" s="18">
        <f>CT182*VLOOKUP('Données projet'!$B$13,Paramètres!$A$1:$I$89,3,0)*VLOOKUP('Données projet'!$B$13,Paramètres!$A$1:$I$89,5,0)</f>
        <v>643.837896</v>
      </c>
      <c r="CV182" s="14">
        <f t="shared" si="173"/>
        <v>139.76132574448636</v>
      </c>
      <c r="CW182" s="22">
        <f t="shared" si="174"/>
        <v>1364.7686445383138</v>
      </c>
      <c r="CX182" s="62">
        <f t="shared" si="122"/>
        <v>1658.101977871647</v>
      </c>
      <c r="CY182" s="62">
        <f ca="1">AVERAGE(OFFSET($CX$3,0,0,'Données projet'!$E$13+1,1))-AVERAGE(OFFSET($H$3,0,0,'Données projet'!$E$13+1,1))</f>
        <v>720.47588458554264</v>
      </c>
      <c r="CZ182" s="62">
        <f t="shared" si="150"/>
        <v>638.59686934821627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1.2888681609098058</v>
      </c>
      <c r="DG182" s="23">
        <f>EXP(-LN(2)/25)*DG181+(1-EXP(-LN(2)/25))/(LN(2)/25)*Calculateur!DB182*Calculateur!DD182*VLOOKUP('Données projet'!$B$13,Paramètres!$A$1:$I$89,3,0)*0.475*44/12</f>
        <v>0.43428371625035056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1.7231518771601564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751.18</v>
      </c>
      <c r="O183" s="14">
        <f>N183*VLOOKUP('Données projet'!$B$9,Paramètres!$A$1:$I$89,3,0)*VLOOKUP('Données projet'!$B$9,Paramètres!$A$1:$I$89,5,0)</f>
        <v>351.55223999999993</v>
      </c>
      <c r="P183" s="14">
        <f t="shared" si="141"/>
        <v>81.882051211276618</v>
      </c>
      <c r="Q183" s="22">
        <f t="shared" si="162"/>
        <v>754.89805719297328</v>
      </c>
      <c r="R183" s="62">
        <f t="shared" si="109"/>
        <v>1048.2313905263065</v>
      </c>
      <c r="S183" s="62">
        <f ca="1">AVERAGE(OFFSET($R$3,0,0,'Données projet'!$E$9+1,1))-AVERAGE(OFFSET($H$3,0,0,'Données projet'!$E$9+1,1))</f>
        <v>309.95417097673084</v>
      </c>
      <c r="T183" s="62">
        <f t="shared" si="142"/>
        <v>170.83243426024433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1.1137396487221971</v>
      </c>
      <c r="AA183" s="23">
        <f>EXP(-LN(2)/25)*AA182+(1-EXP(-LN(2)/25))/(LN(2)/25)*Calculateur!V183*Calculateur!X183*VLOOKUP('Données projet'!$B$9,Paramètres!$A$1:$I$89,3,0)*0.475*44/12</f>
        <v>2.5828051562864021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3.6965448050085992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4.4499999999999984</v>
      </c>
      <c r="AI183" s="14">
        <f>IF('Données projet'!$A$62&gt;35,AI182+AH183-AQ182,IF(A183&lt;'Données projet'!$A$62,$AF$205^A183,IF(A183='Données projet'!$A$62,'Données projet'!$B$62,AI182+AH183-AQ182)))</f>
        <v>422.08999999999838</v>
      </c>
      <c r="AJ183" s="14">
        <f>AI183*VLOOKUP('Données projet'!$B$10,Paramètres!$A$1:$I$89,3,0)*VLOOKUP('Données projet'!$B$10,Paramètres!$A$1:$I$89,5,0)</f>
        <v>427.9992599999984</v>
      </c>
      <c r="AK183" s="14">
        <f t="shared" si="164"/>
        <v>97.43054136719492</v>
      </c>
      <c r="AL183" s="22">
        <f t="shared" si="165"/>
        <v>915.12357071452834</v>
      </c>
      <c r="AM183" s="62">
        <f t="shared" si="113"/>
        <v>1208.4569040478616</v>
      </c>
      <c r="AN183" s="62">
        <f ca="1">AVERAGE(OFFSET($AM$3,0,0,'Données projet'!$E$10+1,1))-AVERAGE(OFFSET($H$3,0,0,'Données projet'!$E$10+1,1))</f>
        <v>408.65944152905672</v>
      </c>
      <c r="AO183" s="62">
        <f t="shared" si="144"/>
        <v>248.55239719988651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11.217331255976417</v>
      </c>
      <c r="AV183" s="23">
        <f>EXP(-LN(2)/25)*AV182+(1-EXP(-LN(2)/25))/(LN(2)/25)*Calculateur!AQ183*Calculateur!AS183*VLOOKUP('Données projet'!$B$10,Paramètres!$A$1:$I$89,3,0)*0.475*44/12</f>
        <v>5.9473205353844847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17.164651791360903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598.14</v>
      </c>
      <c r="BE183" s="14">
        <f>BD183*VLOOKUP('Données projet'!$B$11,Paramètres!$A$1:$I$89,3,0)*VLOOKUP('Données projet'!$B$11,Paramètres!$A$1:$I$89,5,0)</f>
        <v>578.52100799999994</v>
      </c>
      <c r="BF183" s="14">
        <f t="shared" si="167"/>
        <v>127.15611541885089</v>
      </c>
      <c r="BG183" s="22">
        <f t="shared" si="168"/>
        <v>1229.0543232878317</v>
      </c>
      <c r="BH183" s="62">
        <f t="shared" si="116"/>
        <v>1522.387656621165</v>
      </c>
      <c r="BI183" s="62">
        <f ca="1">AVERAGE(OFFSET($BH$3,0,0,'Données projet'!$E$11+1,1))-AVERAGE(OFFSET($H$3,0,0,'Données projet'!$E$11+1,1))</f>
        <v>643.38601112255424</v>
      </c>
      <c r="BJ183" s="62">
        <f t="shared" si="146"/>
        <v>572.76381622085694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1.1354035221621988</v>
      </c>
      <c r="BQ183" s="23">
        <f>EXP(-LN(2)/25)*BQ182+(1-EXP(-LN(2)/25))/(LN(2)/25)*Calculateur!BL183*Calculateur!BN183*VLOOKUP('Données projet'!$B$11,Paramètres!$A$1:$I$89,3,0)*0.475*44/12</f>
        <v>0.37955519886772227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1.5149587210299211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505.23000000000025</v>
      </c>
      <c r="BZ183" s="14">
        <f>BY183*VLOOKUP('Données projet'!$B$12,Paramètres!$A$1:$I$89,3,0)*VLOOKUP('Données projet'!$B$12,Paramètres!$A$1:$I$89,5,0)</f>
        <v>338.90828400000015</v>
      </c>
      <c r="CA183" s="14">
        <f t="shared" si="170"/>
        <v>79.274348782791407</v>
      </c>
      <c r="CB183" s="22">
        <f t="shared" si="171"/>
        <v>728.33475209669507</v>
      </c>
      <c r="CC183" s="62">
        <f t="shared" si="119"/>
        <v>1021.6680854300284</v>
      </c>
      <c r="CD183" s="62">
        <f ca="1">AVERAGE(OFFSET($CC$3,0,0,'Données projet'!$E$12+1,1))-AVERAGE(OFFSET($H$3,0,0,'Données projet'!$E$12+1,1))</f>
        <v>323.41415875740768</v>
      </c>
      <c r="CE183" s="62">
        <f t="shared" si="148"/>
        <v>496.54020068152101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598.14</v>
      </c>
      <c r="CU183" s="18">
        <f>CT183*VLOOKUP('Données projet'!$B$13,Paramètres!$A$1:$I$89,3,0)*VLOOKUP('Données projet'!$B$13,Paramètres!$A$1:$I$89,5,0)</f>
        <v>643.837896</v>
      </c>
      <c r="CV183" s="14">
        <f t="shared" si="173"/>
        <v>139.76132574448636</v>
      </c>
      <c r="CW183" s="22">
        <f t="shared" si="174"/>
        <v>1364.7686445383138</v>
      </c>
      <c r="CX183" s="62">
        <f t="shared" si="122"/>
        <v>1658.101977871647</v>
      </c>
      <c r="CY183" s="62">
        <f ca="1">AVERAGE(OFFSET($CX$3,0,0,'Données projet'!$E$13+1,1))-AVERAGE(OFFSET($H$3,0,0,'Données projet'!$E$13+1,1))</f>
        <v>720.47588458554264</v>
      </c>
      <c r="CZ183" s="62">
        <f t="shared" si="150"/>
        <v>638.59686934821627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1.2635942424063187</v>
      </c>
      <c r="DG183" s="23">
        <f>EXP(-LN(2)/25)*DG182+(1-EXP(-LN(2)/25))/(LN(2)/25)*Calculateur!DB183*Calculateur!DD183*VLOOKUP('Données projet'!$B$13,Paramètres!$A$1:$I$89,3,0)*0.475*44/12</f>
        <v>0.42240820519149663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1.6860024475978153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751.18</v>
      </c>
      <c r="O184" s="14">
        <f>N184*VLOOKUP('Données projet'!$B$9,Paramètres!$A$1:$I$89,3,0)*VLOOKUP('Données projet'!$B$9,Paramètres!$A$1:$I$89,5,0)</f>
        <v>351.55223999999993</v>
      </c>
      <c r="P184" s="14">
        <f t="shared" si="141"/>
        <v>81.882051211276618</v>
      </c>
      <c r="Q184" s="22">
        <f t="shared" si="162"/>
        <v>754.89805719297328</v>
      </c>
      <c r="R184" s="62">
        <f t="shared" si="109"/>
        <v>1048.2313905263065</v>
      </c>
      <c r="S184" s="62">
        <f ca="1">AVERAGE(OFFSET($R$3,0,0,'Données projet'!$E$9+1,1))-AVERAGE(OFFSET($H$3,0,0,'Données projet'!$E$9+1,1))</f>
        <v>309.95417097673084</v>
      </c>
      <c r="T184" s="62">
        <f t="shared" si="142"/>
        <v>170.83243426024433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1.0918998935248638</v>
      </c>
      <c r="AA184" s="23">
        <f>EXP(-LN(2)/25)*AA183+(1-EXP(-LN(2)/25))/(LN(2)/25)*Calculateur!V184*Calculateur!X184*VLOOKUP('Données projet'!$B$9,Paramètres!$A$1:$I$89,3,0)*0.475*44/12</f>
        <v>2.5121782134639301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3.6040781069887942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>
        <f>VLOOKUP(A184,'Données projet'!$A$61:$I$81,2,0)</f>
        <v>426.54</v>
      </c>
      <c r="AG184" s="13">
        <f>VLOOKUP(A184,'Données projet'!$A$61:$I$81,9,0)</f>
        <v>4.4499999999999984</v>
      </c>
      <c r="AH184" s="13">
        <f t="array" ref="AH184">INDEX(AG:AG,MIN(IF(ISNUMBER(AG184:AG380),ROW(AG184:AG380),"")))</f>
        <v>4.4499999999999984</v>
      </c>
      <c r="AI184" s="14">
        <f>IF('Données projet'!$A$62&gt;35,AI183+AH184-AQ183,IF(A184&lt;'Données projet'!$A$62,$AF$205^A184,IF(A184='Données projet'!$A$62,'Données projet'!$B$62,AI183+AH184-AQ183)))</f>
        <v>426.53999999999837</v>
      </c>
      <c r="AJ184" s="14">
        <f>AI184*VLOOKUP('Données projet'!$B$10,Paramètres!$A$1:$I$89,3,0)*VLOOKUP('Données projet'!$B$10,Paramètres!$A$1:$I$89,5,0)</f>
        <v>432.51155999999838</v>
      </c>
      <c r="AK184" s="14">
        <f t="shared" si="164"/>
        <v>98.337610212609377</v>
      </c>
      <c r="AL184" s="22">
        <f t="shared" si="165"/>
        <v>924.56230478695852</v>
      </c>
      <c r="AM184" s="62">
        <f t="shared" si="113"/>
        <v>1217.8956381202918</v>
      </c>
      <c r="AN184" s="62">
        <f ca="1">AVERAGE(OFFSET($AM$3,0,0,'Données projet'!$E$10+1,1))-AVERAGE(OFFSET($H$3,0,0,'Données projet'!$E$10+1,1))</f>
        <v>408.65944152905672</v>
      </c>
      <c r="AO184" s="62">
        <f t="shared" si="144"/>
        <v>248.55239719988651</v>
      </c>
      <c r="AP184" s="16">
        <f>IF(ISNA(VLOOKUP(A184,'Données projet'!$A$61:$I$81,3,0)),0,VLOOKUP(A184,'Données projet'!$A$61:$I$81,3,0))</f>
        <v>15</v>
      </c>
      <c r="AQ184" s="16">
        <f>IF(ISNA(VLOOKUP(A184,'Données projet'!$A$61:$I$81,4,0)),0,VLOOKUP(A184,'Données projet'!$A$61:$I$81,4,0))</f>
        <v>42.65</v>
      </c>
      <c r="AR184" s="17">
        <f>IF(ISNA(VLOOKUP(A184,'Données projet'!$A$61:$I$81,5,0)),0%,VLOOKUP(A184,'Données projet'!$A$61:$I$81,5,0)*VLOOKUP('Données projet'!$B$10,Paramètres!$A$1:$I$89,7,0))</f>
        <v>8.1699999999999995E-2</v>
      </c>
      <c r="AS184" s="17">
        <f>IF(ISNA(VLOOKUP(A184,'Données projet'!$A$61:$I$81,6,0)),0%,VLOOKUP(A184,'Données projet'!$A$61:$I$81,6,0)*VLOOKUP('Données projet'!$B$10,Paramètres!$A$1:$I$89,7,0))</f>
        <v>6.0200000000000004E-2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14.903311535685349</v>
      </c>
      <c r="AV184" s="23">
        <f>EXP(-LN(2)/25)*AV183+(1-EXP(-LN(2)/25))/(LN(2)/25)*Calculateur!AQ184*Calculateur!AS184*VLOOKUP('Données projet'!$B$10,Paramètres!$A$1:$I$89,3,0)*0.475*44/12</f>
        <v>8.6514236648616976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23.554735200547047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598.14</v>
      </c>
      <c r="BE184" s="14">
        <f>BD184*VLOOKUP('Données projet'!$B$11,Paramètres!$A$1:$I$89,3,0)*VLOOKUP('Données projet'!$B$11,Paramètres!$A$1:$I$89,5,0)</f>
        <v>578.52100799999994</v>
      </c>
      <c r="BF184" s="14">
        <f t="shared" si="167"/>
        <v>127.15611541885089</v>
      </c>
      <c r="BG184" s="22">
        <f t="shared" si="168"/>
        <v>1229.0543232878317</v>
      </c>
      <c r="BH184" s="62">
        <f t="shared" si="116"/>
        <v>1522.387656621165</v>
      </c>
      <c r="BI184" s="62">
        <f ca="1">AVERAGE(OFFSET($BH$3,0,0,'Données projet'!$E$11+1,1))-AVERAGE(OFFSET($H$3,0,0,'Données projet'!$E$11+1,1))</f>
        <v>643.38601112255424</v>
      </c>
      <c r="BJ184" s="62">
        <f t="shared" si="146"/>
        <v>572.76381622085694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1.1131389516203651</v>
      </c>
      <c r="BQ184" s="23">
        <f>EXP(-LN(2)/25)*BQ183+(1-EXP(-LN(2)/25))/(LN(2)/25)*Calculateur!BL184*Calculateur!BN184*VLOOKUP('Données projet'!$B$11,Paramètres!$A$1:$I$89,3,0)*0.475*44/12</f>
        <v>0.36917624199474397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1.4823151936151091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505.23000000000025</v>
      </c>
      <c r="BZ184" s="14">
        <f>BY184*VLOOKUP('Données projet'!$B$12,Paramètres!$A$1:$I$89,3,0)*VLOOKUP('Données projet'!$B$12,Paramètres!$A$1:$I$89,5,0)</f>
        <v>338.90828400000015</v>
      </c>
      <c r="CA184" s="14">
        <f t="shared" si="170"/>
        <v>79.274348782791407</v>
      </c>
      <c r="CB184" s="22">
        <f t="shared" si="171"/>
        <v>728.33475209669507</v>
      </c>
      <c r="CC184" s="62">
        <f t="shared" si="119"/>
        <v>1021.6680854300284</v>
      </c>
      <c r="CD184" s="62">
        <f ca="1">AVERAGE(OFFSET($CC$3,0,0,'Données projet'!$E$12+1,1))-AVERAGE(OFFSET($H$3,0,0,'Données projet'!$E$12+1,1))</f>
        <v>323.41415875740768</v>
      </c>
      <c r="CE184" s="62">
        <f t="shared" si="148"/>
        <v>496.54020068152101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598.14</v>
      </c>
      <c r="CU184" s="18">
        <f>CT184*VLOOKUP('Données projet'!$B$13,Paramètres!$A$1:$I$89,3,0)*VLOOKUP('Données projet'!$B$13,Paramètres!$A$1:$I$89,5,0)</f>
        <v>643.837896</v>
      </c>
      <c r="CV184" s="14">
        <f t="shared" si="173"/>
        <v>139.76132574448636</v>
      </c>
      <c r="CW184" s="22">
        <f t="shared" si="174"/>
        <v>1364.7686445383138</v>
      </c>
      <c r="CX184" s="62">
        <f t="shared" si="122"/>
        <v>1658.101977871647</v>
      </c>
      <c r="CY184" s="62">
        <f ca="1">AVERAGE(OFFSET($CX$3,0,0,'Données projet'!$E$13+1,1))-AVERAGE(OFFSET($H$3,0,0,'Données projet'!$E$13+1,1))</f>
        <v>720.47588458554264</v>
      </c>
      <c r="CZ184" s="62">
        <f t="shared" si="150"/>
        <v>638.59686934821627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1.2388159300291166</v>
      </c>
      <c r="DG184" s="23">
        <f>EXP(-LN(2)/25)*DG183+(1-EXP(-LN(2)/25))/(LN(2)/25)*Calculateur!DB184*Calculateur!DD184*VLOOKUP('Données projet'!$B$13,Paramètres!$A$1:$I$89,3,0)*0.475*44/12</f>
        <v>0.4108574306070531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1.6496733606361698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751.18</v>
      </c>
      <c r="O185" s="14">
        <f>N185*VLOOKUP('Données projet'!$B$9,Paramètres!$A$1:$I$89,3,0)*VLOOKUP('Données projet'!$B$9,Paramètres!$A$1:$I$89,5,0)</f>
        <v>351.55223999999993</v>
      </c>
      <c r="P185" s="14">
        <f t="shared" si="141"/>
        <v>81.882051211276618</v>
      </c>
      <c r="Q185" s="22">
        <f t="shared" si="162"/>
        <v>754.89805719297328</v>
      </c>
      <c r="R185" s="62">
        <f t="shared" si="109"/>
        <v>1048.2313905263065</v>
      </c>
      <c r="S185" s="62">
        <f ca="1">AVERAGE(OFFSET($R$3,0,0,'Données projet'!$E$9+1,1))-AVERAGE(OFFSET($H$3,0,0,'Données projet'!$E$9+1,1))</f>
        <v>309.95417097673084</v>
      </c>
      <c r="T185" s="62">
        <f t="shared" si="142"/>
        <v>170.83243426024433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1.0704884026060149</v>
      </c>
      <c r="AA185" s="23">
        <f>EXP(-LN(2)/25)*AA184+(1-EXP(-LN(2)/25))/(LN(2)/25)*Calculateur!V185*Calculateur!X185*VLOOKUP('Données projet'!$B$9,Paramètres!$A$1:$I$89,3,0)*0.475*44/12</f>
        <v>2.4434825681070484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3.5139709707130633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383.88999999999839</v>
      </c>
      <c r="AJ185" s="14">
        <f>AI185*VLOOKUP('Données projet'!$B$10,Paramètres!$A$1:$I$89,3,0)*VLOOKUP('Données projet'!$B$10,Paramètres!$A$1:$I$89,5,0)</f>
        <v>389.26445999999839</v>
      </c>
      <c r="AK185" s="14">
        <f t="shared" si="164"/>
        <v>89.596765108574331</v>
      </c>
      <c r="AL185" s="22">
        <f t="shared" si="165"/>
        <v>834.01663373076417</v>
      </c>
      <c r="AM185" s="62">
        <f t="shared" si="113"/>
        <v>1127.3499670640974</v>
      </c>
      <c r="AN185" s="62">
        <f ca="1">AVERAGE(OFFSET($AM$3,0,0,'Données projet'!$E$10+1,1))-AVERAGE(OFFSET($H$3,0,0,'Données projet'!$E$10+1,1))</f>
        <v>408.65944152905672</v>
      </c>
      <c r="AO185" s="62">
        <f t="shared" si="144"/>
        <v>248.55239719988651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14.611066686593022</v>
      </c>
      <c r="AV185" s="23">
        <f>EXP(-LN(2)/25)*AV184+(1-EXP(-LN(2)/25))/(LN(2)/25)*Calculateur!AQ185*Calculateur!AS185*VLOOKUP('Données projet'!$B$10,Paramètres!$A$1:$I$89,3,0)*0.475*44/12</f>
        <v>8.4148500297874573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23.025916716380479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598.14</v>
      </c>
      <c r="BE185" s="14">
        <f>BD185*VLOOKUP('Données projet'!$B$11,Paramètres!$A$1:$I$89,3,0)*VLOOKUP('Données projet'!$B$11,Paramètres!$A$1:$I$89,5,0)</f>
        <v>578.52100799999994</v>
      </c>
      <c r="BF185" s="14">
        <f t="shared" si="167"/>
        <v>127.15611541885089</v>
      </c>
      <c r="BG185" s="22">
        <f t="shared" si="168"/>
        <v>1229.0543232878317</v>
      </c>
      <c r="BH185" s="62">
        <f t="shared" si="116"/>
        <v>1522.387656621165</v>
      </c>
      <c r="BI185" s="62">
        <f ca="1">AVERAGE(OFFSET($BH$3,0,0,'Données projet'!$E$11+1,1))-AVERAGE(OFFSET($H$3,0,0,'Données projet'!$E$11+1,1))</f>
        <v>643.38601112255424</v>
      </c>
      <c r="BJ185" s="62">
        <f t="shared" si="146"/>
        <v>572.76381622085694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1.0913109757268098</v>
      </c>
      <c r="BQ185" s="23">
        <f>EXP(-LN(2)/25)*BQ184+(1-EXP(-LN(2)/25))/(LN(2)/25)*Calculateur!BL185*Calculateur!BN185*VLOOKUP('Données projet'!$B$11,Paramètres!$A$1:$I$89,3,0)*0.475*44/12</f>
        <v>0.3590810982432629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1.4503920739700726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505.23000000000025</v>
      </c>
      <c r="BZ185" s="14">
        <f>BY185*VLOOKUP('Données projet'!$B$12,Paramètres!$A$1:$I$89,3,0)*VLOOKUP('Données projet'!$B$12,Paramètres!$A$1:$I$89,5,0)</f>
        <v>338.90828400000015</v>
      </c>
      <c r="CA185" s="14">
        <f t="shared" si="170"/>
        <v>79.274348782791407</v>
      </c>
      <c r="CB185" s="22">
        <f t="shared" si="171"/>
        <v>728.33475209669507</v>
      </c>
      <c r="CC185" s="62">
        <f t="shared" si="119"/>
        <v>1021.6680854300284</v>
      </c>
      <c r="CD185" s="62">
        <f ca="1">AVERAGE(OFFSET($CC$3,0,0,'Données projet'!$E$12+1,1))-AVERAGE(OFFSET($H$3,0,0,'Données projet'!$E$12+1,1))</f>
        <v>323.41415875740768</v>
      </c>
      <c r="CE185" s="62">
        <f t="shared" si="148"/>
        <v>496.54020068152101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598.14</v>
      </c>
      <c r="CU185" s="18">
        <f>CT185*VLOOKUP('Données projet'!$B$13,Paramètres!$A$1:$I$89,3,0)*VLOOKUP('Données projet'!$B$13,Paramètres!$A$1:$I$89,5,0)</f>
        <v>643.837896</v>
      </c>
      <c r="CV185" s="14">
        <f t="shared" si="173"/>
        <v>139.76132574448636</v>
      </c>
      <c r="CW185" s="22">
        <f t="shared" si="174"/>
        <v>1364.7686445383138</v>
      </c>
      <c r="CX185" s="62">
        <f t="shared" si="122"/>
        <v>1658.101977871647</v>
      </c>
      <c r="CY185" s="62">
        <f ca="1">AVERAGE(OFFSET($CX$3,0,0,'Données projet'!$E$13+1,1))-AVERAGE(OFFSET($H$3,0,0,'Données projet'!$E$13+1,1))</f>
        <v>720.47588458554264</v>
      </c>
      <c r="CZ185" s="62">
        <f t="shared" si="150"/>
        <v>638.59686934821627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1.2145235052443533</v>
      </c>
      <c r="DG185" s="23">
        <f>EXP(-LN(2)/25)*DG184+(1-EXP(-LN(2)/25))/(LN(2)/25)*Calculateur!DB185*Calculateur!DD185*VLOOKUP('Données projet'!$B$13,Paramètres!$A$1:$I$89,3,0)*0.475*44/12</f>
        <v>0.39962251256104997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1.6141460178054032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751.18</v>
      </c>
      <c r="O186" s="14">
        <f>N186*VLOOKUP('Données projet'!$B$9,Paramètres!$A$1:$I$89,3,0)*VLOOKUP('Données projet'!$B$9,Paramètres!$A$1:$I$89,5,0)</f>
        <v>351.55223999999993</v>
      </c>
      <c r="P186" s="14">
        <f t="shared" si="141"/>
        <v>81.882051211276618</v>
      </c>
      <c r="Q186" s="22">
        <f t="shared" si="162"/>
        <v>754.89805719297328</v>
      </c>
      <c r="R186" s="62">
        <f t="shared" si="109"/>
        <v>1048.2313905263065</v>
      </c>
      <c r="S186" s="62">
        <f ca="1">AVERAGE(OFFSET($R$3,0,0,'Données projet'!$E$9+1,1))-AVERAGE(OFFSET($H$3,0,0,'Données projet'!$E$9+1,1))</f>
        <v>309.95417097673084</v>
      </c>
      <c r="T186" s="62">
        <f t="shared" si="142"/>
        <v>170.83243426024433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1.0494967779643647</v>
      </c>
      <c r="AA186" s="23">
        <f>EXP(-LN(2)/25)*AA185+(1-EXP(-LN(2)/25))/(LN(2)/25)*Calculateur!V186*Calculateur!X186*VLOOKUP('Données projet'!$B$9,Paramètres!$A$1:$I$89,3,0)*0.475*44/12</f>
        <v>2.3766654087849974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3.4261621867493623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383.88999999999839</v>
      </c>
      <c r="AJ186" s="14">
        <f>AI186*VLOOKUP('Données projet'!$B$10,Paramètres!$A$1:$I$89,3,0)*VLOOKUP('Données projet'!$B$10,Paramètres!$A$1:$I$89,5,0)</f>
        <v>389.26445999999839</v>
      </c>
      <c r="AK186" s="14">
        <f t="shared" si="164"/>
        <v>89.596765108574331</v>
      </c>
      <c r="AL186" s="22">
        <f t="shared" si="165"/>
        <v>834.01663373076417</v>
      </c>
      <c r="AM186" s="62">
        <f t="shared" si="113"/>
        <v>1127.3499670640974</v>
      </c>
      <c r="AN186" s="62">
        <f ca="1">AVERAGE(OFFSET($AM$3,0,0,'Données projet'!$E$10+1,1))-AVERAGE(OFFSET($H$3,0,0,'Données projet'!$E$10+1,1))</f>
        <v>408.65944152905672</v>
      </c>
      <c r="AO186" s="62">
        <f t="shared" si="144"/>
        <v>248.55239719988651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14.324552580739637</v>
      </c>
      <c r="AV186" s="23">
        <f>EXP(-LN(2)/25)*AV185+(1-EXP(-LN(2)/25))/(LN(2)/25)*Calculateur!AQ186*Calculateur!AS186*VLOOKUP('Données projet'!$B$10,Paramètres!$A$1:$I$89,3,0)*0.475*44/12</f>
        <v>8.1847455132051881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22.509298093944825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598.14</v>
      </c>
      <c r="BE186" s="14">
        <f>BD186*VLOOKUP('Données projet'!$B$11,Paramètres!$A$1:$I$89,3,0)*VLOOKUP('Données projet'!$B$11,Paramètres!$A$1:$I$89,5,0)</f>
        <v>578.52100799999994</v>
      </c>
      <c r="BF186" s="14">
        <f t="shared" si="167"/>
        <v>127.15611541885089</v>
      </c>
      <c r="BG186" s="22">
        <f t="shared" si="168"/>
        <v>1229.0543232878317</v>
      </c>
      <c r="BH186" s="62">
        <f t="shared" si="116"/>
        <v>1522.387656621165</v>
      </c>
      <c r="BI186" s="62">
        <f ca="1">AVERAGE(OFFSET($BH$3,0,0,'Données projet'!$E$11+1,1))-AVERAGE(OFFSET($H$3,0,0,'Données projet'!$E$11+1,1))</f>
        <v>643.38601112255424</v>
      </c>
      <c r="BJ186" s="62">
        <f t="shared" si="146"/>
        <v>572.76381622085694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1.0699110331267763</v>
      </c>
      <c r="BQ186" s="23">
        <f>EXP(-LN(2)/25)*BQ185+(1-EXP(-LN(2)/25))/(LN(2)/25)*Calculateur!BL186*Calculateur!BN186*VLOOKUP('Données projet'!$B$11,Paramètres!$A$1:$I$89,3,0)*0.475*44/12</f>
        <v>0.34926200672854663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1.4191730398553228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505.23000000000025</v>
      </c>
      <c r="BZ186" s="14">
        <f>BY186*VLOOKUP('Données projet'!$B$12,Paramètres!$A$1:$I$89,3,0)*VLOOKUP('Données projet'!$B$12,Paramètres!$A$1:$I$89,5,0)</f>
        <v>338.90828400000015</v>
      </c>
      <c r="CA186" s="14">
        <f t="shared" si="170"/>
        <v>79.274348782791407</v>
      </c>
      <c r="CB186" s="22">
        <f t="shared" si="171"/>
        <v>728.33475209669507</v>
      </c>
      <c r="CC186" s="62">
        <f t="shared" si="119"/>
        <v>1021.6680854300284</v>
      </c>
      <c r="CD186" s="62">
        <f ca="1">AVERAGE(OFFSET($CC$3,0,0,'Données projet'!$E$12+1,1))-AVERAGE(OFFSET($H$3,0,0,'Données projet'!$E$12+1,1))</f>
        <v>323.41415875740768</v>
      </c>
      <c r="CE186" s="62">
        <f t="shared" si="148"/>
        <v>496.54020068152101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598.14</v>
      </c>
      <c r="CU186" s="18">
        <f>CT186*VLOOKUP('Données projet'!$B$13,Paramètres!$A$1:$I$89,3,0)*VLOOKUP('Données projet'!$B$13,Paramètres!$A$1:$I$89,5,0)</f>
        <v>643.837896</v>
      </c>
      <c r="CV186" s="14">
        <f t="shared" si="173"/>
        <v>139.76132574448636</v>
      </c>
      <c r="CW186" s="22">
        <f t="shared" si="174"/>
        <v>1364.7686445383138</v>
      </c>
      <c r="CX186" s="62">
        <f t="shared" si="122"/>
        <v>1658.101977871647</v>
      </c>
      <c r="CY186" s="62">
        <f ca="1">AVERAGE(OFFSET($CX$3,0,0,'Données projet'!$E$13+1,1))-AVERAGE(OFFSET($H$3,0,0,'Données projet'!$E$13+1,1))</f>
        <v>720.47588458554264</v>
      </c>
      <c r="CZ186" s="62">
        <f t="shared" si="150"/>
        <v>638.59686934821627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1.1907074400927031</v>
      </c>
      <c r="DG186" s="23">
        <f>EXP(-LN(2)/25)*DG185+(1-EXP(-LN(2)/25))/(LN(2)/25)*Calculateur!DB186*Calculateur!DD186*VLOOKUP('Données projet'!$B$13,Paramètres!$A$1:$I$89,3,0)*0.475*44/12</f>
        <v>0.38869481393983346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1.5794022540325365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751.18</v>
      </c>
      <c r="O187" s="14">
        <f>N187*VLOOKUP('Données projet'!$B$9,Paramètres!$A$1:$I$89,3,0)*VLOOKUP('Données projet'!$B$9,Paramètres!$A$1:$I$89,5,0)</f>
        <v>351.55223999999993</v>
      </c>
      <c r="P187" s="14">
        <f t="shared" si="141"/>
        <v>81.882051211276618</v>
      </c>
      <c r="Q187" s="22">
        <f t="shared" si="162"/>
        <v>754.89805719297328</v>
      </c>
      <c r="R187" s="62">
        <f t="shared" si="109"/>
        <v>1048.2313905263065</v>
      </c>
      <c r="S187" s="62">
        <f ca="1">AVERAGE(OFFSET($R$3,0,0,'Données projet'!$E$9+1,1))-AVERAGE(OFFSET($H$3,0,0,'Données projet'!$E$9+1,1))</f>
        <v>309.95417097673084</v>
      </c>
      <c r="T187" s="62">
        <f t="shared" si="142"/>
        <v>170.83243426024433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1.0289167862783104</v>
      </c>
      <c r="AA187" s="23">
        <f>EXP(-LN(2)/25)*AA186+(1-EXP(-LN(2)/25))/(LN(2)/25)*Calculateur!V187*Calculateur!X187*VLOOKUP('Données projet'!$B$9,Paramètres!$A$1:$I$89,3,0)*0.475*44/12</f>
        <v>2.3116753681983697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3.3405921544766803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383.88999999999839</v>
      </c>
      <c r="AJ187" s="14">
        <f>AI187*VLOOKUP('Données projet'!$B$10,Paramètres!$A$1:$I$89,3,0)*VLOOKUP('Données projet'!$B$10,Paramètres!$A$1:$I$89,5,0)</f>
        <v>389.26445999999839</v>
      </c>
      <c r="AK187" s="14">
        <f t="shared" si="164"/>
        <v>89.596765108574331</v>
      </c>
      <c r="AL187" s="22">
        <f t="shared" si="165"/>
        <v>834.01663373076417</v>
      </c>
      <c r="AM187" s="62">
        <f t="shared" si="113"/>
        <v>1127.3499670640974</v>
      </c>
      <c r="AN187" s="62">
        <f ca="1">AVERAGE(OFFSET($AM$3,0,0,'Données projet'!$E$10+1,1))-AVERAGE(OFFSET($H$3,0,0,'Données projet'!$E$10+1,1))</f>
        <v>408.65944152905672</v>
      </c>
      <c r="AO187" s="62">
        <f t="shared" si="144"/>
        <v>248.55239719988651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14.043656841745689</v>
      </c>
      <c r="AV187" s="23">
        <f>EXP(-LN(2)/25)*AV186+(1-EXP(-LN(2)/25))/(LN(2)/25)*Calculateur!AQ187*Calculateur!AS187*VLOOKUP('Données projet'!$B$10,Paramètres!$A$1:$I$89,3,0)*0.475*44/12</f>
        <v>7.9609332167295319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22.00459005847522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598.14</v>
      </c>
      <c r="BE187" s="14">
        <f>BD187*VLOOKUP('Données projet'!$B$11,Paramètres!$A$1:$I$89,3,0)*VLOOKUP('Données projet'!$B$11,Paramètres!$A$1:$I$89,5,0)</f>
        <v>578.52100799999994</v>
      </c>
      <c r="BF187" s="14">
        <f t="shared" si="167"/>
        <v>127.15611541885089</v>
      </c>
      <c r="BG187" s="22">
        <f t="shared" si="168"/>
        <v>1229.0543232878317</v>
      </c>
      <c r="BH187" s="62">
        <f t="shared" si="116"/>
        <v>1522.387656621165</v>
      </c>
      <c r="BI187" s="62">
        <f ca="1">AVERAGE(OFFSET($BH$3,0,0,'Données projet'!$E$11+1,1))-AVERAGE(OFFSET($H$3,0,0,'Données projet'!$E$11+1,1))</f>
        <v>643.38601112255424</v>
      </c>
      <c r="BJ187" s="62">
        <f t="shared" si="146"/>
        <v>572.76381622085694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1.0489307303484534</v>
      </c>
      <c r="BQ187" s="23">
        <f>EXP(-LN(2)/25)*BQ186+(1-EXP(-LN(2)/25))/(LN(2)/25)*Calculateur!BL187*Calculateur!BN187*VLOOKUP('Données projet'!$B$11,Paramètres!$A$1:$I$89,3,0)*0.475*44/12</f>
        <v>0.33971141878766381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1.3886421491361172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505.23000000000025</v>
      </c>
      <c r="BZ187" s="14">
        <f>BY187*VLOOKUP('Données projet'!$B$12,Paramètres!$A$1:$I$89,3,0)*VLOOKUP('Données projet'!$B$12,Paramètres!$A$1:$I$89,5,0)</f>
        <v>338.90828400000015</v>
      </c>
      <c r="CA187" s="14">
        <f t="shared" si="170"/>
        <v>79.274348782791407</v>
      </c>
      <c r="CB187" s="22">
        <f t="shared" si="171"/>
        <v>728.33475209669507</v>
      </c>
      <c r="CC187" s="62">
        <f t="shared" si="119"/>
        <v>1021.6680854300284</v>
      </c>
      <c r="CD187" s="62">
        <f ca="1">AVERAGE(OFFSET($CC$3,0,0,'Données projet'!$E$12+1,1))-AVERAGE(OFFSET($H$3,0,0,'Données projet'!$E$12+1,1))</f>
        <v>323.41415875740768</v>
      </c>
      <c r="CE187" s="62">
        <f t="shared" si="148"/>
        <v>496.54020068152101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598.14</v>
      </c>
      <c r="CU187" s="18">
        <f>CT187*VLOOKUP('Données projet'!$B$13,Paramètres!$A$1:$I$89,3,0)*VLOOKUP('Données projet'!$B$13,Paramètres!$A$1:$I$89,5,0)</f>
        <v>643.837896</v>
      </c>
      <c r="CV187" s="14">
        <f t="shared" si="173"/>
        <v>139.76132574448636</v>
      </c>
      <c r="CW187" s="22">
        <f t="shared" si="174"/>
        <v>1364.7686445383138</v>
      </c>
      <c r="CX187" s="62">
        <f t="shared" si="122"/>
        <v>1658.101977871647</v>
      </c>
      <c r="CY187" s="62">
        <f ca="1">AVERAGE(OFFSET($CX$3,0,0,'Données projet'!$E$13+1,1))-AVERAGE(OFFSET($H$3,0,0,'Données projet'!$E$13+1,1))</f>
        <v>720.47588458554264</v>
      </c>
      <c r="CZ187" s="62">
        <f t="shared" si="150"/>
        <v>638.59686934821627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1.1673583934523115</v>
      </c>
      <c r="DG187" s="23">
        <f>EXP(-LN(2)/25)*DG186+(1-EXP(-LN(2)/25))/(LN(2)/25)*Calculateur!DB187*Calculateur!DD187*VLOOKUP('Données projet'!$B$13,Paramètres!$A$1:$I$89,3,0)*0.475*44/12</f>
        <v>0.37806593381207682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1.5454243272643884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751.18</v>
      </c>
      <c r="O188" s="14">
        <f>N188*VLOOKUP('Données projet'!$B$9,Paramètres!$A$1:$I$89,3,0)*VLOOKUP('Données projet'!$B$9,Paramètres!$A$1:$I$89,5,0)</f>
        <v>351.55223999999993</v>
      </c>
      <c r="P188" s="14">
        <f t="shared" si="141"/>
        <v>81.882051211276618</v>
      </c>
      <c r="Q188" s="22">
        <f t="shared" si="162"/>
        <v>754.89805719297328</v>
      </c>
      <c r="R188" s="62">
        <f t="shared" si="109"/>
        <v>1048.2313905263065</v>
      </c>
      <c r="S188" s="62">
        <f ca="1">AVERAGE(OFFSET($R$3,0,0,'Données projet'!$E$9+1,1))-AVERAGE(OFFSET($H$3,0,0,'Données projet'!$E$9+1,1))</f>
        <v>309.95417097673084</v>
      </c>
      <c r="T188" s="62">
        <f t="shared" si="142"/>
        <v>170.83243426024433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1.0087403556766643</v>
      </c>
      <c r="AA188" s="23">
        <f>EXP(-LN(2)/25)*AA187+(1-EXP(-LN(2)/25))/(LN(2)/25)*Calculateur!V188*Calculateur!X188*VLOOKUP('Données projet'!$B$9,Paramètres!$A$1:$I$89,3,0)*0.475*44/12</f>
        <v>2.248462483689261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3.2572028393659256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383.88999999999839</v>
      </c>
      <c r="AJ188" s="14">
        <f>AI188*VLOOKUP('Données projet'!$B$10,Paramètres!$A$1:$I$89,3,0)*VLOOKUP('Données projet'!$B$10,Paramètres!$A$1:$I$89,5,0)</f>
        <v>389.26445999999839</v>
      </c>
      <c r="AK188" s="14">
        <f t="shared" si="164"/>
        <v>89.596765108574331</v>
      </c>
      <c r="AL188" s="22">
        <f t="shared" si="165"/>
        <v>834.01663373076417</v>
      </c>
      <c r="AM188" s="62">
        <f t="shared" si="113"/>
        <v>1127.3499670640974</v>
      </c>
      <c r="AN188" s="62">
        <f ca="1">AVERAGE(OFFSET($AM$3,0,0,'Données projet'!$E$10+1,1))-AVERAGE(OFFSET($H$3,0,0,'Données projet'!$E$10+1,1))</f>
        <v>408.65944152905672</v>
      </c>
      <c r="AO188" s="62">
        <f t="shared" si="144"/>
        <v>248.55239719988651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13.768269296863927</v>
      </c>
      <c r="AV188" s="23">
        <f>EXP(-LN(2)/25)*AV187+(1-EXP(-LN(2)/25))/(LN(2)/25)*Calculateur!AQ188*Calculateur!AS188*VLOOKUP('Données projet'!$B$10,Paramètres!$A$1:$I$89,3,0)*0.475*44/12</f>
        <v>7.7432410792707795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21.511510376134709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598.14</v>
      </c>
      <c r="BE188" s="14">
        <f>BD188*VLOOKUP('Données projet'!$B$11,Paramètres!$A$1:$I$89,3,0)*VLOOKUP('Données projet'!$B$11,Paramètres!$A$1:$I$89,5,0)</f>
        <v>578.52100799999994</v>
      </c>
      <c r="BF188" s="14">
        <f t="shared" si="167"/>
        <v>127.15611541885089</v>
      </c>
      <c r="BG188" s="22">
        <f t="shared" si="168"/>
        <v>1229.0543232878317</v>
      </c>
      <c r="BH188" s="62">
        <f t="shared" si="116"/>
        <v>1522.387656621165</v>
      </c>
      <c r="BI188" s="62">
        <f ca="1">AVERAGE(OFFSET($BH$3,0,0,'Données projet'!$E$11+1,1))-AVERAGE(OFFSET($H$3,0,0,'Données projet'!$E$11+1,1))</f>
        <v>643.38601112255424</v>
      </c>
      <c r="BJ188" s="62">
        <f t="shared" si="146"/>
        <v>572.76381622085694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1.0283618385108924</v>
      </c>
      <c r="BQ188" s="23">
        <f>EXP(-LN(2)/25)*BQ187+(1-EXP(-LN(2)/25))/(LN(2)/25)*Calculateur!BL188*Calculateur!BN188*VLOOKUP('Données projet'!$B$11,Paramètres!$A$1:$I$89,3,0)*0.475*44/12</f>
        <v>0.33042199217626805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1.3587838306871605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505.23000000000025</v>
      </c>
      <c r="BZ188" s="14">
        <f>BY188*VLOOKUP('Données projet'!$B$12,Paramètres!$A$1:$I$89,3,0)*VLOOKUP('Données projet'!$B$12,Paramètres!$A$1:$I$89,5,0)</f>
        <v>338.90828400000015</v>
      </c>
      <c r="CA188" s="14">
        <f t="shared" si="170"/>
        <v>79.274348782791407</v>
      </c>
      <c r="CB188" s="22">
        <f t="shared" si="171"/>
        <v>728.33475209669507</v>
      </c>
      <c r="CC188" s="62">
        <f t="shared" si="119"/>
        <v>1021.6680854300284</v>
      </c>
      <c r="CD188" s="62">
        <f ca="1">AVERAGE(OFFSET($CC$3,0,0,'Données projet'!$E$12+1,1))-AVERAGE(OFFSET($H$3,0,0,'Données projet'!$E$12+1,1))</f>
        <v>323.41415875740768</v>
      </c>
      <c r="CE188" s="62">
        <f t="shared" si="148"/>
        <v>496.54020068152101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598.14</v>
      </c>
      <c r="CU188" s="18">
        <f>CT188*VLOOKUP('Données projet'!$B$13,Paramètres!$A$1:$I$89,3,0)*VLOOKUP('Données projet'!$B$13,Paramètres!$A$1:$I$89,5,0)</f>
        <v>643.837896</v>
      </c>
      <c r="CV188" s="14">
        <f t="shared" si="173"/>
        <v>139.76132574448636</v>
      </c>
      <c r="CW188" s="22">
        <f t="shared" si="174"/>
        <v>1364.7686445383138</v>
      </c>
      <c r="CX188" s="62">
        <f t="shared" si="122"/>
        <v>1658.101977871647</v>
      </c>
      <c r="CY188" s="62">
        <f ca="1">AVERAGE(OFFSET($CX$3,0,0,'Données projet'!$E$13+1,1))-AVERAGE(OFFSET($H$3,0,0,'Données projet'!$E$13+1,1))</f>
        <v>720.47588458554264</v>
      </c>
      <c r="CZ188" s="62">
        <f t="shared" si="150"/>
        <v>638.59686934821627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1.1444672073750257</v>
      </c>
      <c r="DG188" s="23">
        <f>EXP(-LN(2)/25)*DG187+(1-EXP(-LN(2)/25))/(LN(2)/25)*Calculateur!DB188*Calculateur!DD188*VLOOKUP('Données projet'!$B$13,Paramètres!$A$1:$I$89,3,0)*0.475*44/12</f>
        <v>0.36772770097036217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1.5121949083453878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751.18</v>
      </c>
      <c r="O189" s="14">
        <f>N189*VLOOKUP('Données projet'!$B$9,Paramètres!$A$1:$I$89,3,0)*VLOOKUP('Données projet'!$B$9,Paramètres!$A$1:$I$89,5,0)</f>
        <v>351.55223999999993</v>
      </c>
      <c r="P189" s="14">
        <f t="shared" si="141"/>
        <v>81.882051211276618</v>
      </c>
      <c r="Q189" s="22">
        <f t="shared" si="162"/>
        <v>754.89805719297328</v>
      </c>
      <c r="R189" s="62">
        <f t="shared" si="109"/>
        <v>1048.2313905263065</v>
      </c>
      <c r="S189" s="62">
        <f ca="1">AVERAGE(OFFSET($R$3,0,0,'Données projet'!$E$9+1,1))-AVERAGE(OFFSET($H$3,0,0,'Données projet'!$E$9+1,1))</f>
        <v>309.95417097673084</v>
      </c>
      <c r="T189" s="62">
        <f t="shared" si="142"/>
        <v>170.83243426024433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0.98895957257270894</v>
      </c>
      <c r="AA189" s="23">
        <f>EXP(-LN(2)/25)*AA188+(1-EXP(-LN(2)/25))/(LN(2)/25)*Calculateur!V189*Calculateur!X189*VLOOKUP('Données projet'!$B$9,Paramètres!$A$1:$I$89,3,0)*0.475*44/12</f>
        <v>2.1869781588312751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3.1759377314039838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383.88999999999839</v>
      </c>
      <c r="AJ189" s="14">
        <f>AI189*VLOOKUP('Données projet'!$B$10,Paramètres!$A$1:$I$89,3,0)*VLOOKUP('Données projet'!$B$10,Paramètres!$A$1:$I$89,5,0)</f>
        <v>389.26445999999839</v>
      </c>
      <c r="AK189" s="14">
        <f t="shared" si="164"/>
        <v>89.596765108574331</v>
      </c>
      <c r="AL189" s="22">
        <f t="shared" si="165"/>
        <v>834.01663373076417</v>
      </c>
      <c r="AM189" s="62">
        <f t="shared" si="113"/>
        <v>1127.3499670640974</v>
      </c>
      <c r="AN189" s="62">
        <f ca="1">AVERAGE(OFFSET($AM$3,0,0,'Données projet'!$E$10+1,1))-AVERAGE(OFFSET($H$3,0,0,'Données projet'!$E$10+1,1))</f>
        <v>408.65944152905672</v>
      </c>
      <c r="AO189" s="62">
        <f t="shared" si="144"/>
        <v>248.55239719988651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13.498281933767482</v>
      </c>
      <c r="AV189" s="23">
        <f>EXP(-LN(2)/25)*AV188+(1-EXP(-LN(2)/25))/(LN(2)/25)*Calculateur!AQ189*Calculateur!AS189*VLOOKUP('Données projet'!$B$10,Paramètres!$A$1:$I$89,3,0)*0.475*44/12</f>
        <v>7.5315017447587689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21.02978367852625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598.14</v>
      </c>
      <c r="BE189" s="14">
        <f>BD189*VLOOKUP('Données projet'!$B$11,Paramètres!$A$1:$I$89,3,0)*VLOOKUP('Données projet'!$B$11,Paramètres!$A$1:$I$89,5,0)</f>
        <v>578.52100799999994</v>
      </c>
      <c r="BF189" s="14">
        <f t="shared" si="167"/>
        <v>127.15611541885089</v>
      </c>
      <c r="BG189" s="22">
        <f t="shared" si="168"/>
        <v>1229.0543232878317</v>
      </c>
      <c r="BH189" s="62">
        <f t="shared" si="116"/>
        <v>1522.387656621165</v>
      </c>
      <c r="BI189" s="62">
        <f ca="1">AVERAGE(OFFSET($BH$3,0,0,'Données projet'!$E$11+1,1))-AVERAGE(OFFSET($H$3,0,0,'Données projet'!$E$11+1,1))</f>
        <v>643.38601112255424</v>
      </c>
      <c r="BJ189" s="62">
        <f t="shared" si="146"/>
        <v>572.76381622085694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1.0081962900964805</v>
      </c>
      <c r="BQ189" s="23">
        <f>EXP(-LN(2)/25)*BQ188+(1-EXP(-LN(2)/25))/(LN(2)/25)*Calculateur!BL189*Calculateur!BN189*VLOOKUP('Données projet'!$B$11,Paramètres!$A$1:$I$89,3,0)*0.475*44/12</f>
        <v>0.32138658542407061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1.329582875520551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505.23000000000025</v>
      </c>
      <c r="BZ189" s="14">
        <f>BY189*VLOOKUP('Données projet'!$B$12,Paramètres!$A$1:$I$89,3,0)*VLOOKUP('Données projet'!$B$12,Paramètres!$A$1:$I$89,5,0)</f>
        <v>338.90828400000015</v>
      </c>
      <c r="CA189" s="14">
        <f t="shared" si="170"/>
        <v>79.274348782791407</v>
      </c>
      <c r="CB189" s="22">
        <f t="shared" si="171"/>
        <v>728.33475209669507</v>
      </c>
      <c r="CC189" s="62">
        <f t="shared" si="119"/>
        <v>1021.6680854300284</v>
      </c>
      <c r="CD189" s="62">
        <f ca="1">AVERAGE(OFFSET($CC$3,0,0,'Données projet'!$E$12+1,1))-AVERAGE(OFFSET($H$3,0,0,'Données projet'!$E$12+1,1))</f>
        <v>323.41415875740768</v>
      </c>
      <c r="CE189" s="62">
        <f t="shared" si="148"/>
        <v>496.54020068152101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598.14</v>
      </c>
      <c r="CU189" s="18">
        <f>CT189*VLOOKUP('Données projet'!$B$13,Paramètres!$A$1:$I$89,3,0)*VLOOKUP('Données projet'!$B$13,Paramètres!$A$1:$I$89,5,0)</f>
        <v>643.837896</v>
      </c>
      <c r="CV189" s="14">
        <f t="shared" si="173"/>
        <v>139.76132574448636</v>
      </c>
      <c r="CW189" s="22">
        <f t="shared" si="174"/>
        <v>1364.7686445383138</v>
      </c>
      <c r="CX189" s="62">
        <f t="shared" si="122"/>
        <v>1658.101977871647</v>
      </c>
      <c r="CY189" s="62">
        <f ca="1">AVERAGE(OFFSET($CX$3,0,0,'Données projet'!$E$13+1,1))-AVERAGE(OFFSET($H$3,0,0,'Données projet'!$E$13+1,1))</f>
        <v>720.47588458554264</v>
      </c>
      <c r="CZ189" s="62">
        <f t="shared" si="150"/>
        <v>638.59686934821627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1.1220249034944707</v>
      </c>
      <c r="DG189" s="23">
        <f>EXP(-LN(2)/25)*DG188+(1-EXP(-LN(2)/25))/(LN(2)/25)*Calculateur!DB189*Calculateur!DD189*VLOOKUP('Données projet'!$B$13,Paramètres!$A$1:$I$89,3,0)*0.475*44/12</f>
        <v>0.35767216764936827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1.4796970711438391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751.18</v>
      </c>
      <c r="O190" s="14">
        <f>N190*VLOOKUP('Données projet'!$B$9,Paramètres!$A$1:$I$89,3,0)*VLOOKUP('Données projet'!$B$9,Paramètres!$A$1:$I$89,5,0)</f>
        <v>351.55223999999993</v>
      </c>
      <c r="P190" s="14">
        <f t="shared" si="141"/>
        <v>81.882051211276618</v>
      </c>
      <c r="Q190" s="22">
        <f t="shared" si="162"/>
        <v>754.89805719297328</v>
      </c>
      <c r="R190" s="62">
        <f t="shared" si="109"/>
        <v>1048.2313905263065</v>
      </c>
      <c r="S190" s="62">
        <f ca="1">AVERAGE(OFFSET($R$3,0,0,'Données projet'!$E$9+1,1))-AVERAGE(OFFSET($H$3,0,0,'Données projet'!$E$9+1,1))</f>
        <v>309.95417097673084</v>
      </c>
      <c r="T190" s="62">
        <f t="shared" si="142"/>
        <v>170.83243426024433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0.96956667856033574</v>
      </c>
      <c r="AA190" s="23">
        <f>EXP(-LN(2)/25)*AA189+(1-EXP(-LN(2)/25))/(LN(2)/25)*Calculateur!V190*Calculateur!X190*VLOOKUP('Données projet'!$B$9,Paramètres!$A$1:$I$89,3,0)*0.475*44/12</f>
        <v>2.1271751260698508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3.0967418046301867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383.88999999999839</v>
      </c>
      <c r="AJ190" s="14">
        <f>AI190*VLOOKUP('Données projet'!$B$10,Paramètres!$A$1:$I$89,3,0)*VLOOKUP('Données projet'!$B$10,Paramètres!$A$1:$I$89,5,0)</f>
        <v>389.26445999999839</v>
      </c>
      <c r="AK190" s="14">
        <f t="shared" si="164"/>
        <v>89.596765108574331</v>
      </c>
      <c r="AL190" s="22">
        <f t="shared" si="165"/>
        <v>834.01663373076417</v>
      </c>
      <c r="AM190" s="62">
        <f t="shared" si="113"/>
        <v>1127.3499670640974</v>
      </c>
      <c r="AN190" s="62">
        <f ca="1">AVERAGE(OFFSET($AM$3,0,0,'Données projet'!$E$10+1,1))-AVERAGE(OFFSET($H$3,0,0,'Données projet'!$E$10+1,1))</f>
        <v>408.65944152905672</v>
      </c>
      <c r="AO190" s="62">
        <f t="shared" si="144"/>
        <v>248.55239719988651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13.233588858185326</v>
      </c>
      <c r="AV190" s="23">
        <f>EXP(-LN(2)/25)*AV189+(1-EXP(-LN(2)/25))/(LN(2)/25)*Calculateur!AQ190*Calculateur!AS190*VLOOKUP('Données projet'!$B$10,Paramètres!$A$1:$I$89,3,0)*0.475*44/12</f>
        <v>7.3255524334838773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20.559141291669203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598.14</v>
      </c>
      <c r="BE190" s="14">
        <f>BD190*VLOOKUP('Données projet'!$B$11,Paramètres!$A$1:$I$89,3,0)*VLOOKUP('Données projet'!$B$11,Paramètres!$A$1:$I$89,5,0)</f>
        <v>578.52100799999994</v>
      </c>
      <c r="BF190" s="14">
        <f t="shared" si="167"/>
        <v>127.15611541885089</v>
      </c>
      <c r="BG190" s="22">
        <f t="shared" si="168"/>
        <v>1229.0543232878317</v>
      </c>
      <c r="BH190" s="62">
        <f t="shared" si="116"/>
        <v>1522.387656621165</v>
      </c>
      <c r="BI190" s="62">
        <f ca="1">AVERAGE(OFFSET($BH$3,0,0,'Données projet'!$E$11+1,1))-AVERAGE(OFFSET($H$3,0,0,'Données projet'!$E$11+1,1))</f>
        <v>643.38601112255424</v>
      </c>
      <c r="BJ190" s="62">
        <f t="shared" si="146"/>
        <v>572.76381622085694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0.98842617578670533</v>
      </c>
      <c r="BQ190" s="23">
        <f>EXP(-LN(2)/25)*BQ189+(1-EXP(-LN(2)/25))/(LN(2)/25)*Calculateur!BL190*Calculateur!BN190*VLOOKUP('Données projet'!$B$11,Paramètres!$A$1:$I$89,3,0)*0.475*44/12</f>
        <v>0.31259825234466343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1.3010244281313688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505.23000000000025</v>
      </c>
      <c r="BZ190" s="14">
        <f>BY190*VLOOKUP('Données projet'!$B$12,Paramètres!$A$1:$I$89,3,0)*VLOOKUP('Données projet'!$B$12,Paramètres!$A$1:$I$89,5,0)</f>
        <v>338.90828400000015</v>
      </c>
      <c r="CA190" s="14">
        <f t="shared" si="170"/>
        <v>79.274348782791407</v>
      </c>
      <c r="CB190" s="22">
        <f t="shared" si="171"/>
        <v>728.33475209669507</v>
      </c>
      <c r="CC190" s="62">
        <f t="shared" si="119"/>
        <v>1021.6680854300284</v>
      </c>
      <c r="CD190" s="62">
        <f ca="1">AVERAGE(OFFSET($CC$3,0,0,'Données projet'!$E$12+1,1))-AVERAGE(OFFSET($H$3,0,0,'Données projet'!$E$12+1,1))</f>
        <v>323.41415875740768</v>
      </c>
      <c r="CE190" s="62">
        <f t="shared" si="148"/>
        <v>496.54020068152101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598.14</v>
      </c>
      <c r="CU190" s="18">
        <f>CT190*VLOOKUP('Données projet'!$B$13,Paramètres!$A$1:$I$89,3,0)*VLOOKUP('Données projet'!$B$13,Paramètres!$A$1:$I$89,5,0)</f>
        <v>643.837896</v>
      </c>
      <c r="CV190" s="14">
        <f t="shared" si="173"/>
        <v>139.76132574448636</v>
      </c>
      <c r="CW190" s="22">
        <f t="shared" si="174"/>
        <v>1364.7686445383138</v>
      </c>
      <c r="CX190" s="62">
        <f t="shared" si="122"/>
        <v>1658.101977871647</v>
      </c>
      <c r="CY190" s="62">
        <f ca="1">AVERAGE(OFFSET($CX$3,0,0,'Données projet'!$E$13+1,1))-AVERAGE(OFFSET($H$3,0,0,'Données projet'!$E$13+1,1))</f>
        <v>720.47588458554264</v>
      </c>
      <c r="CZ190" s="62">
        <f t="shared" si="150"/>
        <v>638.59686934821627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1.1000226795045596</v>
      </c>
      <c r="DG190" s="23">
        <f>EXP(-LN(2)/25)*DG189+(1-EXP(-LN(2)/25))/(LN(2)/25)*Calculateur!DB190*Calculateur!DD190*VLOOKUP('Données projet'!$B$13,Paramètres!$A$1:$I$89,3,0)*0.475*44/12</f>
        <v>0.34789160341583447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1.4479142829203941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751.18</v>
      </c>
      <c r="O191" s="14">
        <f>N191*VLOOKUP('Données projet'!$B$9,Paramètres!$A$1:$I$89,3,0)*VLOOKUP('Données projet'!$B$9,Paramètres!$A$1:$I$89,5,0)</f>
        <v>351.55223999999993</v>
      </c>
      <c r="P191" s="14">
        <f t="shared" si="141"/>
        <v>81.882051211276618</v>
      </c>
      <c r="Q191" s="22">
        <f t="shared" si="162"/>
        <v>754.89805719297328</v>
      </c>
      <c r="R191" s="62">
        <f t="shared" si="109"/>
        <v>1048.2313905263065</v>
      </c>
      <c r="S191" s="62">
        <f ca="1">AVERAGE(OFFSET($R$3,0,0,'Données projet'!$E$9+1,1))-AVERAGE(OFFSET($H$3,0,0,'Données projet'!$E$9+1,1))</f>
        <v>309.95417097673084</v>
      </c>
      <c r="T191" s="62">
        <f t="shared" si="142"/>
        <v>170.83243426024433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0.95055406737104786</v>
      </c>
      <c r="AA191" s="23">
        <f>EXP(-LN(2)/25)*AA190+(1-EXP(-LN(2)/25))/(LN(2)/25)*Calculateur!V191*Calculateur!X191*VLOOKUP('Données projet'!$B$9,Paramètres!$A$1:$I$89,3,0)*0.475*44/12</f>
        <v>2.0690074103841924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3.0195614777552402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383.88999999999839</v>
      </c>
      <c r="AJ191" s="14">
        <f>AI191*VLOOKUP('Données projet'!$B$10,Paramètres!$A$1:$I$89,3,0)*VLOOKUP('Données projet'!$B$10,Paramètres!$A$1:$I$89,5,0)</f>
        <v>389.26445999999839</v>
      </c>
      <c r="AK191" s="14">
        <f t="shared" si="164"/>
        <v>89.596765108574331</v>
      </c>
      <c r="AL191" s="22">
        <f t="shared" si="165"/>
        <v>834.01663373076417</v>
      </c>
      <c r="AM191" s="62">
        <f t="shared" si="113"/>
        <v>1127.3499670640974</v>
      </c>
      <c r="AN191" s="62">
        <f ca="1">AVERAGE(OFFSET($AM$3,0,0,'Données projet'!$E$10+1,1))-AVERAGE(OFFSET($H$3,0,0,'Données projet'!$E$10+1,1))</f>
        <v>408.65944152905672</v>
      </c>
      <c r="AO191" s="62">
        <f t="shared" si="144"/>
        <v>248.55239719988651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12.974086252368503</v>
      </c>
      <c r="AV191" s="23">
        <f>EXP(-LN(2)/25)*AV190+(1-EXP(-LN(2)/25))/(LN(2)/25)*Calculateur!AQ191*Calculateur!AS191*VLOOKUP('Données projet'!$B$10,Paramètres!$A$1:$I$89,3,0)*0.475*44/12</f>
        <v>7.1252348169562012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20.099321069324702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598.14</v>
      </c>
      <c r="BE191" s="14">
        <f>BD191*VLOOKUP('Données projet'!$B$11,Paramètres!$A$1:$I$89,3,0)*VLOOKUP('Données projet'!$B$11,Paramètres!$A$1:$I$89,5,0)</f>
        <v>578.52100799999994</v>
      </c>
      <c r="BF191" s="14">
        <f t="shared" si="167"/>
        <v>127.15611541885089</v>
      </c>
      <c r="BG191" s="22">
        <f t="shared" si="168"/>
        <v>1229.0543232878317</v>
      </c>
      <c r="BH191" s="62">
        <f t="shared" si="116"/>
        <v>1522.387656621165</v>
      </c>
      <c r="BI191" s="62">
        <f ca="1">AVERAGE(OFFSET($BH$3,0,0,'Données projet'!$E$11+1,1))-AVERAGE(OFFSET($H$3,0,0,'Données projet'!$E$11+1,1))</f>
        <v>643.38601112255424</v>
      </c>
      <c r="BJ191" s="62">
        <f t="shared" si="146"/>
        <v>572.76381622085694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0.96904374135996574</v>
      </c>
      <c r="BQ191" s="23">
        <f>EXP(-LN(2)/25)*BQ190+(1-EXP(-LN(2)/25))/(LN(2)/25)*Calculateur!BL191*Calculateur!BN191*VLOOKUP('Données projet'!$B$11,Paramètres!$A$1:$I$89,3,0)*0.475*44/12</f>
        <v>0.30405023669547099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1.2730939780554367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505.23000000000025</v>
      </c>
      <c r="BZ191" s="14">
        <f>BY191*VLOOKUP('Données projet'!$B$12,Paramètres!$A$1:$I$89,3,0)*VLOOKUP('Données projet'!$B$12,Paramètres!$A$1:$I$89,5,0)</f>
        <v>338.90828400000015</v>
      </c>
      <c r="CA191" s="14">
        <f t="shared" si="170"/>
        <v>79.274348782791407</v>
      </c>
      <c r="CB191" s="22">
        <f t="shared" si="171"/>
        <v>728.33475209669507</v>
      </c>
      <c r="CC191" s="62">
        <f t="shared" si="119"/>
        <v>1021.6680854300284</v>
      </c>
      <c r="CD191" s="62">
        <f ca="1">AVERAGE(OFFSET($CC$3,0,0,'Données projet'!$E$12+1,1))-AVERAGE(OFFSET($H$3,0,0,'Données projet'!$E$12+1,1))</f>
        <v>323.41415875740768</v>
      </c>
      <c r="CE191" s="62">
        <f t="shared" si="148"/>
        <v>496.54020068152101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598.14</v>
      </c>
      <c r="CU191" s="18">
        <f>CT191*VLOOKUP('Données projet'!$B$13,Paramètres!$A$1:$I$89,3,0)*VLOOKUP('Données projet'!$B$13,Paramètres!$A$1:$I$89,5,0)</f>
        <v>643.837896</v>
      </c>
      <c r="CV191" s="14">
        <f t="shared" si="173"/>
        <v>139.76132574448636</v>
      </c>
      <c r="CW191" s="22">
        <f t="shared" si="174"/>
        <v>1364.7686445383138</v>
      </c>
      <c r="CX191" s="62">
        <f t="shared" si="122"/>
        <v>1658.101977871647</v>
      </c>
      <c r="CY191" s="62">
        <f ca="1">AVERAGE(OFFSET($CX$3,0,0,'Données projet'!$E$13+1,1))-AVERAGE(OFFSET($H$3,0,0,'Données projet'!$E$13+1,1))</f>
        <v>720.47588458554264</v>
      </c>
      <c r="CZ191" s="62">
        <f t="shared" si="150"/>
        <v>638.59686934821627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1.0784519057070592</v>
      </c>
      <c r="DG191" s="23">
        <f>EXP(-LN(2)/25)*DG190+(1-EXP(-LN(2)/25))/(LN(2)/25)*Calculateur!DB191*Calculateur!DD191*VLOOKUP('Données projet'!$B$13,Paramètres!$A$1:$I$89,3,0)*0.475*44/12</f>
        <v>0.33837848922560415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1.4168303949326633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751.18</v>
      </c>
      <c r="O192" s="14">
        <f>N192*VLOOKUP('Données projet'!$B$9,Paramètres!$A$1:$I$89,3,0)*VLOOKUP('Données projet'!$B$9,Paramètres!$A$1:$I$89,5,0)</f>
        <v>351.55223999999993</v>
      </c>
      <c r="P192" s="14">
        <f t="shared" si="141"/>
        <v>81.882051211276618</v>
      </c>
      <c r="Q192" s="22">
        <f t="shared" si="162"/>
        <v>754.89805719297328</v>
      </c>
      <c r="R192" s="62">
        <f t="shared" si="109"/>
        <v>1048.2313905263065</v>
      </c>
      <c r="S192" s="62">
        <f ca="1">AVERAGE(OFFSET($R$3,0,0,'Données projet'!$E$9+1,1))-AVERAGE(OFFSET($H$3,0,0,'Données projet'!$E$9+1,1))</f>
        <v>309.95417097673084</v>
      </c>
      <c r="T192" s="62">
        <f t="shared" si="142"/>
        <v>170.83243426024433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0.93191428189063408</v>
      </c>
      <c r="AA192" s="23">
        <f>EXP(-LN(2)/25)*AA191+(1-EXP(-LN(2)/25))/(LN(2)/25)*Calculateur!V192*Calculateur!X192*VLOOKUP('Données projet'!$B$9,Paramètres!$A$1:$I$89,3,0)*0.475*44/12</f>
        <v>2.0124302939428658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2.9443445758335001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383.88999999999839</v>
      </c>
      <c r="AJ192" s="14">
        <f>AI192*VLOOKUP('Données projet'!$B$10,Paramètres!$A$1:$I$89,3,0)*VLOOKUP('Données projet'!$B$10,Paramètres!$A$1:$I$89,5,0)</f>
        <v>389.26445999999839</v>
      </c>
      <c r="AK192" s="14">
        <f t="shared" si="164"/>
        <v>89.596765108574331</v>
      </c>
      <c r="AL192" s="22">
        <f t="shared" si="165"/>
        <v>834.01663373076417</v>
      </c>
      <c r="AM192" s="62">
        <f t="shared" si="113"/>
        <v>1127.3499670640974</v>
      </c>
      <c r="AN192" s="62">
        <f ca="1">AVERAGE(OFFSET($AM$3,0,0,'Données projet'!$E$10+1,1))-AVERAGE(OFFSET($H$3,0,0,'Données projet'!$E$10+1,1))</f>
        <v>408.65944152905672</v>
      </c>
      <c r="AO192" s="62">
        <f t="shared" si="144"/>
        <v>248.55239719988651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12.719672334370786</v>
      </c>
      <c r="AV192" s="23">
        <f>EXP(-LN(2)/25)*AV191+(1-EXP(-LN(2)/25))/(LN(2)/25)*Calculateur!AQ192*Calculateur!AS192*VLOOKUP('Données projet'!$B$10,Paramètres!$A$1:$I$89,3,0)*0.475*44/12</f>
        <v>6.9303948961867201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19.650067230557507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598.14</v>
      </c>
      <c r="BE192" s="14">
        <f>BD192*VLOOKUP('Données projet'!$B$11,Paramètres!$A$1:$I$89,3,0)*VLOOKUP('Données projet'!$B$11,Paramètres!$A$1:$I$89,5,0)</f>
        <v>578.52100799999994</v>
      </c>
      <c r="BF192" s="14">
        <f t="shared" si="167"/>
        <v>127.15611541885089</v>
      </c>
      <c r="BG192" s="22">
        <f t="shared" si="168"/>
        <v>1229.0543232878317</v>
      </c>
      <c r="BH192" s="62">
        <f t="shared" si="116"/>
        <v>1522.387656621165</v>
      </c>
      <c r="BI192" s="62">
        <f ca="1">AVERAGE(OFFSET($BH$3,0,0,'Données projet'!$E$11+1,1))-AVERAGE(OFFSET($H$3,0,0,'Données projet'!$E$11+1,1))</f>
        <v>643.38601112255424</v>
      </c>
      <c r="BJ192" s="62">
        <f t="shared" si="146"/>
        <v>572.76381622085694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0.95004138465021692</v>
      </c>
      <c r="BQ192" s="23">
        <f>EXP(-LN(2)/25)*BQ191+(1-EXP(-LN(2)/25))/(LN(2)/25)*Calculateur!BL192*Calculateur!BN192*VLOOKUP('Données projet'!$B$11,Paramètres!$A$1:$I$89,3,0)*0.475*44/12</f>
        <v>0.29573596698372628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1.2457773516339432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505.23000000000025</v>
      </c>
      <c r="BZ192" s="14">
        <f>BY192*VLOOKUP('Données projet'!$B$12,Paramètres!$A$1:$I$89,3,0)*VLOOKUP('Données projet'!$B$12,Paramètres!$A$1:$I$89,5,0)</f>
        <v>338.90828400000015</v>
      </c>
      <c r="CA192" s="14">
        <f t="shared" si="170"/>
        <v>79.274348782791407</v>
      </c>
      <c r="CB192" s="22">
        <f t="shared" si="171"/>
        <v>728.33475209669507</v>
      </c>
      <c r="CC192" s="62">
        <f t="shared" si="119"/>
        <v>1021.6680854300284</v>
      </c>
      <c r="CD192" s="62">
        <f ca="1">AVERAGE(OFFSET($CC$3,0,0,'Données projet'!$E$12+1,1))-AVERAGE(OFFSET($H$3,0,0,'Données projet'!$E$12+1,1))</f>
        <v>323.41415875740768</v>
      </c>
      <c r="CE192" s="62">
        <f t="shared" si="148"/>
        <v>496.54020068152101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598.14</v>
      </c>
      <c r="CU192" s="18">
        <f>CT192*VLOOKUP('Données projet'!$B$13,Paramètres!$A$1:$I$89,3,0)*VLOOKUP('Données projet'!$B$13,Paramètres!$A$1:$I$89,5,0)</f>
        <v>643.837896</v>
      </c>
      <c r="CV192" s="14">
        <f t="shared" si="173"/>
        <v>139.76132574448636</v>
      </c>
      <c r="CW192" s="22">
        <f t="shared" si="174"/>
        <v>1364.7686445383138</v>
      </c>
      <c r="CX192" s="62">
        <f t="shared" si="122"/>
        <v>1658.101977871647</v>
      </c>
      <c r="CY192" s="62">
        <f ca="1">AVERAGE(OFFSET($CX$3,0,0,'Données projet'!$E$13+1,1))-AVERAGE(OFFSET($H$3,0,0,'Données projet'!$E$13+1,1))</f>
        <v>720.47588458554264</v>
      </c>
      <c r="CZ192" s="62">
        <f t="shared" si="150"/>
        <v>638.59686934821627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1.0573041216268548</v>
      </c>
      <c r="DG192" s="23">
        <f>EXP(-LN(2)/25)*DG191+(1-EXP(-LN(2)/25))/(LN(2)/25)*Calculateur!DB192*Calculateur!DD192*VLOOKUP('Données projet'!$B$13,Paramètres!$A$1:$I$89,3,0)*0.475*44/12</f>
        <v>0.32912551164317866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1.3864296332700334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751.18</v>
      </c>
      <c r="O193" s="14">
        <f>N193*VLOOKUP('Données projet'!$B$9,Paramètres!$A$1:$I$89,3,0)*VLOOKUP('Données projet'!$B$9,Paramètres!$A$1:$I$89,5,0)</f>
        <v>351.55223999999993</v>
      </c>
      <c r="P193" s="14">
        <f t="shared" si="141"/>
        <v>81.882051211276618</v>
      </c>
      <c r="Q193" s="22">
        <f t="shared" si="162"/>
        <v>754.89805719297328</v>
      </c>
      <c r="R193" s="62">
        <f t="shared" si="109"/>
        <v>1048.2313905263065</v>
      </c>
      <c r="S193" s="62">
        <f ca="1">AVERAGE(OFFSET($R$3,0,0,'Données projet'!$E$9+1,1))-AVERAGE(OFFSET($H$3,0,0,'Données projet'!$E$9+1,1))</f>
        <v>309.95417097673084</v>
      </c>
      <c r="T193" s="62">
        <f t="shared" si="142"/>
        <v>170.83243426024433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0.91364001123434468</v>
      </c>
      <c r="AA193" s="23">
        <f>EXP(-LN(2)/25)*AA192+(1-EXP(-LN(2)/25))/(LN(2)/25)*Calculateur!V193*Calculateur!X193*VLOOKUP('Données projet'!$B$9,Paramètres!$A$1:$I$89,3,0)*0.475*44/12</f>
        <v>1.9574002817258884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2.8710402929602332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383.88999999999839</v>
      </c>
      <c r="AJ193" s="14">
        <f>AI193*VLOOKUP('Données projet'!$B$10,Paramètres!$A$1:$I$89,3,0)*VLOOKUP('Données projet'!$B$10,Paramètres!$A$1:$I$89,5,0)</f>
        <v>389.26445999999839</v>
      </c>
      <c r="AK193" s="14">
        <f t="shared" si="164"/>
        <v>89.596765108574331</v>
      </c>
      <c r="AL193" s="22">
        <f t="shared" si="165"/>
        <v>834.01663373076417</v>
      </c>
      <c r="AM193" s="62">
        <f t="shared" si="113"/>
        <v>1127.3499670640974</v>
      </c>
      <c r="AN193" s="62">
        <f ca="1">AVERAGE(OFFSET($AM$3,0,0,'Données projet'!$E$10+1,1))-AVERAGE(OFFSET($H$3,0,0,'Données projet'!$E$10+1,1))</f>
        <v>408.65944152905672</v>
      </c>
      <c r="AO193" s="62">
        <f t="shared" si="144"/>
        <v>248.55239719988651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12.470247318127837</v>
      </c>
      <c r="AV193" s="23">
        <f>EXP(-LN(2)/25)*AV192+(1-EXP(-LN(2)/25))/(LN(2)/25)*Calculateur!AQ193*Calculateur!AS193*VLOOKUP('Données projet'!$B$10,Paramètres!$A$1:$I$89,3,0)*0.475*44/12</f>
        <v>6.7408828832968659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19.211130201424702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598.14</v>
      </c>
      <c r="BE193" s="14">
        <f>BD193*VLOOKUP('Données projet'!$B$11,Paramètres!$A$1:$I$89,3,0)*VLOOKUP('Données projet'!$B$11,Paramètres!$A$1:$I$89,5,0)</f>
        <v>578.52100799999994</v>
      </c>
      <c r="BF193" s="14">
        <f t="shared" si="167"/>
        <v>127.15611541885089</v>
      </c>
      <c r="BG193" s="22">
        <f t="shared" si="168"/>
        <v>1229.0543232878317</v>
      </c>
      <c r="BH193" s="62">
        <f t="shared" si="116"/>
        <v>1522.387656621165</v>
      </c>
      <c r="BI193" s="62">
        <f ca="1">AVERAGE(OFFSET($BH$3,0,0,'Données projet'!$E$11+1,1))-AVERAGE(OFFSET($H$3,0,0,'Données projet'!$E$11+1,1))</f>
        <v>643.38601112255424</v>
      </c>
      <c r="BJ193" s="62">
        <f t="shared" si="146"/>
        <v>572.76381622085694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0.93141165256525305</v>
      </c>
      <c r="BQ193" s="23">
        <f>EXP(-LN(2)/25)*BQ192+(1-EXP(-LN(2)/25))/(LN(2)/25)*Calculateur!BL193*Calculateur!BN193*VLOOKUP('Données projet'!$B$11,Paramètres!$A$1:$I$89,3,0)*0.475*44/12</f>
        <v>0.28764905141447772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1.2190607039797308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505.23000000000025</v>
      </c>
      <c r="BZ193" s="14">
        <f>BY193*VLOOKUP('Données projet'!$B$12,Paramètres!$A$1:$I$89,3,0)*VLOOKUP('Données projet'!$B$12,Paramètres!$A$1:$I$89,5,0)</f>
        <v>338.90828400000015</v>
      </c>
      <c r="CA193" s="14">
        <f t="shared" si="170"/>
        <v>79.274348782791407</v>
      </c>
      <c r="CB193" s="22">
        <f t="shared" si="171"/>
        <v>728.33475209669507</v>
      </c>
      <c r="CC193" s="62">
        <f t="shared" si="119"/>
        <v>1021.6680854300284</v>
      </c>
      <c r="CD193" s="62">
        <f ca="1">AVERAGE(OFFSET($CC$3,0,0,'Données projet'!$E$12+1,1))-AVERAGE(OFFSET($H$3,0,0,'Données projet'!$E$12+1,1))</f>
        <v>323.41415875740768</v>
      </c>
      <c r="CE193" s="62">
        <f t="shared" si="148"/>
        <v>496.54020068152101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598.14</v>
      </c>
      <c r="CU193" s="18">
        <f>CT193*VLOOKUP('Données projet'!$B$13,Paramètres!$A$1:$I$89,3,0)*VLOOKUP('Données projet'!$B$13,Paramètres!$A$1:$I$89,5,0)</f>
        <v>643.837896</v>
      </c>
      <c r="CV193" s="14">
        <f t="shared" si="173"/>
        <v>139.76132574448636</v>
      </c>
      <c r="CW193" s="22">
        <f t="shared" si="174"/>
        <v>1364.7686445383138</v>
      </c>
      <c r="CX193" s="62">
        <f t="shared" si="122"/>
        <v>1658.101977871647</v>
      </c>
      <c r="CY193" s="62">
        <f ca="1">AVERAGE(OFFSET($CX$3,0,0,'Données projet'!$E$13+1,1))-AVERAGE(OFFSET($H$3,0,0,'Données projet'!$E$13+1,1))</f>
        <v>720.47588458554264</v>
      </c>
      <c r="CZ193" s="62">
        <f t="shared" si="150"/>
        <v>638.59686934821627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1.0365710326935886</v>
      </c>
      <c r="DG193" s="23">
        <f>EXP(-LN(2)/25)*DG192+(1-EXP(-LN(2)/25))/(LN(2)/25)*Calculateur!DB193*Calculateur!DD193*VLOOKUP('Données projet'!$B$13,Paramètres!$A$1:$I$89,3,0)*0.475*44/12</f>
        <v>0.3201255572193375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1.3566965899129262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751.18</v>
      </c>
      <c r="O194" s="14">
        <f>N194*VLOOKUP('Données projet'!$B$9,Paramètres!$A$1:$I$89,3,0)*VLOOKUP('Données projet'!$B$9,Paramètres!$A$1:$I$89,5,0)</f>
        <v>351.55223999999993</v>
      </c>
      <c r="P194" s="14">
        <f t="shared" si="141"/>
        <v>81.882051211276618</v>
      </c>
      <c r="Q194" s="22">
        <f t="shared" si="162"/>
        <v>754.89805719297328</v>
      </c>
      <c r="R194" s="62">
        <f t="shared" si="109"/>
        <v>1048.2313905263065</v>
      </c>
      <c r="S194" s="62">
        <f ca="1">AVERAGE(OFFSET($R$3,0,0,'Données projet'!$E$9+1,1))-AVERAGE(OFFSET($H$3,0,0,'Données projet'!$E$9+1,1))</f>
        <v>309.95417097673084</v>
      </c>
      <c r="T194" s="62">
        <f t="shared" si="142"/>
        <v>170.83243426024433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0.89572408787942071</v>
      </c>
      <c r="AA194" s="23">
        <f>EXP(-LN(2)/25)*AA193+(1-EXP(-LN(2)/25))/(LN(2)/25)*Calculateur!V194*Calculateur!X194*VLOOKUP('Données projet'!$B$9,Paramètres!$A$1:$I$89,3,0)*0.475*44/12</f>
        <v>1.9038750680868868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2.7995991559663076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383.88999999999839</v>
      </c>
      <c r="AJ194" s="14">
        <f>AI194*VLOOKUP('Données projet'!$B$10,Paramètres!$A$1:$I$89,3,0)*VLOOKUP('Données projet'!$B$10,Paramètres!$A$1:$I$89,5,0)</f>
        <v>389.26445999999839</v>
      </c>
      <c r="AK194" s="14">
        <f t="shared" si="164"/>
        <v>89.596765108574331</v>
      </c>
      <c r="AL194" s="22">
        <f t="shared" si="165"/>
        <v>834.01663373076417</v>
      </c>
      <c r="AM194" s="62">
        <f t="shared" si="113"/>
        <v>1127.3499670640974</v>
      </c>
      <c r="AN194" s="62">
        <f ca="1">AVERAGE(OFFSET($AM$3,0,0,'Données projet'!$E$10+1,1))-AVERAGE(OFFSET($H$3,0,0,'Données projet'!$E$10+1,1))</f>
        <v>408.65944152905672</v>
      </c>
      <c r="AO194" s="62">
        <f t="shared" si="144"/>
        <v>248.55239719988651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12.225713374319175</v>
      </c>
      <c r="AV194" s="23">
        <f>EXP(-LN(2)/25)*AV193+(1-EXP(-LN(2)/25))/(LN(2)/25)*Calculateur!AQ194*Calculateur!AS194*VLOOKUP('Données projet'!$B$10,Paramètres!$A$1:$I$89,3,0)*0.475*44/12</f>
        <v>6.5565530863654891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18.782266460684664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598.14</v>
      </c>
      <c r="BE194" s="14">
        <f>BD194*VLOOKUP('Données projet'!$B$11,Paramètres!$A$1:$I$89,3,0)*VLOOKUP('Données projet'!$B$11,Paramètres!$A$1:$I$89,5,0)</f>
        <v>578.52100799999994</v>
      </c>
      <c r="BF194" s="14">
        <f t="shared" si="167"/>
        <v>127.15611541885089</v>
      </c>
      <c r="BG194" s="22">
        <f t="shared" si="168"/>
        <v>1229.0543232878317</v>
      </c>
      <c r="BH194" s="62">
        <f t="shared" si="116"/>
        <v>1522.387656621165</v>
      </c>
      <c r="BI194" s="62">
        <f ca="1">AVERAGE(OFFSET($BH$3,0,0,'Données projet'!$E$11+1,1))-AVERAGE(OFFSET($H$3,0,0,'Données projet'!$E$11+1,1))</f>
        <v>643.38601112255424</v>
      </c>
      <c r="BJ194" s="62">
        <f t="shared" si="146"/>
        <v>572.76381622085694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0.91314723816346077</v>
      </c>
      <c r="BQ194" s="23">
        <f>EXP(-LN(2)/25)*BQ193+(1-EXP(-LN(2)/25))/(LN(2)/25)*Calculateur!BL194*Calculateur!BN194*VLOOKUP('Données projet'!$B$11,Paramètres!$A$1:$I$89,3,0)*0.475*44/12</f>
        <v>0.27978327297674266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1.1929305111402035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505.23000000000025</v>
      </c>
      <c r="BZ194" s="14">
        <f>BY194*VLOOKUP('Données projet'!$B$12,Paramètres!$A$1:$I$89,3,0)*VLOOKUP('Données projet'!$B$12,Paramètres!$A$1:$I$89,5,0)</f>
        <v>338.90828400000015</v>
      </c>
      <c r="CA194" s="14">
        <f t="shared" si="170"/>
        <v>79.274348782791407</v>
      </c>
      <c r="CB194" s="22">
        <f t="shared" si="171"/>
        <v>728.33475209669507</v>
      </c>
      <c r="CC194" s="62">
        <f t="shared" si="119"/>
        <v>1021.6680854300284</v>
      </c>
      <c r="CD194" s="62">
        <f ca="1">AVERAGE(OFFSET($CC$3,0,0,'Données projet'!$E$12+1,1))-AVERAGE(OFFSET($H$3,0,0,'Données projet'!$E$12+1,1))</f>
        <v>323.41415875740768</v>
      </c>
      <c r="CE194" s="62">
        <f t="shared" si="148"/>
        <v>496.54020068152101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598.14</v>
      </c>
      <c r="CU194" s="18">
        <f>CT194*VLOOKUP('Données projet'!$B$13,Paramètres!$A$1:$I$89,3,0)*VLOOKUP('Données projet'!$B$13,Paramètres!$A$1:$I$89,5,0)</f>
        <v>643.837896</v>
      </c>
      <c r="CV194" s="14">
        <f t="shared" si="173"/>
        <v>139.76132574448636</v>
      </c>
      <c r="CW194" s="22">
        <f t="shared" si="174"/>
        <v>1364.7686445383138</v>
      </c>
      <c r="CX194" s="62">
        <f t="shared" si="122"/>
        <v>1658.101977871647</v>
      </c>
      <c r="CY194" s="62">
        <f ca="1">AVERAGE(OFFSET($CX$3,0,0,'Données projet'!$E$13+1,1))-AVERAGE(OFFSET($H$3,0,0,'Données projet'!$E$13+1,1))</f>
        <v>720.47588458554264</v>
      </c>
      <c r="CZ194" s="62">
        <f t="shared" si="150"/>
        <v>638.59686934821627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1.0162445069883681</v>
      </c>
      <c r="DG194" s="23">
        <f>EXP(-LN(2)/25)*DG193+(1-EXP(-LN(2)/25))/(LN(2)/25)*Calculateur!DB194*Calculateur!DD194*VLOOKUP('Données projet'!$B$13,Paramètres!$A$1:$I$89,3,0)*0.475*44/12</f>
        <v>0.31137170702250333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1.3276162140108714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751.18</v>
      </c>
      <c r="O195" s="14">
        <f>N195*VLOOKUP('Données projet'!$B$9,Paramètres!$A$1:$I$89,3,0)*VLOOKUP('Données projet'!$B$9,Paramètres!$A$1:$I$89,5,0)</f>
        <v>351.55223999999993</v>
      </c>
      <c r="P195" s="14">
        <f t="shared" si="141"/>
        <v>81.882051211276618</v>
      </c>
      <c r="Q195" s="22">
        <f t="shared" si="162"/>
        <v>754.89805719297328</v>
      </c>
      <c r="R195" s="62">
        <f t="shared" ref="R195:R203" si="191">Q195+(I195+J195)*44/12</f>
        <v>1048.2313905263065</v>
      </c>
      <c r="S195" s="62">
        <f ca="1">AVERAGE(OFFSET($R$3,0,0,'Données projet'!$E$9+1,1))-AVERAGE(OFFSET($H$3,0,0,'Données projet'!$E$9+1,1))</f>
        <v>309.95417097673084</v>
      </c>
      <c r="T195" s="62">
        <f t="shared" si="142"/>
        <v>170.83243426024433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0.87815948485385253</v>
      </c>
      <c r="AA195" s="23">
        <f>EXP(-LN(2)/25)*AA194+(1-EXP(-LN(2)/25))/(LN(2)/25)*Calculateur!V195*Calculateur!X195*VLOOKUP('Données projet'!$B$9,Paramètres!$A$1:$I$89,3,0)*0.475*44/12</f>
        <v>1.8518135042296124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2.729972989083465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383.88999999999839</v>
      </c>
      <c r="AJ195" s="14">
        <f>AI195*VLOOKUP('Données projet'!$B$10,Paramètres!$A$1:$I$89,3,0)*VLOOKUP('Données projet'!$B$10,Paramètres!$A$1:$I$89,5,0)</f>
        <v>389.26445999999839</v>
      </c>
      <c r="AK195" s="14">
        <f t="shared" si="164"/>
        <v>89.596765108574331</v>
      </c>
      <c r="AL195" s="22">
        <f t="shared" si="165"/>
        <v>834.01663373076417</v>
      </c>
      <c r="AM195" s="62">
        <f t="shared" si="113"/>
        <v>1127.3499670640974</v>
      </c>
      <c r="AN195" s="62">
        <f ca="1">AVERAGE(OFFSET($AM$3,0,0,'Données projet'!$E$10+1,1))-AVERAGE(OFFSET($H$3,0,0,'Données projet'!$E$10+1,1))</f>
        <v>408.65944152905672</v>
      </c>
      <c r="AO195" s="62">
        <f t="shared" si="144"/>
        <v>248.55239719988651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11.985974591997623</v>
      </c>
      <c r="AV195" s="23">
        <f>EXP(-LN(2)/25)*AV194+(1-EXP(-LN(2)/25))/(LN(2)/25)*Calculateur!AQ195*Calculateur!AS195*VLOOKUP('Données projet'!$B$10,Paramètres!$A$1:$I$89,3,0)*0.475*44/12</f>
        <v>6.3772637974246829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18.363238389422307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598.14</v>
      </c>
      <c r="BE195" s="14">
        <f>BD195*VLOOKUP('Données projet'!$B$11,Paramètres!$A$1:$I$89,3,0)*VLOOKUP('Données projet'!$B$11,Paramètres!$A$1:$I$89,5,0)</f>
        <v>578.52100799999994</v>
      </c>
      <c r="BF195" s="14">
        <f t="shared" si="167"/>
        <v>127.15611541885089</v>
      </c>
      <c r="BG195" s="22">
        <f t="shared" si="168"/>
        <v>1229.0543232878317</v>
      </c>
      <c r="BH195" s="62">
        <f t="shared" si="116"/>
        <v>1522.387656621165</v>
      </c>
      <c r="BI195" s="62">
        <f ca="1">AVERAGE(OFFSET($BH$3,0,0,'Données projet'!$E$11+1,1))-AVERAGE(OFFSET($H$3,0,0,'Données projet'!$E$11+1,1))</f>
        <v>643.38601112255424</v>
      </c>
      <c r="BJ195" s="62">
        <f t="shared" si="146"/>
        <v>572.76381622085694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0.89524097778789491</v>
      </c>
      <c r="BQ195" s="23">
        <f>EXP(-LN(2)/25)*BQ194+(1-EXP(-LN(2)/25))/(LN(2)/25)*Calculateur!BL195*Calculateur!BN195*VLOOKUP('Données projet'!$B$11,Paramètres!$A$1:$I$89,3,0)*0.475*44/12</f>
        <v>0.27213258466403079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1.1673735624519257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505.23000000000025</v>
      </c>
      <c r="BZ195" s="14">
        <f>BY195*VLOOKUP('Données projet'!$B$12,Paramètres!$A$1:$I$89,3,0)*VLOOKUP('Données projet'!$B$12,Paramètres!$A$1:$I$89,5,0)</f>
        <v>338.90828400000015</v>
      </c>
      <c r="CA195" s="14">
        <f t="shared" si="170"/>
        <v>79.274348782791407</v>
      </c>
      <c r="CB195" s="22">
        <f t="shared" si="171"/>
        <v>728.33475209669507</v>
      </c>
      <c r="CC195" s="62">
        <f t="shared" si="119"/>
        <v>1021.6680854300284</v>
      </c>
      <c r="CD195" s="62">
        <f ca="1">AVERAGE(OFFSET($CC$3,0,0,'Données projet'!$E$12+1,1))-AVERAGE(OFFSET($H$3,0,0,'Données projet'!$E$12+1,1))</f>
        <v>323.41415875740768</v>
      </c>
      <c r="CE195" s="62">
        <f t="shared" si="148"/>
        <v>496.54020068152101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598.14</v>
      </c>
      <c r="CU195" s="18">
        <f>CT195*VLOOKUP('Données projet'!$B$13,Paramètres!$A$1:$I$89,3,0)*VLOOKUP('Données projet'!$B$13,Paramètres!$A$1:$I$89,5,0)</f>
        <v>643.837896</v>
      </c>
      <c r="CV195" s="14">
        <f t="shared" si="173"/>
        <v>139.76132574448636</v>
      </c>
      <c r="CW195" s="22">
        <f t="shared" si="174"/>
        <v>1364.7686445383138</v>
      </c>
      <c r="CX195" s="62">
        <f t="shared" si="122"/>
        <v>1658.101977871647</v>
      </c>
      <c r="CY195" s="62">
        <f ca="1">AVERAGE(OFFSET($CX$3,0,0,'Données projet'!$E$13+1,1))-AVERAGE(OFFSET($H$3,0,0,'Données projet'!$E$13+1,1))</f>
        <v>720.47588458554264</v>
      </c>
      <c r="CZ195" s="62">
        <f t="shared" si="150"/>
        <v>638.59686934821627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0.9963165720542706</v>
      </c>
      <c r="DG195" s="23">
        <f>EXP(-LN(2)/25)*DG194+(1-EXP(-LN(2)/25))/(LN(2)/25)*Calculateur!DB195*Calculateur!DD195*VLOOKUP('Données projet'!$B$13,Paramètres!$A$1:$I$89,3,0)*0.475*44/12</f>
        <v>0.30285723131964654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1.2991738033739171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751.18</v>
      </c>
      <c r="O196" s="14">
        <f>N196*VLOOKUP('Données projet'!$B$9,Paramètres!$A$1:$I$89,3,0)*VLOOKUP('Données projet'!$B$9,Paramètres!$A$1:$I$89,5,0)</f>
        <v>351.55223999999993</v>
      </c>
      <c r="P196" s="14">
        <f t="shared" si="141"/>
        <v>81.882051211276618</v>
      </c>
      <c r="Q196" s="22">
        <f t="shared" si="162"/>
        <v>754.89805719297328</v>
      </c>
      <c r="R196" s="62">
        <f t="shared" si="191"/>
        <v>1048.2313905263065</v>
      </c>
      <c r="S196" s="62">
        <f ca="1">AVERAGE(OFFSET($R$3,0,0,'Données projet'!$E$9+1,1))-AVERAGE(OFFSET($H$3,0,0,'Données projet'!$E$9+1,1))</f>
        <v>309.95417097673084</v>
      </c>
      <c r="T196" s="62">
        <f t="shared" si="142"/>
        <v>170.83243426024433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0.86093931298026571</v>
      </c>
      <c r="AA196" s="23">
        <f>EXP(-LN(2)/25)*AA195+(1-EXP(-LN(2)/25))/(LN(2)/25)*Calculateur!V196*Calculateur!X196*VLOOKUP('Données projet'!$B$9,Paramètres!$A$1:$I$89,3,0)*0.475*44/12</f>
        <v>1.8011755665738138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2.6621148795540797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383.88999999999839</v>
      </c>
      <c r="AJ196" s="14">
        <f>AI196*VLOOKUP('Données projet'!$B$10,Paramètres!$A$1:$I$89,3,0)*VLOOKUP('Données projet'!$B$10,Paramètres!$A$1:$I$89,5,0)</f>
        <v>389.26445999999839</v>
      </c>
      <c r="AK196" s="14">
        <f t="shared" si="164"/>
        <v>89.596765108574331</v>
      </c>
      <c r="AL196" s="22">
        <f t="shared" si="165"/>
        <v>834.01663373076417</v>
      </c>
      <c r="AM196" s="62">
        <f t="shared" ref="AM196:AM203" si="193">AL196+(AD196+AE196)*44/12</f>
        <v>1127.3499670640974</v>
      </c>
      <c r="AN196" s="62">
        <f ca="1">AVERAGE(OFFSET($AM$3,0,0,'Données projet'!$E$10+1,1))-AVERAGE(OFFSET($H$3,0,0,'Données projet'!$E$10+1,1))</f>
        <v>408.65944152905672</v>
      </c>
      <c r="AO196" s="62">
        <f t="shared" si="144"/>
        <v>248.55239719988651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11.750936940971178</v>
      </c>
      <c r="AV196" s="23">
        <f>EXP(-LN(2)/25)*AV195+(1-EXP(-LN(2)/25))/(LN(2)/25)*Calculateur!AQ196*Calculateur!AS196*VLOOKUP('Données projet'!$B$10,Paramètres!$A$1:$I$89,3,0)*0.475*44/12</f>
        <v>6.2028771835183774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17.953814124489554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598.14</v>
      </c>
      <c r="BE196" s="14">
        <f>BD196*VLOOKUP('Données projet'!$B$11,Paramètres!$A$1:$I$89,3,0)*VLOOKUP('Données projet'!$B$11,Paramètres!$A$1:$I$89,5,0)</f>
        <v>578.52100799999994</v>
      </c>
      <c r="BF196" s="14">
        <f t="shared" si="167"/>
        <v>127.15611541885089</v>
      </c>
      <c r="BG196" s="22">
        <f t="shared" si="168"/>
        <v>1229.0543232878317</v>
      </c>
      <c r="BH196" s="62">
        <f t="shared" ref="BH196:BH203" si="194">BG196+(AY196+AZ196)*44/12</f>
        <v>1522.387656621165</v>
      </c>
      <c r="BI196" s="62">
        <f ca="1">AVERAGE(OFFSET($BH$3,0,0,'Données projet'!$E$11+1,1))-AVERAGE(OFFSET($H$3,0,0,'Données projet'!$E$11+1,1))</f>
        <v>643.38601112255424</v>
      </c>
      <c r="BJ196" s="62">
        <f t="shared" si="146"/>
        <v>572.76381622085694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0.87768584825655349</v>
      </c>
      <c r="BQ196" s="23">
        <f>EXP(-LN(2)/25)*BQ195+(1-EXP(-LN(2)/25))/(LN(2)/25)*Calculateur!BL196*Calculateur!BN196*VLOOKUP('Données projet'!$B$11,Paramètres!$A$1:$I$89,3,0)*0.475*44/12</f>
        <v>0.26469110482556218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1.1423769530821157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505.23000000000025</v>
      </c>
      <c r="BZ196" s="14">
        <f>BY196*VLOOKUP('Données projet'!$B$12,Paramètres!$A$1:$I$89,3,0)*VLOOKUP('Données projet'!$B$12,Paramètres!$A$1:$I$89,5,0)</f>
        <v>338.90828400000015</v>
      </c>
      <c r="CA196" s="14">
        <f t="shared" si="170"/>
        <v>79.274348782791407</v>
      </c>
      <c r="CB196" s="22">
        <f t="shared" si="171"/>
        <v>728.33475209669507</v>
      </c>
      <c r="CC196" s="62">
        <f t="shared" ref="CC196:CC203" si="195">CB196+(BT196+BU196)*44/12</f>
        <v>1021.6680854300284</v>
      </c>
      <c r="CD196" s="62">
        <f ca="1">AVERAGE(OFFSET($CC$3,0,0,'Données projet'!$E$12+1,1))-AVERAGE(OFFSET($H$3,0,0,'Données projet'!$E$12+1,1))</f>
        <v>323.41415875740768</v>
      </c>
      <c r="CE196" s="62">
        <f t="shared" si="148"/>
        <v>496.54020068152101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598.14</v>
      </c>
      <c r="CU196" s="18">
        <f>CT196*VLOOKUP('Données projet'!$B$13,Paramètres!$A$1:$I$89,3,0)*VLOOKUP('Données projet'!$B$13,Paramètres!$A$1:$I$89,5,0)</f>
        <v>643.837896</v>
      </c>
      <c r="CV196" s="14">
        <f t="shared" si="173"/>
        <v>139.76132574448636</v>
      </c>
      <c r="CW196" s="22">
        <f t="shared" si="174"/>
        <v>1364.7686445383138</v>
      </c>
      <c r="CX196" s="62">
        <f t="shared" ref="CX196:CX203" si="196">CW196+(CO196+CP196)*44/12</f>
        <v>1658.101977871647</v>
      </c>
      <c r="CY196" s="62">
        <f ca="1">AVERAGE(OFFSET($CX$3,0,0,'Données projet'!$E$13+1,1))-AVERAGE(OFFSET($H$3,0,0,'Données projet'!$E$13+1,1))</f>
        <v>720.47588458554264</v>
      </c>
      <c r="CZ196" s="62">
        <f t="shared" si="150"/>
        <v>638.59686934821627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0.97677941176939065</v>
      </c>
      <c r="DG196" s="23">
        <f>EXP(-LN(2)/25)*DG195+(1-EXP(-LN(2)/25))/(LN(2)/25)*Calculateur!DB196*Calculateur!DD196*VLOOKUP('Données projet'!$B$13,Paramètres!$A$1:$I$89,3,0)*0.475*44/12</f>
        <v>0.2945755844026412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1.2713549961720318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751.18</v>
      </c>
      <c r="O197" s="14">
        <f>N197*VLOOKUP('Données projet'!$B$9,Paramètres!$A$1:$I$89,3,0)*VLOOKUP('Données projet'!$B$9,Paramètres!$A$1:$I$89,5,0)</f>
        <v>351.55223999999993</v>
      </c>
      <c r="P197" s="14">
        <f t="shared" ref="P197:P203" si="203">EXP(-1.0587+0.8836*LN(O197)+0.284)</f>
        <v>81.882051211276618</v>
      </c>
      <c r="Q197" s="22">
        <f t="shared" si="162"/>
        <v>754.89805719297328</v>
      </c>
      <c r="R197" s="62">
        <f t="shared" si="191"/>
        <v>1048.2313905263065</v>
      </c>
      <c r="S197" s="62">
        <f ca="1">AVERAGE(OFFSET($R$3,0,0,'Données projet'!$E$9+1,1))-AVERAGE(OFFSET($H$3,0,0,'Données projet'!$E$9+1,1))</f>
        <v>309.95417097673084</v>
      </c>
      <c r="T197" s="62">
        <f t="shared" ref="T197:T203" si="204">$T$3</f>
        <v>170.83243426024433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0.84405681817385225</v>
      </c>
      <c r="AA197" s="23">
        <f>EXP(-LN(2)/25)*AA196+(1-EXP(-LN(2)/25))/(LN(2)/25)*Calculateur!V197*Calculateur!X197*VLOOKUP('Données projet'!$B$9,Paramètres!$A$1:$I$89,3,0)*0.475*44/12</f>
        <v>1.7519223259861465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2.5959791441599989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383.88999999999839</v>
      </c>
      <c r="AJ197" s="14">
        <f>AI197*VLOOKUP('Données projet'!$B$10,Paramètres!$A$1:$I$89,3,0)*VLOOKUP('Données projet'!$B$10,Paramètres!$A$1:$I$89,5,0)</f>
        <v>389.26445999999839</v>
      </c>
      <c r="AK197" s="14">
        <f t="shared" si="164"/>
        <v>89.596765108574331</v>
      </c>
      <c r="AL197" s="22">
        <f t="shared" si="165"/>
        <v>834.01663373076417</v>
      </c>
      <c r="AM197" s="62">
        <f t="shared" si="193"/>
        <v>1127.3499670640974</v>
      </c>
      <c r="AN197" s="62">
        <f ca="1">AVERAGE(OFFSET($AM$3,0,0,'Données projet'!$E$10+1,1))-AVERAGE(OFFSET($H$3,0,0,'Données projet'!$E$10+1,1))</f>
        <v>408.65944152905672</v>
      </c>
      <c r="AO197" s="62">
        <f t="shared" ref="AO197:AO203" si="205">$AO$3</f>
        <v>248.55239719988651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11.520508234922548</v>
      </c>
      <c r="AV197" s="23">
        <f>EXP(-LN(2)/25)*AV196+(1-EXP(-LN(2)/25))/(LN(2)/25)*Calculateur!AQ197*Calculateur!AS197*VLOOKUP('Données projet'!$B$10,Paramètres!$A$1:$I$89,3,0)*0.475*44/12</f>
        <v>6.0332591807399334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17.553767415662481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598.14</v>
      </c>
      <c r="BE197" s="14">
        <f>BD197*VLOOKUP('Données projet'!$B$11,Paramètres!$A$1:$I$89,3,0)*VLOOKUP('Données projet'!$B$11,Paramètres!$A$1:$I$89,5,0)</f>
        <v>578.52100799999994</v>
      </c>
      <c r="BF197" s="14">
        <f t="shared" si="167"/>
        <v>127.15611541885089</v>
      </c>
      <c r="BG197" s="22">
        <f t="shared" si="168"/>
        <v>1229.0543232878317</v>
      </c>
      <c r="BH197" s="62">
        <f t="shared" si="194"/>
        <v>1522.387656621165</v>
      </c>
      <c r="BI197" s="62">
        <f ca="1">AVERAGE(OFFSET($BH$3,0,0,'Données projet'!$E$11+1,1))-AVERAGE(OFFSET($H$3,0,0,'Données projet'!$E$11+1,1))</f>
        <v>643.38601112255424</v>
      </c>
      <c r="BJ197" s="62">
        <f t="shared" ref="BJ197:BJ203" si="206">$BJ$3</f>
        <v>572.76381622085694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0.86047496410774993</v>
      </c>
      <c r="BQ197" s="23">
        <f>EXP(-LN(2)/25)*BQ196+(1-EXP(-LN(2)/25))/(LN(2)/25)*Calculateur!BL197*Calculateur!BN197*VLOOKUP('Données projet'!$B$11,Paramètres!$A$1:$I$89,3,0)*0.475*44/12</f>
        <v>0.25745311264460696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1.1179280767523569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505.23000000000025</v>
      </c>
      <c r="BZ197" s="14">
        <f>BY197*VLOOKUP('Données projet'!$B$12,Paramètres!$A$1:$I$89,3,0)*VLOOKUP('Données projet'!$B$12,Paramètres!$A$1:$I$89,5,0)</f>
        <v>338.90828400000015</v>
      </c>
      <c r="CA197" s="14">
        <f t="shared" si="170"/>
        <v>79.274348782791407</v>
      </c>
      <c r="CB197" s="22">
        <f t="shared" si="171"/>
        <v>728.33475209669507</v>
      </c>
      <c r="CC197" s="62">
        <f t="shared" si="195"/>
        <v>1021.6680854300284</v>
      </c>
      <c r="CD197" s="62">
        <f ca="1">AVERAGE(OFFSET($CC$3,0,0,'Données projet'!$E$12+1,1))-AVERAGE(OFFSET($H$3,0,0,'Données projet'!$E$12+1,1))</f>
        <v>323.41415875740768</v>
      </c>
      <c r="CE197" s="62">
        <f t="shared" ref="CE197:CE203" si="207">$CE$3</f>
        <v>496.54020068152101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598.14</v>
      </c>
      <c r="CU197" s="18">
        <f>CT197*VLOOKUP('Données projet'!$B$13,Paramètres!$A$1:$I$89,3,0)*VLOOKUP('Données projet'!$B$13,Paramètres!$A$1:$I$89,5,0)</f>
        <v>643.837896</v>
      </c>
      <c r="CV197" s="14">
        <f t="shared" si="173"/>
        <v>139.76132574448636</v>
      </c>
      <c r="CW197" s="22">
        <f t="shared" si="174"/>
        <v>1364.7686445383138</v>
      </c>
      <c r="CX197" s="62">
        <f t="shared" si="196"/>
        <v>1658.101977871647</v>
      </c>
      <c r="CY197" s="62">
        <f ca="1">AVERAGE(OFFSET($CX$3,0,0,'Données projet'!$E$13+1,1))-AVERAGE(OFFSET($H$3,0,0,'Données projet'!$E$13+1,1))</f>
        <v>720.47588458554264</v>
      </c>
      <c r="CZ197" s="62">
        <f t="shared" ref="CZ197:CZ203" si="208">$CZ$3</f>
        <v>638.59686934821627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0.95762536328120607</v>
      </c>
      <c r="DG197" s="23">
        <f>EXP(-LN(2)/25)*DG196+(1-EXP(-LN(2)/25))/(LN(2)/25)*Calculateur!DB197*Calculateur!DD197*VLOOKUP('Données projet'!$B$13,Paramètres!$A$1:$I$89,3,0)*0.475*44/12</f>
        <v>0.28652039955609426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1.2441457628373003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751.18</v>
      </c>
      <c r="O198" s="14">
        <f>N198*VLOOKUP('Données projet'!$B$9,Paramètres!$A$1:$I$89,3,0)*VLOOKUP('Données projet'!$B$9,Paramètres!$A$1:$I$89,5,0)</f>
        <v>351.55223999999993</v>
      </c>
      <c r="P198" s="14">
        <f t="shared" si="203"/>
        <v>81.882051211276618</v>
      </c>
      <c r="Q198" s="22">
        <f t="shared" si="162"/>
        <v>754.89805719297328</v>
      </c>
      <c r="R198" s="62">
        <f t="shared" si="191"/>
        <v>1048.2313905263065</v>
      </c>
      <c r="S198" s="62">
        <f ca="1">AVERAGE(OFFSET($R$3,0,0,'Données projet'!$E$9+1,1))-AVERAGE(OFFSET($H$3,0,0,'Données projet'!$E$9+1,1))</f>
        <v>309.95417097673084</v>
      </c>
      <c r="T198" s="62">
        <f t="shared" si="204"/>
        <v>170.83243426024433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0.82750537879328745</v>
      </c>
      <c r="AA198" s="23">
        <f>EXP(-LN(2)/25)*AA197+(1-EXP(-LN(2)/25))/(LN(2)/25)*Calculateur!V198*Calculateur!X198*VLOOKUP('Données projet'!$B$9,Paramètres!$A$1:$I$89,3,0)*0.475*44/12</f>
        <v>1.7040159178524643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2.5315212966457517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383.88999999999839</v>
      </c>
      <c r="AJ198" s="14">
        <f>AI198*VLOOKUP('Données projet'!$B$10,Paramètres!$A$1:$I$89,3,0)*VLOOKUP('Données projet'!$B$10,Paramètres!$A$1:$I$89,5,0)</f>
        <v>389.26445999999839</v>
      </c>
      <c r="AK198" s="14">
        <f t="shared" si="164"/>
        <v>89.596765108574331</v>
      </c>
      <c r="AL198" s="22">
        <f t="shared" si="165"/>
        <v>834.01663373076417</v>
      </c>
      <c r="AM198" s="62">
        <f t="shared" si="193"/>
        <v>1127.3499670640974</v>
      </c>
      <c r="AN198" s="62">
        <f ca="1">AVERAGE(OFFSET($AM$3,0,0,'Données projet'!$E$10+1,1))-AVERAGE(OFFSET($H$3,0,0,'Données projet'!$E$10+1,1))</f>
        <v>408.65944152905672</v>
      </c>
      <c r="AO198" s="62">
        <f t="shared" si="205"/>
        <v>248.55239719988651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11.294598095251899</v>
      </c>
      <c r="AV198" s="23">
        <f>EXP(-LN(2)/25)*AV197+(1-EXP(-LN(2)/25))/(LN(2)/25)*Calculateur!AQ198*Calculateur!AS198*VLOOKUP('Données projet'!$B$10,Paramètres!$A$1:$I$89,3,0)*0.475*44/12</f>
        <v>5.868279391167289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17.162877486419188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598.14</v>
      </c>
      <c r="BE198" s="14">
        <f>BD198*VLOOKUP('Données projet'!$B$11,Paramètres!$A$1:$I$89,3,0)*VLOOKUP('Données projet'!$B$11,Paramètres!$A$1:$I$89,5,0)</f>
        <v>578.52100799999994</v>
      </c>
      <c r="BF198" s="14">
        <f t="shared" si="167"/>
        <v>127.15611541885089</v>
      </c>
      <c r="BG198" s="22">
        <f t="shared" si="168"/>
        <v>1229.0543232878317</v>
      </c>
      <c r="BH198" s="62">
        <f t="shared" si="194"/>
        <v>1522.387656621165</v>
      </c>
      <c r="BI198" s="62">
        <f ca="1">AVERAGE(OFFSET($BH$3,0,0,'Données projet'!$E$11+1,1))-AVERAGE(OFFSET($H$3,0,0,'Données projet'!$E$11+1,1))</f>
        <v>643.38601112255424</v>
      </c>
      <c r="BJ198" s="62">
        <f t="shared" si="206"/>
        <v>572.76381622085694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0.84360157489950161</v>
      </c>
      <c r="BQ198" s="23">
        <f>EXP(-LN(2)/25)*BQ197+(1-EXP(-LN(2)/25))/(LN(2)/25)*Calculateur!BL198*Calculateur!BN198*VLOOKUP('Données projet'!$B$11,Paramètres!$A$1:$I$89,3,0)*0.475*44/12</f>
        <v>0.25041304374046941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1.0940146186399711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505.23000000000025</v>
      </c>
      <c r="BZ198" s="14">
        <f>BY198*VLOOKUP('Données projet'!$B$12,Paramètres!$A$1:$I$89,3,0)*VLOOKUP('Données projet'!$B$12,Paramètres!$A$1:$I$89,5,0)</f>
        <v>338.90828400000015</v>
      </c>
      <c r="CA198" s="14">
        <f t="shared" si="170"/>
        <v>79.274348782791407</v>
      </c>
      <c r="CB198" s="22">
        <f t="shared" si="171"/>
        <v>728.33475209669507</v>
      </c>
      <c r="CC198" s="62">
        <f t="shared" si="195"/>
        <v>1021.6680854300284</v>
      </c>
      <c r="CD198" s="62">
        <f ca="1">AVERAGE(OFFSET($CC$3,0,0,'Données projet'!$E$12+1,1))-AVERAGE(OFFSET($H$3,0,0,'Données projet'!$E$12+1,1))</f>
        <v>323.41415875740768</v>
      </c>
      <c r="CE198" s="62">
        <f t="shared" si="207"/>
        <v>496.54020068152101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598.14</v>
      </c>
      <c r="CU198" s="18">
        <f>CT198*VLOOKUP('Données projet'!$B$13,Paramètres!$A$1:$I$89,3,0)*VLOOKUP('Données projet'!$B$13,Paramètres!$A$1:$I$89,5,0)</f>
        <v>643.837896</v>
      </c>
      <c r="CV198" s="14">
        <f t="shared" si="173"/>
        <v>139.76132574448636</v>
      </c>
      <c r="CW198" s="22">
        <f t="shared" si="174"/>
        <v>1364.7686445383138</v>
      </c>
      <c r="CX198" s="62">
        <f t="shared" si="196"/>
        <v>1658.101977871647</v>
      </c>
      <c r="CY198" s="62">
        <f ca="1">AVERAGE(OFFSET($CX$3,0,0,'Données projet'!$E$13+1,1))-AVERAGE(OFFSET($H$3,0,0,'Données projet'!$E$13+1,1))</f>
        <v>720.47588458554264</v>
      </c>
      <c r="CZ198" s="62">
        <f t="shared" si="208"/>
        <v>638.59686934821627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0.9388469140010588</v>
      </c>
      <c r="DG198" s="23">
        <f>EXP(-LN(2)/25)*DG197+(1-EXP(-LN(2)/25))/(LN(2)/25)*Calculateur!DB198*Calculateur!DD198*VLOOKUP('Données projet'!$B$13,Paramètres!$A$1:$I$89,3,0)*0.475*44/12</f>
        <v>0.27868548416277988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1.2175323981638386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751.18</v>
      </c>
      <c r="O199" s="14">
        <f>N199*VLOOKUP('Données projet'!$B$9,Paramètres!$A$1:$I$89,3,0)*VLOOKUP('Données projet'!$B$9,Paramètres!$A$1:$I$89,5,0)</f>
        <v>351.55223999999993</v>
      </c>
      <c r="P199" s="14">
        <f t="shared" si="203"/>
        <v>81.882051211276618</v>
      </c>
      <c r="Q199" s="22">
        <f t="shared" si="162"/>
        <v>754.89805719297328</v>
      </c>
      <c r="R199" s="62">
        <f t="shared" si="191"/>
        <v>1048.2313905263065</v>
      </c>
      <c r="S199" s="62">
        <f ca="1">AVERAGE(OFFSET($R$3,0,0,'Données projet'!$E$9+1,1))-AVERAGE(OFFSET($H$3,0,0,'Données projet'!$E$9+1,1))</f>
        <v>309.95417097673084</v>
      </c>
      <c r="T199" s="62">
        <f t="shared" si="204"/>
        <v>170.83243426024433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0.81127850304359439</v>
      </c>
      <c r="AA199" s="23">
        <f>EXP(-LN(2)/25)*AA198+(1-EXP(-LN(2)/25))/(LN(2)/25)*Calculateur!V199*Calculateur!X199*VLOOKUP('Données projet'!$B$9,Paramètres!$A$1:$I$89,3,0)*0.475*44/12</f>
        <v>1.6574195129684861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2.4686980160120804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383.88999999999839</v>
      </c>
      <c r="AJ199" s="14">
        <f>AI199*VLOOKUP('Données projet'!$B$10,Paramètres!$A$1:$I$89,3,0)*VLOOKUP('Données projet'!$B$10,Paramètres!$A$1:$I$89,5,0)</f>
        <v>389.26445999999839</v>
      </c>
      <c r="AK199" s="14">
        <f t="shared" si="164"/>
        <v>89.596765108574331</v>
      </c>
      <c r="AL199" s="22">
        <f t="shared" si="165"/>
        <v>834.01663373076417</v>
      </c>
      <c r="AM199" s="62">
        <f t="shared" si="193"/>
        <v>1127.3499670640974</v>
      </c>
      <c r="AN199" s="62">
        <f ca="1">AVERAGE(OFFSET($AM$3,0,0,'Données projet'!$E$10+1,1))-AVERAGE(OFFSET($H$3,0,0,'Données projet'!$E$10+1,1))</f>
        <v>408.65944152905672</v>
      </c>
      <c r="AO199" s="62">
        <f t="shared" si="205"/>
        <v>248.55239719988651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11.073117915628613</v>
      </c>
      <c r="AV199" s="23">
        <f>EXP(-LN(2)/25)*AV198+(1-EXP(-LN(2)/25))/(LN(2)/25)*Calculateur!AQ199*Calculateur!AS199*VLOOKUP('Données projet'!$B$10,Paramètres!$A$1:$I$89,3,0)*0.475*44/12</f>
        <v>5.7078109826164187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16.78092889824503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598.14</v>
      </c>
      <c r="BE199" s="14">
        <f>BD199*VLOOKUP('Données projet'!$B$11,Paramètres!$A$1:$I$89,3,0)*VLOOKUP('Données projet'!$B$11,Paramètres!$A$1:$I$89,5,0)</f>
        <v>578.52100799999994</v>
      </c>
      <c r="BF199" s="14">
        <f t="shared" si="167"/>
        <v>127.15611541885089</v>
      </c>
      <c r="BG199" s="22">
        <f t="shared" si="168"/>
        <v>1229.0543232878317</v>
      </c>
      <c r="BH199" s="62">
        <f t="shared" si="194"/>
        <v>1522.387656621165</v>
      </c>
      <c r="BI199" s="62">
        <f ca="1">AVERAGE(OFFSET($BH$3,0,0,'Données projet'!$E$11+1,1))-AVERAGE(OFFSET($H$3,0,0,'Données projet'!$E$11+1,1))</f>
        <v>643.38601112255424</v>
      </c>
      <c r="BJ199" s="62">
        <f t="shared" si="206"/>
        <v>572.76381622085694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0.82705906256187589</v>
      </c>
      <c r="BQ199" s="23">
        <f>EXP(-LN(2)/25)*BQ198+(1-EXP(-LN(2)/25))/(LN(2)/25)*Calculateur!BL199*Calculateur!BN199*VLOOKUP('Données projet'!$B$11,Paramètres!$A$1:$I$89,3,0)*0.475*44/12</f>
        <v>0.24356548589073662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1.0706245484526125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505.23000000000025</v>
      </c>
      <c r="BZ199" s="14">
        <f>BY199*VLOOKUP('Données projet'!$B$12,Paramètres!$A$1:$I$89,3,0)*VLOOKUP('Données projet'!$B$12,Paramètres!$A$1:$I$89,5,0)</f>
        <v>338.90828400000015</v>
      </c>
      <c r="CA199" s="14">
        <f t="shared" si="170"/>
        <v>79.274348782791407</v>
      </c>
      <c r="CB199" s="22">
        <f t="shared" si="171"/>
        <v>728.33475209669507</v>
      </c>
      <c r="CC199" s="62">
        <f t="shared" si="195"/>
        <v>1021.6680854300284</v>
      </c>
      <c r="CD199" s="62">
        <f ca="1">AVERAGE(OFFSET($CC$3,0,0,'Données projet'!$E$12+1,1))-AVERAGE(OFFSET($H$3,0,0,'Données projet'!$E$12+1,1))</f>
        <v>323.41415875740768</v>
      </c>
      <c r="CE199" s="62">
        <f t="shared" si="207"/>
        <v>496.54020068152101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598.14</v>
      </c>
      <c r="CU199" s="18">
        <f>CT199*VLOOKUP('Données projet'!$B$13,Paramètres!$A$1:$I$89,3,0)*VLOOKUP('Données projet'!$B$13,Paramètres!$A$1:$I$89,5,0)</f>
        <v>643.837896</v>
      </c>
      <c r="CV199" s="14">
        <f t="shared" si="173"/>
        <v>139.76132574448636</v>
      </c>
      <c r="CW199" s="22">
        <f t="shared" si="174"/>
        <v>1364.7686445383138</v>
      </c>
      <c r="CX199" s="62">
        <f t="shared" si="196"/>
        <v>1658.101977871647</v>
      </c>
      <c r="CY199" s="62">
        <f ca="1">AVERAGE(OFFSET($CX$3,0,0,'Données projet'!$E$13+1,1))-AVERAGE(OFFSET($H$3,0,0,'Données projet'!$E$13+1,1))</f>
        <v>720.47588458554264</v>
      </c>
      <c r="CZ199" s="62">
        <f t="shared" si="208"/>
        <v>638.59686934821627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0.92043669865757205</v>
      </c>
      <c r="DG199" s="23">
        <f>EXP(-LN(2)/25)*DG198+(1-EXP(-LN(2)/25))/(LN(2)/25)*Calculateur!DB199*Calculateur!DD199*VLOOKUP('Données projet'!$B$13,Paramètres!$A$1:$I$89,3,0)*0.475*44/12</f>
        <v>0.27106481494291601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1.1915015136004881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751.18</v>
      </c>
      <c r="O200" s="14">
        <f>N200*VLOOKUP('Données projet'!$B$9,Paramètres!$A$1:$I$89,3,0)*VLOOKUP('Données projet'!$B$9,Paramètres!$A$1:$I$89,5,0)</f>
        <v>351.55223999999993</v>
      </c>
      <c r="P200" s="14">
        <f t="shared" si="203"/>
        <v>81.882051211276618</v>
      </c>
      <c r="Q200" s="22">
        <f t="shared" si="162"/>
        <v>754.89805719297328</v>
      </c>
      <c r="R200" s="62">
        <f t="shared" si="191"/>
        <v>1048.2313905263065</v>
      </c>
      <c r="S200" s="62">
        <f ca="1">AVERAGE(OFFSET($R$3,0,0,'Données projet'!$E$9+1,1))-AVERAGE(OFFSET($H$3,0,0,'Données projet'!$E$9+1,1))</f>
        <v>309.95417097673084</v>
      </c>
      <c r="T200" s="62">
        <f t="shared" si="204"/>
        <v>170.83243426024433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0.79536982642993581</v>
      </c>
      <c r="AA200" s="23">
        <f>EXP(-LN(2)/25)*AA199+(1-EXP(-LN(2)/25))/(LN(2)/25)*Calculateur!V200*Calculateur!X200*VLOOKUP('Données projet'!$B$9,Paramètres!$A$1:$I$89,3,0)*0.475*44/12</f>
        <v>1.6120972892264587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2.4074671156563943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383.88999999999839</v>
      </c>
      <c r="AJ200" s="14">
        <f>AI200*VLOOKUP('Données projet'!$B$10,Paramètres!$A$1:$I$89,3,0)*VLOOKUP('Données projet'!$B$10,Paramètres!$A$1:$I$89,5,0)</f>
        <v>389.26445999999839</v>
      </c>
      <c r="AK200" s="14">
        <f t="shared" si="164"/>
        <v>89.596765108574331</v>
      </c>
      <c r="AL200" s="22">
        <f t="shared" si="165"/>
        <v>834.01663373076417</v>
      </c>
      <c r="AM200" s="62">
        <f t="shared" si="193"/>
        <v>1127.3499670640974</v>
      </c>
      <c r="AN200" s="62">
        <f ca="1">AVERAGE(OFFSET($AM$3,0,0,'Données projet'!$E$10+1,1))-AVERAGE(OFFSET($H$3,0,0,'Données projet'!$E$10+1,1))</f>
        <v>408.65944152905672</v>
      </c>
      <c r="AO200" s="62">
        <f t="shared" si="205"/>
        <v>248.55239719988651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10.855980827238168</v>
      </c>
      <c r="AV200" s="23">
        <f>EXP(-LN(2)/25)*AV199+(1-EXP(-LN(2)/25))/(LN(2)/25)*Calculateur!AQ200*Calculateur!AS200*VLOOKUP('Données projet'!$B$10,Paramètres!$A$1:$I$89,3,0)*0.475*44/12</f>
        <v>5.5517305911360388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16.407711418374205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598.14</v>
      </c>
      <c r="BE200" s="14">
        <f>BD200*VLOOKUP('Données projet'!$B$11,Paramètres!$A$1:$I$89,3,0)*VLOOKUP('Données projet'!$B$11,Paramètres!$A$1:$I$89,5,0)</f>
        <v>578.52100799999994</v>
      </c>
      <c r="BF200" s="14">
        <f t="shared" si="167"/>
        <v>127.15611541885089</v>
      </c>
      <c r="BG200" s="22">
        <f t="shared" si="168"/>
        <v>1229.0543232878317</v>
      </c>
      <c r="BH200" s="62">
        <f t="shared" si="194"/>
        <v>1522.387656621165</v>
      </c>
      <c r="BI200" s="62">
        <f ca="1">AVERAGE(OFFSET($BH$3,0,0,'Données projet'!$E$11+1,1))-AVERAGE(OFFSET($H$3,0,0,'Données projet'!$E$11+1,1))</f>
        <v>643.38601112255424</v>
      </c>
      <c r="BJ200" s="62">
        <f t="shared" si="206"/>
        <v>572.76381622085694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0.81084093880125474</v>
      </c>
      <c r="BQ200" s="23">
        <f>EXP(-LN(2)/25)*BQ199+(1-EXP(-LN(2)/25))/(LN(2)/25)*Calculateur!BL200*Calculateur!BN200*VLOOKUP('Données projet'!$B$11,Paramètres!$A$1:$I$89,3,0)*0.475*44/12</f>
        <v>0.23690517487050219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1.047746113671757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505.23000000000025</v>
      </c>
      <c r="BZ200" s="14">
        <f>BY200*VLOOKUP('Données projet'!$B$12,Paramètres!$A$1:$I$89,3,0)*VLOOKUP('Données projet'!$B$12,Paramètres!$A$1:$I$89,5,0)</f>
        <v>338.90828400000015</v>
      </c>
      <c r="CA200" s="14">
        <f t="shared" si="170"/>
        <v>79.274348782791407</v>
      </c>
      <c r="CB200" s="22">
        <f t="shared" si="171"/>
        <v>728.33475209669507</v>
      </c>
      <c r="CC200" s="62">
        <f t="shared" si="195"/>
        <v>1021.6680854300284</v>
      </c>
      <c r="CD200" s="62">
        <f ca="1">AVERAGE(OFFSET($CC$3,0,0,'Données projet'!$E$12+1,1))-AVERAGE(OFFSET($H$3,0,0,'Données projet'!$E$12+1,1))</f>
        <v>323.41415875740768</v>
      </c>
      <c r="CE200" s="62">
        <f t="shared" si="207"/>
        <v>496.54020068152101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598.14</v>
      </c>
      <c r="CU200" s="18">
        <f>CT200*VLOOKUP('Données projet'!$B$13,Paramètres!$A$1:$I$89,3,0)*VLOOKUP('Données projet'!$B$13,Paramètres!$A$1:$I$89,5,0)</f>
        <v>643.837896</v>
      </c>
      <c r="CV200" s="14">
        <f t="shared" si="173"/>
        <v>139.76132574448636</v>
      </c>
      <c r="CW200" s="22">
        <f t="shared" si="174"/>
        <v>1364.7686445383138</v>
      </c>
      <c r="CX200" s="62">
        <f t="shared" si="196"/>
        <v>1658.101977871647</v>
      </c>
      <c r="CY200" s="62">
        <f ca="1">AVERAGE(OFFSET($CX$3,0,0,'Données projet'!$E$13+1,1))-AVERAGE(OFFSET($H$3,0,0,'Données projet'!$E$13+1,1))</f>
        <v>720.47588458554264</v>
      </c>
      <c r="CZ200" s="62">
        <f t="shared" si="208"/>
        <v>638.59686934821627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0.90238749640784854</v>
      </c>
      <c r="DG200" s="23">
        <f>EXP(-LN(2)/25)*DG199+(1-EXP(-LN(2)/25))/(LN(2)/25)*Calculateur!DB200*Calculateur!DD200*VLOOKUP('Données projet'!$B$13,Paramètres!$A$1:$I$89,3,0)*0.475*44/12</f>
        <v>0.26365253332362287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1.1660400297314715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751.18</v>
      </c>
      <c r="O201" s="14">
        <f>N201*VLOOKUP('Données projet'!$B$9,Paramètres!$A$1:$I$89,3,0)*VLOOKUP('Données projet'!$B$9,Paramètres!$A$1:$I$89,5,0)</f>
        <v>351.55223999999993</v>
      </c>
      <c r="P201" s="14">
        <f t="shared" si="203"/>
        <v>81.882051211276618</v>
      </c>
      <c r="Q201" s="22">
        <f t="shared" si="162"/>
        <v>754.89805719297328</v>
      </c>
      <c r="R201" s="62">
        <f t="shared" si="191"/>
        <v>1048.2313905263065</v>
      </c>
      <c r="S201" s="62">
        <f ca="1">AVERAGE(OFFSET($R$3,0,0,'Données projet'!$E$9+1,1))-AVERAGE(OFFSET($H$3,0,0,'Données projet'!$E$9+1,1))</f>
        <v>309.95417097673084</v>
      </c>
      <c r="T201" s="62">
        <f t="shared" si="204"/>
        <v>170.83243426024433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0.77977310926133647</v>
      </c>
      <c r="AA201" s="23">
        <f>EXP(-LN(2)/25)*AA200+(1-EXP(-LN(2)/25))/(LN(2)/25)*Calculateur!V201*Calculateur!X201*VLOOKUP('Données projet'!$B$9,Paramètres!$A$1:$I$89,3,0)*0.475*44/12</f>
        <v>1.5680144040760493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2.3477875133373858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383.88999999999839</v>
      </c>
      <c r="AJ201" s="14">
        <f>AI201*VLOOKUP('Données projet'!$B$10,Paramètres!$A$1:$I$89,3,0)*VLOOKUP('Données projet'!$B$10,Paramètres!$A$1:$I$89,5,0)</f>
        <v>389.26445999999839</v>
      </c>
      <c r="AK201" s="14">
        <f t="shared" si="164"/>
        <v>89.596765108574331</v>
      </c>
      <c r="AL201" s="22">
        <f t="shared" si="165"/>
        <v>834.01663373076417</v>
      </c>
      <c r="AM201" s="62">
        <f t="shared" si="193"/>
        <v>1127.3499670640974</v>
      </c>
      <c r="AN201" s="62">
        <f ca="1">AVERAGE(OFFSET($AM$3,0,0,'Données projet'!$E$10+1,1))-AVERAGE(OFFSET($H$3,0,0,'Données projet'!$E$10+1,1))</f>
        <v>408.65944152905672</v>
      </c>
      <c r="AO201" s="62">
        <f t="shared" si="205"/>
        <v>248.55239719988651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10.643101664710514</v>
      </c>
      <c r="AV201" s="23">
        <f>EXP(-LN(2)/25)*AV200+(1-EXP(-LN(2)/25))/(LN(2)/25)*Calculateur!AQ201*Calculateur!AS201*VLOOKUP('Données projet'!$B$10,Paramètres!$A$1:$I$89,3,0)*0.475*44/12</f>
        <v>5.3999182261686007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16.043019890879116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598.14</v>
      </c>
      <c r="BE201" s="14">
        <f>BD201*VLOOKUP('Données projet'!$B$11,Paramètres!$A$1:$I$89,3,0)*VLOOKUP('Données projet'!$B$11,Paramètres!$A$1:$I$89,5,0)</f>
        <v>578.52100799999994</v>
      </c>
      <c r="BF201" s="14">
        <f t="shared" si="167"/>
        <v>127.15611541885089</v>
      </c>
      <c r="BG201" s="22">
        <f t="shared" si="168"/>
        <v>1229.0543232878317</v>
      </c>
      <c r="BH201" s="62">
        <f t="shared" si="194"/>
        <v>1522.387656621165</v>
      </c>
      <c r="BI201" s="62">
        <f ca="1">AVERAGE(OFFSET($BH$3,0,0,'Données projet'!$E$11+1,1))-AVERAGE(OFFSET($H$3,0,0,'Données projet'!$E$11+1,1))</f>
        <v>643.38601112255424</v>
      </c>
      <c r="BJ201" s="62">
        <f t="shared" si="206"/>
        <v>572.76381622085694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0.79494084255550068</v>
      </c>
      <c r="BQ201" s="23">
        <f>EXP(-LN(2)/25)*BQ200+(1-EXP(-LN(2)/25))/(LN(2)/25)*Calculateur!BL201*Calculateur!BN201*VLOOKUP('Données projet'!$B$11,Paramètres!$A$1:$I$89,3,0)*0.475*44/12</f>
        <v>0.23042699040536663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1.0253678329608673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505.23000000000025</v>
      </c>
      <c r="BZ201" s="14">
        <f>BY201*VLOOKUP('Données projet'!$B$12,Paramètres!$A$1:$I$89,3,0)*VLOOKUP('Données projet'!$B$12,Paramètres!$A$1:$I$89,5,0)</f>
        <v>338.90828400000015</v>
      </c>
      <c r="CA201" s="14">
        <f t="shared" si="170"/>
        <v>79.274348782791407</v>
      </c>
      <c r="CB201" s="22">
        <f t="shared" si="171"/>
        <v>728.33475209669507</v>
      </c>
      <c r="CC201" s="62">
        <f t="shared" si="195"/>
        <v>1021.6680854300284</v>
      </c>
      <c r="CD201" s="62">
        <f ca="1">AVERAGE(OFFSET($CC$3,0,0,'Données projet'!$E$12+1,1))-AVERAGE(OFFSET($H$3,0,0,'Données projet'!$E$12+1,1))</f>
        <v>323.41415875740768</v>
      </c>
      <c r="CE201" s="62">
        <f t="shared" si="207"/>
        <v>496.54020068152101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598.14</v>
      </c>
      <c r="CU201" s="18">
        <f>CT201*VLOOKUP('Données projet'!$B$13,Paramètres!$A$1:$I$89,3,0)*VLOOKUP('Données projet'!$B$13,Paramètres!$A$1:$I$89,5,0)</f>
        <v>643.837896</v>
      </c>
      <c r="CV201" s="14">
        <f t="shared" si="173"/>
        <v>139.76132574448636</v>
      </c>
      <c r="CW201" s="22">
        <f t="shared" si="174"/>
        <v>1364.7686445383138</v>
      </c>
      <c r="CX201" s="62">
        <f t="shared" si="196"/>
        <v>1658.101977871647</v>
      </c>
      <c r="CY201" s="62">
        <f ca="1">AVERAGE(OFFSET($CX$3,0,0,'Données projet'!$E$13+1,1))-AVERAGE(OFFSET($H$3,0,0,'Données projet'!$E$13+1,1))</f>
        <v>720.47588458554264</v>
      </c>
      <c r="CZ201" s="62">
        <f t="shared" si="208"/>
        <v>638.59686934821627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0.88469222800531577</v>
      </c>
      <c r="DG201" s="23">
        <f>EXP(-LN(2)/25)*DG200+(1-EXP(-LN(2)/25))/(LN(2)/25)*Calculateur!DB201*Calculateur!DD201*VLOOKUP('Données projet'!$B$13,Paramètres!$A$1:$I$89,3,0)*0.475*44/12</f>
        <v>0.25644294093500425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1.14113516894032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751.18</v>
      </c>
      <c r="O202" s="14">
        <f>N202*VLOOKUP('Données projet'!$B$9,Paramètres!$A$1:$I$89,3,0)*VLOOKUP('Données projet'!$B$9,Paramètres!$A$1:$I$89,5,0)</f>
        <v>351.55223999999993</v>
      </c>
      <c r="P202" s="14">
        <f t="shared" si="203"/>
        <v>81.882051211276618</v>
      </c>
      <c r="Q202" s="22">
        <f t="shared" si="162"/>
        <v>754.89805719297328</v>
      </c>
      <c r="R202" s="62">
        <f t="shared" si="191"/>
        <v>1048.2313905263065</v>
      </c>
      <c r="S202" s="62">
        <f ca="1">AVERAGE(OFFSET($R$3,0,0,'Données projet'!$E$9+1,1))-AVERAGE(OFFSET($H$3,0,0,'Données projet'!$E$9+1,1))</f>
        <v>309.95417097673084</v>
      </c>
      <c r="T202" s="62">
        <f t="shared" si="204"/>
        <v>170.83243426024433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0.76448223420335526</v>
      </c>
      <c r="AA202" s="23">
        <f>EXP(-LN(2)/25)*AA201+(1-EXP(-LN(2)/25))/(LN(2)/25)*Calculateur!V202*Calculateur!X202*VLOOKUP('Données projet'!$B$9,Paramètres!$A$1:$I$89,3,0)*0.475*44/12</f>
        <v>1.525136967738296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2.289619201941651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383.88999999999839</v>
      </c>
      <c r="AJ202" s="14">
        <f>AI202*VLOOKUP('Données projet'!$B$10,Paramètres!$A$1:$I$89,3,0)*VLOOKUP('Données projet'!$B$10,Paramètres!$A$1:$I$89,5,0)</f>
        <v>389.26445999999839</v>
      </c>
      <c r="AK202" s="14">
        <f t="shared" si="164"/>
        <v>89.596765108574331</v>
      </c>
      <c r="AL202" s="22">
        <f t="shared" si="165"/>
        <v>834.01663373076417</v>
      </c>
      <c r="AM202" s="62">
        <f t="shared" si="193"/>
        <v>1127.3499670640974</v>
      </c>
      <c r="AN202" s="62">
        <f ca="1">AVERAGE(OFFSET($AM$3,0,0,'Données projet'!$E$10+1,1))-AVERAGE(OFFSET($H$3,0,0,'Données projet'!$E$10+1,1))</f>
        <v>408.65944152905672</v>
      </c>
      <c r="AO202" s="62">
        <f t="shared" si="205"/>
        <v>248.55239719988651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10.43439693271656</v>
      </c>
      <c r="AV202" s="23">
        <f>EXP(-LN(2)/25)*AV201+(1-EXP(-LN(2)/25))/(LN(2)/25)*Calculateur!AQ202*Calculateur!AS202*VLOOKUP('Données projet'!$B$10,Paramètres!$A$1:$I$89,3,0)*0.475*44/12</f>
        <v>5.2522571783046628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15.686654111021223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598.14</v>
      </c>
      <c r="BE202" s="14">
        <f>BD202*VLOOKUP('Données projet'!$B$11,Paramètres!$A$1:$I$89,3,0)*VLOOKUP('Données projet'!$B$11,Paramètres!$A$1:$I$89,5,0)</f>
        <v>578.52100799999994</v>
      </c>
      <c r="BF202" s="14">
        <f t="shared" si="167"/>
        <v>127.15611541885089</v>
      </c>
      <c r="BG202" s="22">
        <f t="shared" si="168"/>
        <v>1229.0543232878317</v>
      </c>
      <c r="BH202" s="62">
        <f t="shared" si="194"/>
        <v>1522.387656621165</v>
      </c>
      <c r="BI202" s="62">
        <f ca="1">AVERAGE(OFFSET($BH$3,0,0,'Données projet'!$E$11+1,1))-AVERAGE(OFFSET($H$3,0,0,'Données projet'!$E$11+1,1))</f>
        <v>643.38601112255424</v>
      </c>
      <c r="BJ202" s="62">
        <f t="shared" si="206"/>
        <v>572.76381622085694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0.77935253749902478</v>
      </c>
      <c r="BQ202" s="23">
        <f>EXP(-LN(2)/25)*BQ201+(1-EXP(-LN(2)/25))/(LN(2)/25)*Calculateur!BL202*Calculateur!BN202*VLOOKUP('Données projet'!$B$11,Paramètres!$A$1:$I$89,3,0)*0.475*44/12</f>
        <v>0.22412595223510309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1.0034784897341278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505.23000000000025</v>
      </c>
      <c r="BZ202" s="14">
        <f>BY202*VLOOKUP('Données projet'!$B$12,Paramètres!$A$1:$I$89,3,0)*VLOOKUP('Données projet'!$B$12,Paramètres!$A$1:$I$89,5,0)</f>
        <v>338.90828400000015</v>
      </c>
      <c r="CA202" s="14">
        <f t="shared" si="170"/>
        <v>79.274348782791407</v>
      </c>
      <c r="CB202" s="22">
        <f t="shared" si="171"/>
        <v>728.33475209669507</v>
      </c>
      <c r="CC202" s="62">
        <f t="shared" si="195"/>
        <v>1021.6680854300284</v>
      </c>
      <c r="CD202" s="62">
        <f ca="1">AVERAGE(OFFSET($CC$3,0,0,'Données projet'!$E$12+1,1))-AVERAGE(OFFSET($H$3,0,0,'Données projet'!$E$12+1,1))</f>
        <v>323.41415875740768</v>
      </c>
      <c r="CE202" s="62">
        <f t="shared" si="207"/>
        <v>496.54020068152101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598.14</v>
      </c>
      <c r="CU202" s="18">
        <f>CT202*VLOOKUP('Données projet'!$B$13,Paramètres!$A$1:$I$89,3,0)*VLOOKUP('Données projet'!$B$13,Paramètres!$A$1:$I$89,5,0)</f>
        <v>643.837896</v>
      </c>
      <c r="CV202" s="14">
        <f t="shared" si="173"/>
        <v>139.76132574448636</v>
      </c>
      <c r="CW202" s="22">
        <f t="shared" si="174"/>
        <v>1364.7686445383138</v>
      </c>
      <c r="CX202" s="62">
        <f t="shared" si="196"/>
        <v>1658.101977871647</v>
      </c>
      <c r="CY202" s="62">
        <f ca="1">AVERAGE(OFFSET($CX$3,0,0,'Données projet'!$E$13+1,1))-AVERAGE(OFFSET($H$3,0,0,'Données projet'!$E$13+1,1))</f>
        <v>720.47588458554264</v>
      </c>
      <c r="CZ202" s="62">
        <f t="shared" si="208"/>
        <v>638.59686934821627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0.86734395302310863</v>
      </c>
      <c r="DG202" s="23">
        <f>EXP(-LN(2)/25)*DG201+(1-EXP(-LN(2)/25))/(LN(2)/25)*Calculateur!DB202*Calculateur!DD202*VLOOKUP('Données projet'!$B$13,Paramètres!$A$1:$I$89,3,0)*0.475*44/12</f>
        <v>0.2494304952293884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1.1167744482524971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751.18</v>
      </c>
      <c r="O203" s="14">
        <f>N203*VLOOKUP('Données projet'!$B$9,Paramètres!$A$1:$I$89,3,0)*VLOOKUP('Données projet'!$B$9,Paramètres!$A$1:$I$89,5,0)</f>
        <v>351.55223999999993</v>
      </c>
      <c r="P203" s="14">
        <f t="shared" si="203"/>
        <v>81.882051211276618</v>
      </c>
      <c r="Q203" s="22">
        <f t="shared" si="162"/>
        <v>754.89805719297328</v>
      </c>
      <c r="R203" s="62">
        <f t="shared" si="191"/>
        <v>1048.2313905263065</v>
      </c>
      <c r="S203" s="62">
        <f ca="1">AVERAGE(OFFSET($R$3,0,0,'Données projet'!$E$9+1,1))-AVERAGE(OFFSET($H$3,0,0,'Données projet'!$E$9+1,1))</f>
        <v>309.95417097673084</v>
      </c>
      <c r="T203" s="62">
        <f t="shared" si="204"/>
        <v>170.83243426024433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0.74949120387874824</v>
      </c>
      <c r="AA203" s="23">
        <f>EXP(-LN(2)/25)*AA202+(1-EXP(-LN(2)/25))/(LN(2)/25)*Calculateur!V203*Calculateur!X203*VLOOKUP('Données projet'!$B$9,Paramètres!$A$1:$I$89,3,0)*0.475*44/12</f>
        <v>1.483432017152025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2.2329232210307732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383.88999999999839</v>
      </c>
      <c r="AJ203" s="14">
        <f>AI203*VLOOKUP('Données projet'!$B$10,Paramètres!$A$1:$I$89,3,0)*VLOOKUP('Données projet'!$B$10,Paramètres!$A$1:$I$89,5,0)</f>
        <v>389.26445999999839</v>
      </c>
      <c r="AK203" s="14">
        <f t="shared" si="164"/>
        <v>89.596765108574331</v>
      </c>
      <c r="AL203" s="22">
        <f t="shared" si="165"/>
        <v>834.01663373076417</v>
      </c>
      <c r="AM203" s="62">
        <f t="shared" si="193"/>
        <v>1127.3499670640974</v>
      </c>
      <c r="AN203" s="62">
        <f ca="1">AVERAGE(OFFSET($AM$3,0,0,'Données projet'!$E$10+1,1))-AVERAGE(OFFSET($H$3,0,0,'Données projet'!$E$10+1,1))</f>
        <v>408.65944152905672</v>
      </c>
      <c r="AO203" s="62">
        <f t="shared" si="205"/>
        <v>248.55239719988651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10.22978477321969</v>
      </c>
      <c r="AV203" s="23">
        <f>EXP(-LN(2)/25)*AV202+(1-EXP(-LN(2)/25))/(LN(2)/25)*Calculateur!AQ203*Calculateur!AS203*VLOOKUP('Données projet'!$B$10,Paramètres!$A$1:$I$89,3,0)*0.475*44/12</f>
        <v>5.108633929559721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15.338418702779411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598.14</v>
      </c>
      <c r="BE203" s="14">
        <f>BD203*VLOOKUP('Données projet'!$B$11,Paramètres!$A$1:$I$89,3,0)*VLOOKUP('Données projet'!$B$11,Paramètres!$A$1:$I$89,5,0)</f>
        <v>578.52100799999994</v>
      </c>
      <c r="BF203" s="14">
        <f t="shared" si="167"/>
        <v>127.15611541885089</v>
      </c>
      <c r="BG203" s="22">
        <f t="shared" si="168"/>
        <v>1229.0543232878317</v>
      </c>
      <c r="BH203" s="62">
        <f t="shared" si="194"/>
        <v>1522.387656621165</v>
      </c>
      <c r="BI203" s="62">
        <f ca="1">AVERAGE(OFFSET($BH$3,0,0,'Données projet'!$E$11+1,1))-AVERAGE(OFFSET($H$3,0,0,'Données projet'!$E$11+1,1))</f>
        <v>643.38601112255424</v>
      </c>
      <c r="BJ203" s="62">
        <f t="shared" si="206"/>
        <v>572.76381622085694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0.76406990959677901</v>
      </c>
      <c r="BQ203" s="23">
        <f>EXP(-LN(2)/25)*BQ202+(1-EXP(-LN(2)/25))/(LN(2)/25)*Calculateur!BL203*Calculateur!BN203*VLOOKUP('Données projet'!$B$11,Paramètres!$A$1:$I$89,3,0)*0.475*44/12</f>
        <v>0.21799721628496263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0.98206712588174161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505.23000000000025</v>
      </c>
      <c r="BZ203" s="14">
        <f>BY203*VLOOKUP('Données projet'!$B$12,Paramètres!$A$1:$I$89,3,0)*VLOOKUP('Données projet'!$B$12,Paramètres!$A$1:$I$89,5,0)</f>
        <v>338.90828400000015</v>
      </c>
      <c r="CA203" s="14">
        <f t="shared" si="170"/>
        <v>79.274348782791407</v>
      </c>
      <c r="CB203" s="22">
        <f t="shared" si="171"/>
        <v>728.33475209669507</v>
      </c>
      <c r="CC203" s="62">
        <f t="shared" si="195"/>
        <v>1021.6680854300284</v>
      </c>
      <c r="CD203" s="62">
        <f ca="1">AVERAGE(OFFSET($CC$3,0,0,'Données projet'!$E$12+1,1))-AVERAGE(OFFSET($H$3,0,0,'Données projet'!$E$12+1,1))</f>
        <v>323.41415875740768</v>
      </c>
      <c r="CE203" s="62">
        <f t="shared" si="207"/>
        <v>496.54020068152101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598.14</v>
      </c>
      <c r="CU203" s="18">
        <f>CT203*VLOOKUP('Données projet'!$B$13,Paramètres!$A$1:$I$89,3,0)*VLOOKUP('Données projet'!$B$13,Paramètres!$A$1:$I$89,5,0)</f>
        <v>643.837896</v>
      </c>
      <c r="CV203" s="14">
        <f t="shared" si="173"/>
        <v>139.76132574448636</v>
      </c>
      <c r="CW203" s="22">
        <f t="shared" si="174"/>
        <v>1364.7686445383138</v>
      </c>
      <c r="CX203" s="62">
        <f t="shared" si="196"/>
        <v>1658.101977871647</v>
      </c>
      <c r="CY203" s="62">
        <f ca="1">AVERAGE(OFFSET($CX$3,0,0,'Données projet'!$E$13+1,1))-AVERAGE(OFFSET($H$3,0,0,'Données projet'!$E$13+1,1))</f>
        <v>720.47588458554264</v>
      </c>
      <c r="CZ203" s="62">
        <f t="shared" si="208"/>
        <v>638.59686934821627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0.85033586713189968</v>
      </c>
      <c r="DG203" s="23">
        <f>EXP(-LN(2)/25)*DG202+(1-EXP(-LN(2)/25))/(LN(2)/25)*Calculateur!DB203*Calculateur!DD203*VLOOKUP('Données projet'!$B$13,Paramètres!$A$1:$I$89,3,0)*0.475*44/12</f>
        <v>0.2426098052203611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1.0929456723522608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1.2108216370354488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1.2074023054862157</v>
      </c>
      <c r="BA205" s="88">
        <f>EXP(LN('Données projet'!B88)/'Données projet'!A88)</f>
        <v>1.2491049629975519</v>
      </c>
      <c r="BV205" s="88">
        <f>EXP(LN('Données projet'!B114)/'Données projet'!A114)</f>
        <v>1.2604589431695945</v>
      </c>
      <c r="CQ205" s="88">
        <f>EXP(LN('Données projet'!B140)/'Données projet'!A140)</f>
        <v>1.2491049629975519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14" sqref="N14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Cèdre de l'Atlas</v>
      </c>
      <c r="B6" s="155">
        <f>'Données projet'!D9</f>
        <v>2.61</v>
      </c>
      <c r="C6" s="156">
        <f ca="1">IF(OR('Données projet'!B9="",'Données projet'!C9="",'Données projet'!C9=0%),0,Calculateur!S3)</f>
        <v>309.95417097673084</v>
      </c>
      <c r="D6" s="156">
        <f>IF(OR('Données projet'!B9="",'Données projet'!C9="",'Données projet'!C9=0%),0,Calculateur!T3)</f>
        <v>170.83243426024433</v>
      </c>
      <c r="E6" s="156">
        <f ca="1">MIN(C6,D6)</f>
        <v>170.83243426024433</v>
      </c>
      <c r="F6" s="156">
        <f ca="1">E6*B6</f>
        <v>445.87265341923768</v>
      </c>
      <c r="G6" s="156">
        <f ca="1">F6*(100%-'Données projet'!$C$24)*(100%-'Données projet'!$C$25)*(100%-'Données projet'!$C$26)*(100%-'Données projet'!$C$27)</f>
        <v>341.09257986571686</v>
      </c>
      <c r="H6" s="157">
        <f>IF(OR('Données projet'!B9="",'Données projet'!C9="",'Données projet'!C9=0%),0,AVERAGE(Calculateur!$AC$3:$AC$33)*B6)</f>
        <v>0.47905093724471892</v>
      </c>
      <c r="I6" s="158">
        <f>H6*(100%-'Données projet'!$C$24)*(100%-'Données projet'!$C$25)*(100%-'Données projet'!$C$26)*(100%-'Données projet'!$C$27)</f>
        <v>0.36647396699220997</v>
      </c>
      <c r="J6" s="159">
        <f>IF(OR('Données projet'!B9="",'Données projet'!C9="",'Données projet'!C9=0%),0,SUM(Calculateur!$V$3:$V$33)*VLOOKUP('Données projet'!$B$9,Paramètres!$A$1:$I$89,9,0)*B6)</f>
        <v>13.400262</v>
      </c>
      <c r="K6" s="160">
        <f>J6*(100%-'Données projet'!$C$24)*(100%-'Données projet'!$C$25)*(100%-'Données projet'!$C$26)*(100%-'Données projet'!$C$27)</f>
        <v>10.251200429999999</v>
      </c>
      <c r="L6" s="161">
        <f ca="1">G6+I6+K6</f>
        <v>351.71025426270904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Chêne pubescent</v>
      </c>
      <c r="B7" s="163">
        <f>'Données projet'!D10</f>
        <v>2.5229999999999997</v>
      </c>
      <c r="C7" s="156">
        <f ca="1">IF(OR('Données projet'!B10="",'Données projet'!C10="",'Données projet'!C10=0%),0,Calculateur!AN3)</f>
        <v>408.65944152905672</v>
      </c>
      <c r="D7" s="156">
        <f>IF(OR('Données projet'!B10="",'Données projet'!C10="",'Données projet'!C10=0%),0,Calculateur!AO3)</f>
        <v>248.55239719988651</v>
      </c>
      <c r="E7" s="156">
        <f t="shared" ref="E7:E15" ca="1" si="0">MIN(C7,D7)</f>
        <v>248.55239719988651</v>
      </c>
      <c r="F7" s="156">
        <f t="shared" ref="F7:F15" ca="1" si="1">E7*B7</f>
        <v>627.09769813531364</v>
      </c>
      <c r="G7" s="156">
        <f ca="1">F7*(100%-'Données projet'!$C$24)*(100%-'Données projet'!$C$25)*(100%-'Données projet'!$C$26)*(100%-'Données projet'!$C$27)</f>
        <v>479.72973907351491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7.0202475</v>
      </c>
      <c r="K7" s="160">
        <f>J7*(100%-'Données projet'!$C$24)*(100%-'Données projet'!$C$25)*(100%-'Données projet'!$C$26)*(100%-'Données projet'!$C$27)</f>
        <v>5.3704893375000005</v>
      </c>
      <c r="L7" s="161">
        <f t="shared" ref="L7:L15" ca="1" si="2">G7+I7+K7</f>
        <v>485.10022841101488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Alisier torminal</v>
      </c>
      <c r="B8" s="163">
        <f>'Données projet'!D11</f>
        <v>0.95699999999999996</v>
      </c>
      <c r="C8" s="156">
        <f ca="1">IF(OR('Données projet'!B11="",'Données projet'!C11="",'Données projet'!C11=0%),0,Calculateur!BI3)</f>
        <v>643.38601112255424</v>
      </c>
      <c r="D8" s="156">
        <f>IF(OR('Données projet'!B11="",'Données projet'!C11="",'Données projet'!C11=0%),0,Calculateur!BJ3)</f>
        <v>572.76381622085694</v>
      </c>
      <c r="E8" s="156">
        <f t="shared" ca="1" si="0"/>
        <v>572.76381622085694</v>
      </c>
      <c r="F8" s="156">
        <f t="shared" ca="1" si="1"/>
        <v>548.13497212336006</v>
      </c>
      <c r="G8" s="156">
        <f ca="1">F8*(100%-'Données projet'!$C$24)*(100%-'Données projet'!$C$25)*(100%-'Données projet'!$C$26)*(100%-'Données projet'!$C$27)</f>
        <v>419.32325367437045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6.2204999999999995</v>
      </c>
      <c r="K8" s="160">
        <f>J8*(100%-'Données projet'!$C$24)*(100%-'Données projet'!$C$25)*(100%-'Données projet'!$C$26)*(100%-'Données projet'!$C$27)</f>
        <v>4.7586824999999999</v>
      </c>
      <c r="L8" s="161">
        <f t="shared" ca="1" si="2"/>
        <v>424.08193617437047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Tilleul</v>
      </c>
      <c r="B9" s="163">
        <f>'Données projet'!D12</f>
        <v>0.87</v>
      </c>
      <c r="C9" s="156">
        <f ca="1">IF(OR('Données projet'!B12="",'Données projet'!C12="",'Données projet'!C12=0%),0,Calculateur!CD3)</f>
        <v>323.41415875740768</v>
      </c>
      <c r="D9" s="156">
        <f>IF(OR('Données projet'!B12="",'Données projet'!C12="",'Données projet'!C12=0%),0,Calculateur!CE3)</f>
        <v>496.54020068152101</v>
      </c>
      <c r="E9" s="156">
        <f t="shared" ca="1" si="0"/>
        <v>323.41415875740768</v>
      </c>
      <c r="F9" s="156">
        <f t="shared" ca="1" si="1"/>
        <v>281.37031811894468</v>
      </c>
      <c r="G9" s="156">
        <f ca="1">F9*(100%-'Données projet'!$C$24)*(100%-'Données projet'!$C$25)*(100%-'Données projet'!$C$26)*(100%-'Données projet'!$C$27)</f>
        <v>215.24829336099268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7.0905000000000005</v>
      </c>
      <c r="K9" s="160">
        <f>J9*(100%-'Données projet'!$C$24)*(100%-'Données projet'!$C$25)*(100%-'Données projet'!$C$26)*(100%-'Données projet'!$C$27)</f>
        <v>5.4242325000000005</v>
      </c>
      <c r="L9" s="161">
        <f t="shared" ca="1" si="2"/>
        <v>220.67252586099266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Cormier</v>
      </c>
      <c r="B10" s="163">
        <f>'Données projet'!D13</f>
        <v>1.74</v>
      </c>
      <c r="C10" s="156">
        <f ca="1">IF(OR('Données projet'!B13="",'Données projet'!C13="",'Données projet'!C13=0%),0,Calculateur!CY3)</f>
        <v>720.47588458554264</v>
      </c>
      <c r="D10" s="156">
        <f>IF(OR('Données projet'!B13="",'Données projet'!C13="",'Données projet'!C13=0%),0,Calculateur!CZ3)</f>
        <v>638.59686934821627</v>
      </c>
      <c r="E10" s="156">
        <f t="shared" ca="1" si="0"/>
        <v>638.59686934821627</v>
      </c>
      <c r="F10" s="156">
        <f t="shared" ca="1" si="1"/>
        <v>1111.1585526658964</v>
      </c>
      <c r="G10" s="156">
        <f ca="1">F10*(100%-'Données projet'!$C$24)*(100%-'Données projet'!$C$25)*(100%-'Données projet'!$C$26)*(100%-'Données projet'!$C$27)</f>
        <v>850.03629278941071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11.31</v>
      </c>
      <c r="K10" s="160">
        <f>J10*(100%-'Données projet'!$C$24)*(100%-'Données projet'!$C$25)*(100%-'Données projet'!$C$26)*(100%-'Données projet'!$C$27)</f>
        <v>8.6521500000000007</v>
      </c>
      <c r="L10" s="161">
        <f t="shared" ca="1" si="2"/>
        <v>858.68844278941071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3013.6341944627525</v>
      </c>
      <c r="G16" s="175">
        <f t="shared" ca="1" si="3"/>
        <v>2305.4301587640057</v>
      </c>
      <c r="H16" s="176">
        <f t="shared" si="3"/>
        <v>0.47905093724471892</v>
      </c>
      <c r="I16" s="176">
        <f t="shared" si="3"/>
        <v>0.36647396699220997</v>
      </c>
      <c r="J16" s="177">
        <f t="shared" si="3"/>
        <v>45.041509500000004</v>
      </c>
      <c r="K16" s="177">
        <f t="shared" si="3"/>
        <v>34.456754767500001</v>
      </c>
      <c r="L16" s="178">
        <f t="shared" ca="1" si="3"/>
        <v>2340.2533874984979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Alisier torminal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Tilleul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Cormier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N18" sqref="N1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363.88532208845618</v>
      </c>
      <c r="U10" s="190">
        <f>'Données projet'!D9</f>
        <v>2.61</v>
      </c>
      <c r="V10" s="189">
        <f>U10*T10</f>
        <v>949.74069065087053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301.98407904726264</v>
      </c>
      <c r="U11" s="190">
        <f>'Données projet'!D10</f>
        <v>2.5229999999999997</v>
      </c>
      <c r="V11" s="189">
        <f t="shared" ref="V11" si="0">U11*T11</f>
        <v>761.90583143624349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Alisier torminal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966.70477229179596</v>
      </c>
      <c r="U12" s="190">
        <f>'Données projet'!D11</f>
        <v>0.95699999999999996</v>
      </c>
      <c r="V12" s="189">
        <f t="shared" ref="V12:V19" si="1">U12*T12</f>
        <v>925.1364670832487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Tilleul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196.7401989143373</v>
      </c>
      <c r="U13" s="190">
        <f>'Données projet'!D12</f>
        <v>0.87</v>
      </c>
      <c r="V13" s="189">
        <f t="shared" si="1"/>
        <v>171.16397305547346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Cormier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966.70477229179596</v>
      </c>
      <c r="U14" s="190">
        <f>'Données projet'!D13</f>
        <v>1.74</v>
      </c>
      <c r="V14" s="189">
        <f t="shared" si="1"/>
        <v>1682.066303787725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30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299.99999999999994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6000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25</v>
      </c>
      <c r="B23" s="193">
        <f>'Données projet'!D36</f>
        <v>11.94</v>
      </c>
      <c r="C23" s="206">
        <v>11</v>
      </c>
      <c r="D23" s="194">
        <f>B23*C23</f>
        <v>131.34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-45462.139844034282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29</v>
      </c>
      <c r="B24" s="193">
        <f>'Données projet'!D37</f>
        <v>0</v>
      </c>
      <c r="C24" s="206">
        <v>12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696.87004047327775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30</v>
      </c>
      <c r="B25" s="193">
        <f>'Données projet'!D38</f>
        <v>0</v>
      </c>
      <c r="C25" s="206">
        <v>13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-46159.009884507563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34</v>
      </c>
      <c r="B26" s="193">
        <f>'Données projet'!D39</f>
        <v>0</v>
      </c>
      <c r="C26" s="206">
        <v>20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37</v>
      </c>
      <c r="B27" s="193">
        <f>'Données projet'!D40</f>
        <v>30.02</v>
      </c>
      <c r="C27" s="206">
        <v>26</v>
      </c>
      <c r="D27" s="194">
        <f t="shared" si="2"/>
        <v>780.52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49</v>
      </c>
      <c r="B28" s="193">
        <f>'Données projet'!D41</f>
        <v>48.13</v>
      </c>
      <c r="C28" s="206">
        <v>30</v>
      </c>
      <c r="D28" s="194">
        <f t="shared" si="2"/>
        <v>1443.9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61</v>
      </c>
      <c r="B29" s="193">
        <f>'Données projet'!D42</f>
        <v>61.1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73</v>
      </c>
      <c r="B30" s="193">
        <f>'Données projet'!D43</f>
        <v>72.87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85</v>
      </c>
      <c r="B31" s="193">
        <f>'Données projet'!D44</f>
        <v>83.46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25</v>
      </c>
      <c r="B54" s="193">
        <f>'Données projet'!D62</f>
        <v>11.13</v>
      </c>
      <c r="C54" s="204">
        <v>21</v>
      </c>
      <c r="D54" s="191">
        <f>B54*C54</f>
        <v>233.73000000000002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30</v>
      </c>
      <c r="B55" s="193">
        <f>'Données projet'!D63</f>
        <v>0</v>
      </c>
      <c r="C55" s="204">
        <v>17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37</v>
      </c>
      <c r="B56" s="193">
        <f>'Données projet'!D64</f>
        <v>15.35</v>
      </c>
      <c r="C56" s="204">
        <v>20</v>
      </c>
      <c r="D56" s="191">
        <f t="shared" si="4"/>
        <v>307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49</v>
      </c>
      <c r="B57" s="193">
        <f>'Données projet'!D65</f>
        <v>19.16</v>
      </c>
      <c r="C57" s="204">
        <v>23</v>
      </c>
      <c r="D57" s="191">
        <f t="shared" si="4"/>
        <v>440.68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61</v>
      </c>
      <c r="B58" s="193">
        <f>'Données projet'!D66</f>
        <v>22.58</v>
      </c>
      <c r="C58" s="204">
        <v>24</v>
      </c>
      <c r="D58" s="191">
        <f t="shared" si="4"/>
        <v>541.91999999999996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73</v>
      </c>
      <c r="B59" s="193">
        <f>'Données projet'!D67</f>
        <v>25.66</v>
      </c>
      <c r="C59" s="204">
        <v>26</v>
      </c>
      <c r="D59" s="191">
        <f t="shared" si="4"/>
        <v>667.16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85</v>
      </c>
      <c r="B60" s="193">
        <f>'Données projet'!D68</f>
        <v>28.44</v>
      </c>
      <c r="C60" s="204">
        <v>27</v>
      </c>
      <c r="D60" s="191">
        <f t="shared" si="4"/>
        <v>767.88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97</v>
      </c>
      <c r="B61" s="193">
        <f>'Données projet'!D69</f>
        <v>30.93</v>
      </c>
      <c r="C61" s="204">
        <v>27</v>
      </c>
      <c r="D61" s="191">
        <f t="shared" si="4"/>
        <v>835.11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109</v>
      </c>
      <c r="B62" s="193">
        <f>'Données projet'!D70</f>
        <v>33.18</v>
      </c>
      <c r="C62" s="204">
        <v>28</v>
      </c>
      <c r="D62" s="191">
        <f t="shared" si="4"/>
        <v>929.04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121</v>
      </c>
      <c r="B63" s="193">
        <f>'Données projet'!D71</f>
        <v>35.200000000000003</v>
      </c>
      <c r="C63" s="204">
        <v>28</v>
      </c>
      <c r="D63" s="191">
        <f t="shared" si="4"/>
        <v>985.60000000000014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133</v>
      </c>
      <c r="B64" s="193">
        <f>'Données projet'!D72</f>
        <v>37.020000000000003</v>
      </c>
      <c r="C64" s="204">
        <v>29</v>
      </c>
      <c r="D64" s="191">
        <f t="shared" si="4"/>
        <v>1073.5800000000002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145</v>
      </c>
      <c r="B65" s="193">
        <f>'Données projet'!D73</f>
        <v>38.659999999999997</v>
      </c>
      <c r="C65" s="204">
        <v>29</v>
      </c>
      <c r="D65" s="191">
        <f t="shared" si="4"/>
        <v>1121.1399999999999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157</v>
      </c>
      <c r="B66" s="193">
        <f>'Données projet'!D74</f>
        <v>40.130000000000003</v>
      </c>
      <c r="C66" s="204">
        <v>29</v>
      </c>
      <c r="D66" s="191">
        <f t="shared" si="4"/>
        <v>1163.77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169</v>
      </c>
      <c r="B67" s="193">
        <f>'Données projet'!D75</f>
        <v>41.46</v>
      </c>
      <c r="C67" s="204">
        <v>29</v>
      </c>
      <c r="D67" s="191">
        <f t="shared" si="4"/>
        <v>1202.3399999999999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181</v>
      </c>
      <c r="B68" s="193">
        <f>'Données projet'!D76</f>
        <v>42.65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Alisier torminal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str">
        <f>IF(O82+1&lt;=MIN('Données projet'!$E$9:$E$18),O82+1,"STOP")</f>
        <v>STOP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25</v>
      </c>
      <c r="B85" s="193">
        <f>'Données projet'!D88</f>
        <v>26</v>
      </c>
      <c r="C85" s="204">
        <v>10</v>
      </c>
      <c r="D85" s="191">
        <f>B85*C85</f>
        <v>260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30</v>
      </c>
      <c r="B86" s="193">
        <f>'Données projet'!D89</f>
        <v>0</v>
      </c>
      <c r="C86" s="204">
        <v>10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37</v>
      </c>
      <c r="B87" s="193">
        <f>'Données projet'!D90</f>
        <v>35.880000000000003</v>
      </c>
      <c r="C87" s="204">
        <v>10</v>
      </c>
      <c r="D87" s="191">
        <f t="shared" si="6"/>
        <v>358.8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49</v>
      </c>
      <c r="B88" s="193">
        <f>'Données projet'!D91</f>
        <v>44.77</v>
      </c>
      <c r="C88" s="204">
        <v>53</v>
      </c>
      <c r="D88" s="191">
        <f t="shared" si="6"/>
        <v>2372.81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61</v>
      </c>
      <c r="B89" s="193">
        <f>'Données projet'!D92</f>
        <v>52.77</v>
      </c>
      <c r="C89" s="204">
        <v>81</v>
      </c>
      <c r="D89" s="191">
        <f t="shared" si="6"/>
        <v>4274.37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73</v>
      </c>
      <c r="B90" s="193">
        <f>'Données projet'!D93</f>
        <v>59.98</v>
      </c>
      <c r="C90" s="204">
        <v>101</v>
      </c>
      <c r="D90" s="191">
        <f t="shared" si="6"/>
        <v>6057.98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85</v>
      </c>
      <c r="B91" s="193">
        <f>'Données projet'!D94</f>
        <v>66.459999999999994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Tilleul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25</v>
      </c>
      <c r="B116" s="193">
        <f>'Données projet'!D114</f>
        <v>32.6</v>
      </c>
      <c r="C116" s="204">
        <v>10</v>
      </c>
      <c r="D116" s="191">
        <f>B116*C116</f>
        <v>326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30</v>
      </c>
      <c r="B117" s="193">
        <f>'Données projet'!D115</f>
        <v>0</v>
      </c>
      <c r="C117" s="204">
        <v>10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37</v>
      </c>
      <c r="B118" s="193">
        <f>'Données projet'!D116</f>
        <v>44.99</v>
      </c>
      <c r="C118" s="204">
        <v>10</v>
      </c>
      <c r="D118" s="191">
        <f t="shared" si="8"/>
        <v>449.90000000000003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49</v>
      </c>
      <c r="B119" s="193">
        <f>'Données projet'!D117</f>
        <v>56.14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Cormier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25</v>
      </c>
      <c r="B147" s="187">
        <f>'Données projet'!D140</f>
        <v>26</v>
      </c>
      <c r="C147" s="204">
        <v>10</v>
      </c>
      <c r="D147" s="194">
        <f>B147*C147</f>
        <v>260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30</v>
      </c>
      <c r="B148" s="187">
        <f>'Données projet'!D141</f>
        <v>0</v>
      </c>
      <c r="C148" s="204">
        <v>10</v>
      </c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37</v>
      </c>
      <c r="B149" s="187">
        <f>'Données projet'!D142</f>
        <v>35.880000000000003</v>
      </c>
      <c r="C149" s="204">
        <v>10</v>
      </c>
      <c r="D149" s="194">
        <f t="shared" si="10"/>
        <v>358.8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49</v>
      </c>
      <c r="B150" s="187">
        <f>'Données projet'!D143</f>
        <v>44.77</v>
      </c>
      <c r="C150" s="204">
        <v>53</v>
      </c>
      <c r="D150" s="194">
        <f t="shared" si="10"/>
        <v>2372.81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61</v>
      </c>
      <c r="B151" s="187">
        <f>'Données projet'!D144</f>
        <v>52.77</v>
      </c>
      <c r="C151" s="204">
        <v>81</v>
      </c>
      <c r="D151" s="194">
        <f t="shared" si="10"/>
        <v>4274.37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73</v>
      </c>
      <c r="B152" s="187">
        <f>'Données projet'!D145</f>
        <v>59.98</v>
      </c>
      <c r="C152" s="204">
        <v>101</v>
      </c>
      <c r="D152" s="194">
        <f t="shared" si="10"/>
        <v>6057.98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85</v>
      </c>
      <c r="B153" s="187">
        <f>'Données projet'!D146</f>
        <v>66.459999999999994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Victor</cp:lastModifiedBy>
  <dcterms:created xsi:type="dcterms:W3CDTF">2021-02-01T08:22:39Z</dcterms:created>
  <dcterms:modified xsi:type="dcterms:W3CDTF">2023-04-18T16:54:42Z</dcterms:modified>
</cp:coreProperties>
</file>