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eane.CORNU\Nextcloud\Projets carbone Nouvelle Aquitaine\Mr DERIS - BME - Mérignac - Boisement\Montage dossier\"/>
    </mc:Choice>
  </mc:AlternateContent>
  <bookViews>
    <workbookView xWindow="0" yWindow="0" windowWidth="23040" windowHeight="8808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5" i="1" l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D171" i="1"/>
  <c r="B171" i="1"/>
  <c r="B121" i="1"/>
  <c r="B120" i="1"/>
  <c r="B119" i="1"/>
  <c r="B118" i="1"/>
  <c r="B117" i="1"/>
  <c r="B116" i="1"/>
  <c r="B80" i="1"/>
  <c r="B79" i="1"/>
  <c r="D78" i="1"/>
  <c r="B78" i="1"/>
  <c r="B77" i="1"/>
  <c r="D76" i="1"/>
  <c r="B76" i="1"/>
  <c r="B75" i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64" i="1"/>
  <c r="B64" i="1"/>
  <c r="B115" i="1"/>
  <c r="B155" i="1" l="1"/>
  <c r="B154" i="1"/>
  <c r="B153" i="1"/>
  <c r="B152" i="1"/>
  <c r="B151" i="1"/>
  <c r="B149" i="1"/>
  <c r="B150" i="1"/>
  <c r="B148" i="1"/>
  <c r="B147" i="1"/>
  <c r="B146" i="1"/>
  <c r="B145" i="1"/>
  <c r="B144" i="1"/>
  <c r="B143" i="1"/>
  <c r="D152" i="1"/>
  <c r="D150" i="1"/>
  <c r="D148" i="1"/>
  <c r="D146" i="1"/>
  <c r="D144" i="1"/>
  <c r="D142" i="1"/>
  <c r="B142" i="1"/>
  <c r="B141" i="1"/>
  <c r="B140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AC154" i="2"/>
  <c r="DI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D155" i="2" l="1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CN156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ED163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C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CN193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B195" i="2" l="1"/>
  <c r="EA195" i="2"/>
  <c r="ED194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EB201" i="2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7" i="2" a="1"/>
  <c r="BC7" i="2" s="1"/>
  <c r="BC83" i="2" a="1"/>
  <c r="BC83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BC38" i="2" a="1"/>
  <c r="BC38" i="2" s="1"/>
  <c r="BC31" i="2" a="1"/>
  <c r="BC31" i="2" s="1"/>
  <c r="BC32" i="2" a="1"/>
  <c r="BC32" i="2" s="1"/>
  <c r="BC164" i="2" a="1"/>
  <c r="BC164" i="2" s="1"/>
  <c r="BC114" i="2" a="1"/>
  <c r="BC114" i="2" s="1"/>
  <c r="BC34" i="2" a="1"/>
  <c r="BC34" i="2" s="1"/>
  <c r="BC181" i="2" a="1"/>
  <c r="BC181" i="2" s="1"/>
  <c r="BC18" i="2" a="1"/>
  <c r="BC18" i="2" s="1"/>
  <c r="BC84" i="2" a="1"/>
  <c r="BC84" i="2" s="1"/>
  <c r="BC65" i="2" a="1"/>
  <c r="BC65" i="2" s="1"/>
  <c r="BC151" i="2" a="1"/>
  <c r="BC151" i="2" s="1"/>
  <c r="BC192" i="2" a="1"/>
  <c r="BC192" i="2" s="1"/>
  <c r="BC82" i="2" a="1"/>
  <c r="BC82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AH62" i="2" a="1"/>
  <c r="AH62" i="2" s="1"/>
  <c r="AH166" i="2" a="1"/>
  <c r="AH166" i="2" s="1"/>
  <c r="AH19" i="2" a="1"/>
  <c r="AH19" i="2" s="1"/>
  <c r="AH90" i="2" a="1"/>
  <c r="AH90" i="2" s="1"/>
  <c r="AH151" i="2" a="1"/>
  <c r="AH151" i="2" s="1"/>
  <c r="AH92" i="2" a="1"/>
  <c r="AH92" i="2" s="1"/>
  <c r="AH199" i="2" a="1"/>
  <c r="AH199" i="2" s="1"/>
  <c r="CS72" i="2" a="1"/>
  <c r="CS72" i="2" s="1"/>
  <c r="CS134" i="2" a="1"/>
  <c r="CS134" i="2" s="1"/>
  <c r="CS38" i="2" a="1"/>
  <c r="CS38" i="2" s="1"/>
  <c r="CS56" i="2" a="1"/>
  <c r="CS56" i="2" s="1"/>
  <c r="CS137" i="2" a="1"/>
  <c r="CS137" i="2" s="1"/>
  <c r="CS129" i="2" a="1"/>
  <c r="CS129" i="2" s="1"/>
  <c r="CS52" i="2" a="1"/>
  <c r="CS52" i="2" s="1"/>
  <c r="CS114" i="2" a="1"/>
  <c r="CS114" i="2" s="1"/>
  <c r="CS116" i="2" a="1"/>
  <c r="CS116" i="2" s="1"/>
  <c r="CS66" i="2" a="1"/>
  <c r="CS66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16" i="2" l="1"/>
  <c r="DT186" i="2"/>
  <c r="DT114" i="2"/>
  <c r="DT178" i="2"/>
  <c r="DT91" i="2"/>
  <c r="DT27" i="2"/>
  <c r="DT161" i="2"/>
  <c r="DT158" i="2"/>
  <c r="DT105" i="2"/>
  <c r="DT8" i="2"/>
  <c r="DT13" i="2"/>
  <c r="DT184" i="2"/>
  <c r="DT30" i="2"/>
  <c r="DT117" i="2"/>
  <c r="DT49" i="2"/>
  <c r="DT182" i="2"/>
  <c r="DT113" i="2"/>
  <c r="DT112" i="2"/>
  <c r="DT132" i="2"/>
  <c r="DT149" i="2"/>
  <c r="DT63" i="2"/>
  <c r="DT102" i="2"/>
  <c r="DT179" i="2"/>
  <c r="DT197" i="2"/>
  <c r="DT192" i="2"/>
  <c r="DT200" i="2"/>
  <c r="DT76" i="2"/>
  <c r="DT75" i="2"/>
  <c r="DT38" i="2"/>
  <c r="DT190" i="2"/>
  <c r="DT160" i="2"/>
  <c r="DT72" i="2"/>
  <c r="DT61" i="2"/>
  <c r="DT70" i="2"/>
  <c r="DT185" i="2"/>
  <c r="DT90" i="2"/>
  <c r="DT124" i="2"/>
  <c r="DT135" i="2"/>
  <c r="DT54" i="2"/>
  <c r="DT101" i="2"/>
  <c r="DT48" i="2"/>
  <c r="DT98" i="2"/>
  <c r="DT150" i="2"/>
  <c r="DT26" i="2"/>
  <c r="DT120" i="2"/>
  <c r="DT22" i="2"/>
  <c r="DT154" i="2"/>
  <c r="DT65" i="2"/>
  <c r="DT110" i="2"/>
  <c r="DT89" i="2"/>
  <c r="DT126" i="2"/>
  <c r="DT119" i="2"/>
  <c r="DT166" i="2"/>
  <c r="DT155" i="2"/>
  <c r="DT140" i="2"/>
  <c r="DT73" i="2"/>
  <c r="DT125" i="2"/>
  <c r="DT145" i="2"/>
  <c r="DT147" i="2"/>
  <c r="DT77" i="2"/>
  <c r="DT121" i="2"/>
  <c r="DT53" i="2"/>
  <c r="DT96" i="2"/>
  <c r="DT129" i="2"/>
  <c r="DT9" i="2"/>
  <c r="DT203" i="2"/>
  <c r="DT4" i="2"/>
  <c r="DT104" i="2"/>
  <c r="DT92" i="2"/>
  <c r="DT130" i="2"/>
  <c r="DT71" i="2"/>
  <c r="DT86" i="2"/>
  <c r="DT36" i="2"/>
  <c r="DT156" i="2"/>
  <c r="DT68" i="2"/>
  <c r="DT100" i="2"/>
  <c r="DT144" i="2"/>
  <c r="DT188" i="2"/>
  <c r="DT55" i="2"/>
  <c r="DT29" i="2"/>
  <c r="DT95" i="2"/>
  <c r="DT193" i="2"/>
  <c r="DT180" i="2"/>
  <c r="DT33" i="2"/>
  <c r="DT152" i="2"/>
  <c r="DT143" i="2"/>
  <c r="DT42" i="2"/>
  <c r="DT187" i="2"/>
  <c r="DT28" i="2"/>
  <c r="DT40" i="2"/>
  <c r="DT43" i="2"/>
  <c r="DT20" i="2"/>
  <c r="DT46" i="2"/>
  <c r="DT34" i="2"/>
  <c r="DT191" i="2"/>
  <c r="DT170" i="2"/>
  <c r="DT173" i="2"/>
  <c r="DT148" i="2"/>
  <c r="DT177" i="2"/>
  <c r="DT171" i="2"/>
  <c r="DT81" i="2"/>
  <c r="DT128" i="2"/>
  <c r="DT93" i="2"/>
  <c r="DT106" i="2"/>
  <c r="DT79" i="2"/>
  <c r="DT15" i="2"/>
  <c r="DT11" i="2"/>
  <c r="DT164" i="2"/>
  <c r="DT189" i="2"/>
  <c r="DT202" i="2"/>
  <c r="DT137" i="2"/>
  <c r="DT146" i="2"/>
  <c r="DT51" i="2"/>
  <c r="DT138" i="2"/>
  <c r="DT85" i="2"/>
  <c r="DT80" i="2"/>
  <c r="DT109" i="2"/>
  <c r="DT141" i="2"/>
  <c r="DT56" i="2"/>
  <c r="DT153" i="2"/>
  <c r="DT50" i="2"/>
  <c r="DT67" i="2"/>
  <c r="DT183" i="2"/>
  <c r="DT118" i="2"/>
  <c r="DT201" i="2"/>
  <c r="DT176" i="2"/>
  <c r="DT37" i="2"/>
  <c r="DT127" i="2"/>
  <c r="DT60" i="2"/>
  <c r="DT21" i="2"/>
  <c r="DT35" i="2"/>
  <c r="DT19" i="2"/>
  <c r="DT58" i="2"/>
  <c r="DT157" i="2"/>
  <c r="DT44" i="2"/>
  <c r="DT115" i="2"/>
  <c r="DT175" i="2"/>
  <c r="DT10" i="2"/>
  <c r="DT87" i="2"/>
  <c r="DT17" i="2"/>
  <c r="DT198" i="2"/>
  <c r="DT139" i="2"/>
  <c r="DT59" i="2"/>
  <c r="DT99" i="2"/>
  <c r="DT195" i="2"/>
  <c r="DT174" i="2"/>
  <c r="DT167" i="2"/>
  <c r="DT122" i="2"/>
  <c r="DT82" i="2"/>
  <c r="DT131" i="2"/>
  <c r="DT133" i="2"/>
  <c r="DT181" i="2"/>
  <c r="DT74" i="2"/>
  <c r="DT39" i="2"/>
  <c r="DT14" i="2"/>
  <c r="DT199" i="2"/>
  <c r="DT31" i="2"/>
  <c r="DT16" i="2"/>
  <c r="DT151" i="2"/>
  <c r="DT136" i="2"/>
  <c r="DT168" i="2"/>
  <c r="DT32" i="2"/>
  <c r="DT165" i="2"/>
  <c r="DT47" i="2"/>
  <c r="DT172" i="2"/>
  <c r="DT3" i="2"/>
  <c r="C11" i="4" s="1"/>
  <c r="E11" i="4" s="1"/>
  <c r="F11" i="4" s="1"/>
  <c r="G11" i="4" s="1"/>
  <c r="L11" i="4" s="1"/>
  <c r="DT18" i="2"/>
  <c r="DT159" i="2"/>
  <c r="DT97" i="2"/>
  <c r="DT24" i="2"/>
  <c r="DT163" i="2"/>
  <c r="DT196" i="2"/>
  <c r="DT5" i="2"/>
  <c r="DT45" i="2"/>
  <c r="DT62" i="2"/>
  <c r="DT12" i="2"/>
  <c r="DT52" i="2"/>
  <c r="DT78" i="2"/>
  <c r="DT107" i="2"/>
  <c r="DT108" i="2"/>
  <c r="DT23" i="2"/>
  <c r="DT111" i="2"/>
  <c r="DT123" i="2"/>
  <c r="DT94" i="2"/>
  <c r="DT84" i="2"/>
  <c r="DT134" i="2"/>
  <c r="DT7" i="2"/>
  <c r="DT6" i="2"/>
  <c r="DT66" i="2"/>
  <c r="DT142" i="2"/>
  <c r="DT194" i="2"/>
  <c r="DT83" i="2"/>
  <c r="DT25" i="2"/>
  <c r="DT88" i="2"/>
  <c r="DT162" i="2"/>
  <c r="DT169" i="2"/>
  <c r="DT69" i="2"/>
  <c r="DT57" i="2"/>
  <c r="DT64" i="2"/>
  <c r="DT103" i="2"/>
  <c r="DT4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<sst xmlns="http://schemas.openxmlformats.org/spreadsheetml/2006/main" count="1175" uniqueCount="324">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</sst>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5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/>
      <protection locked="0" hidden="1"/>
    </xf>
    <xf numFmtId="164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/>
    </xf>
    <xf numFmtId="0" fontId="9" fillId="14" borderId="1" xfId="0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197.83360065109466</c:v>
                </c:pt>
                <c:pt idx="42">
                  <c:v>208.78202813507104</c:v>
                </c:pt>
                <c:pt idx="43">
                  <c:v>219.71720575536787</c:v>
                </c:pt>
                <c:pt idx="44">
                  <c:v>230.63988637237389</c:v>
                </c:pt>
                <c:pt idx="45">
                  <c:v>241.5507456503326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252.45039317800016</c:v>
                </c:pt>
                <c:pt idx="52">
                  <c:v>263.33938156611003</c:v>
                </c:pt>
                <c:pt idx="53">
                  <c:v>274.21821395990338</c:v>
                </c:pt>
                <c:pt idx="54">
                  <c:v>285.08735029607658</c:v>
                </c:pt>
                <c:pt idx="55">
                  <c:v>295.94721255485496</c:v>
                </c:pt>
                <c:pt idx="56">
                  <c:v>252.06130672849841</c:v>
                </c:pt>
                <c:pt idx="57">
                  <c:v>262.56193918616856</c:v>
                </c:pt>
                <c:pt idx="58">
                  <c:v>273.05309633794872</c:v>
                </c:pt>
                <c:pt idx="59">
                  <c:v>283.53519379457322</c:v>
                </c:pt>
                <c:pt idx="60">
                  <c:v>294.00861390700948</c:v>
                </c:pt>
                <c:pt idx="61">
                  <c:v>304.47370954373417</c:v>
                </c:pt>
                <c:pt idx="62">
                  <c:v>314.93080732119199</c:v>
                </c:pt>
                <c:pt idx="63">
                  <c:v>325.38021038250304</c:v>
                </c:pt>
                <c:pt idx="64">
                  <c:v>335.82220080037229</c:v>
                </c:pt>
                <c:pt idx="65">
                  <c:v>346.25704166537031</c:v>
                </c:pt>
                <c:pt idx="66">
                  <c:v>301.76131730306923</c:v>
                </c:pt>
                <c:pt idx="67">
                  <c:v>311.445977545365</c:v>
                </c:pt>
                <c:pt idx="68">
                  <c:v>321.12395650175074</c:v>
                </c:pt>
                <c:pt idx="69">
                  <c:v>330.79548404889391</c:v>
                </c:pt>
                <c:pt idx="70">
                  <c:v>340.46077551603139</c:v>
                </c:pt>
                <c:pt idx="71">
                  <c:v>350.1200330013915</c:v>
                </c:pt>
                <c:pt idx="72">
                  <c:v>359.77344653568463</c:v>
                </c:pt>
                <c:pt idx="73">
                  <c:v>369.42119511414558</c:v>
                </c:pt>
                <c:pt idx="74">
                  <c:v>379.06344761508916</c:v>
                </c:pt>
                <c:pt idx="75">
                  <c:v>388.70036362009404</c:v>
                </c:pt>
                <c:pt idx="76">
                  <c:v>343.55238507891909</c:v>
                </c:pt>
                <c:pt idx="77">
                  <c:v>352.43737829470524</c:v>
                </c:pt>
                <c:pt idx="78">
                  <c:v>361.31746248867267</c:v>
                </c:pt>
                <c:pt idx="79">
                  <c:v>370.19277539866533</c:v>
                </c:pt>
                <c:pt idx="80">
                  <c:v>379.06344761508905</c:v>
                </c:pt>
                <c:pt idx="81">
                  <c:v>387.54421039387489</c:v>
                </c:pt>
                <c:pt idx="82">
                  <c:v>396.02094395444254</c:v>
                </c:pt>
                <c:pt idx="83">
                  <c:v>404.49374675366954</c:v>
                </c:pt>
                <c:pt idx="84">
                  <c:v>412.96271278491639</c:v>
                </c:pt>
                <c:pt idx="85">
                  <c:v>421.42793186976093</c:v>
                </c:pt>
                <c:pt idx="86">
                  <c:v>375.20719573147318</c:v>
                </c:pt>
                <c:pt idx="87">
                  <c:v>382.9188457551441</c:v>
                </c:pt>
                <c:pt idx="88">
                  <c:v>390.62711987431993</c:v>
                </c:pt>
                <c:pt idx="89">
                  <c:v>398.33209414857441</c:v>
                </c:pt>
                <c:pt idx="90">
                  <c:v>406.03384145295371</c:v>
                </c:pt>
                <c:pt idx="91">
                  <c:v>413.73243167051174</c:v>
                </c:pt>
                <c:pt idx="92">
                  <c:v>421.42793186976093</c:v>
                </c:pt>
                <c:pt idx="93">
                  <c:v>429.12040646848055</c:v>
                </c:pt>
                <c:pt idx="94">
                  <c:v>436.80991738516144</c:v>
                </c:pt>
                <c:pt idx="95">
                  <c:v>444.49652417922852</c:v>
                </c:pt>
                <c:pt idx="96">
                  <c:v>397.1765554729339</c:v>
                </c:pt>
                <c:pt idx="97">
                  <c:v>403.72365187948748</c:v>
                </c:pt>
                <c:pt idx="98">
                  <c:v>410.26845241067696</c:v>
                </c:pt>
                <c:pt idx="99">
                  <c:v>416.81099888731978</c:v>
                </c:pt>
                <c:pt idx="100">
                  <c:v>423.35133170920335</c:v>
                </c:pt>
                <c:pt idx="101">
                  <c:v>429.8894899250642</c:v>
                </c:pt>
                <c:pt idx="102">
                  <c:v>436.42551129808612</c:v>
                </c:pt>
                <c:pt idx="103">
                  <c:v>442.95943236726771</c:v>
                </c:pt>
                <c:pt idx="104">
                  <c:v>449.49128850497829</c:v>
                </c:pt>
                <c:pt idx="105">
                  <c:v>456.02111397099458</c:v>
                </c:pt>
                <c:pt idx="106">
                  <c:v>407.9587823175745</c:v>
                </c:pt>
                <c:pt idx="107">
                  <c:v>413.73243167051174</c:v>
                </c:pt>
                <c:pt idx="108">
                  <c:v>419.5043429424822</c:v>
                </c:pt>
                <c:pt idx="109">
                  <c:v>425.27454344239982</c:v>
                </c:pt>
                <c:pt idx="110">
                  <c:v>431.04305967702015</c:v>
                </c:pt>
                <c:pt idx="111">
                  <c:v>436.8099173851615</c:v>
                </c:pt>
                <c:pt idx="112">
                  <c:v>442.57514157002379</c:v>
                </c:pt>
                <c:pt idx="113">
                  <c:v>448.33875652973501</c:v>
                </c:pt>
                <c:pt idx="114">
                  <c:v>454.10078588624395</c:v>
                </c:pt>
                <c:pt idx="115">
                  <c:v>459.86125261266943</c:v>
                </c:pt>
                <c:pt idx="116">
                  <c:v>414.50211965810945</c:v>
                </c:pt>
                <c:pt idx="117">
                  <c:v>419.11960237942071</c:v>
                </c:pt>
                <c:pt idx="118">
                  <c:v>423.73598907310151</c:v>
                </c:pt>
                <c:pt idx="119">
                  <c:v>428.35129337702182</c:v>
                </c:pt>
                <c:pt idx="120">
                  <c:v>432.96552861089236</c:v>
                </c:pt>
                <c:pt idx="121">
                  <c:v>437.57870778707621</c:v>
                </c:pt>
                <c:pt idx="122">
                  <c:v>442.19084362091752</c:v>
                </c:pt>
                <c:pt idx="123">
                  <c:v>446.80194854062</c:v>
                </c:pt>
                <c:pt idx="124">
                  <c:v>451.41203469669335</c:v>
                </c:pt>
                <c:pt idx="125">
                  <c:v>456.02111397099469</c:v>
                </c:pt>
                <c:pt idx="126">
                  <c:v>415.65659384912692</c:v>
                </c:pt>
                <c:pt idx="127">
                  <c:v>419.50434294248231</c:v>
                </c:pt>
                <c:pt idx="128">
                  <c:v>423.35133170920352</c:v>
                </c:pt>
                <c:pt idx="129">
                  <c:v>427.19756804132612</c:v>
                </c:pt>
                <c:pt idx="130">
                  <c:v>431.04305967702021</c:v>
                </c:pt>
                <c:pt idx="131">
                  <c:v>434.88781420496667</c:v>
                </c:pt>
                <c:pt idx="132">
                  <c:v>438.73183906857139</c:v>
                </c:pt>
                <c:pt idx="133">
                  <c:v>442.57514157002396</c:v>
                </c:pt>
                <c:pt idx="134">
                  <c:v>446.41772887420757</c:v>
                </c:pt>
                <c:pt idx="135">
                  <c:v>450.25960801246765</c:v>
                </c:pt>
                <c:pt idx="136">
                  <c:v>416.81099888731984</c:v>
                </c:pt>
                <c:pt idx="137">
                  <c:v>419.88907590240797</c:v>
                </c:pt>
                <c:pt idx="138">
                  <c:v>422.96666682108616</c:v>
                </c:pt>
                <c:pt idx="139">
                  <c:v>426.043775683972</c:v>
                </c:pt>
                <c:pt idx="140">
                  <c:v>429.12040646848072</c:v>
                </c:pt>
                <c:pt idx="141">
                  <c:v>432.1965630902701</c:v>
                </c:pt>
                <c:pt idx="142">
                  <c:v>435.27224940464248</c:v>
                </c:pt>
                <c:pt idx="143">
                  <c:v>438.34746920790491</c:v>
                </c:pt>
                <c:pt idx="144">
                  <c:v>441.42222623868821</c:v>
                </c:pt>
                <c:pt idx="145">
                  <c:v>444.49652417922863</c:v>
                </c:pt>
                <c:pt idx="146">
                  <c:v>446.80194854061989</c:v>
                </c:pt>
                <c:pt idx="147">
                  <c:v>449.10711821530077</c:v>
                </c:pt>
                <c:pt idx="148">
                  <c:v>451.41203469669318</c:v>
                </c:pt>
                <c:pt idx="149">
                  <c:v>453.71669946170431</c:v>
                </c:pt>
                <c:pt idx="150">
                  <c:v>456.02111397099435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942080"/>
        <c:axId val="-1707930656"/>
      </c:scatterChart>
      <c:valAx>
        <c:axId val="-17079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930656"/>
        <c:crosses val="autoZero"/>
        <c:crossBetween val="midCat"/>
      </c:valAx>
      <c:valAx>
        <c:axId val="-170793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9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18204752"/>
        <c:axId val="-1718210192"/>
      </c:scatterChart>
      <c:valAx>
        <c:axId val="-1718204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8210192"/>
        <c:crosses val="autoZero"/>
        <c:crossBetween val="midCat"/>
      </c:valAx>
      <c:valAx>
        <c:axId val="-171821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8204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205.15653155887529</c:v>
                </c:pt>
                <c:pt idx="27">
                  <c:v>220.24209728386407</c:v>
                </c:pt>
                <c:pt idx="28">
                  <c:v>235.30394147234665</c:v>
                </c:pt>
                <c:pt idx="29">
                  <c:v>250.34379664975143</c:v>
                </c:pt>
                <c:pt idx="30">
                  <c:v>265.36317005758787</c:v>
                </c:pt>
                <c:pt idx="31">
                  <c:v>205.53397529366748</c:v>
                </c:pt>
                <c:pt idx="32">
                  <c:v>219.11152587483454</c:v>
                </c:pt>
                <c:pt idx="33">
                  <c:v>232.66975188863583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272.86559571589578</c:v>
                </c:pt>
                <c:pt idx="37">
                  <c:v>285.9837682029551</c:v>
                </c:pt>
                <c:pt idx="38">
                  <c:v>299.08847869495412</c:v>
                </c:pt>
                <c:pt idx="39">
                  <c:v>312.18040027213078</c:v>
                </c:pt>
                <c:pt idx="40">
                  <c:v>325.26014493454323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321.52428406625791</c:v>
                </c:pt>
                <c:pt idx="47">
                  <c:v>332.72903457884462</c:v>
                </c:pt>
                <c:pt idx="48">
                  <c:v>343.92546889640727</c:v>
                </c:pt>
                <c:pt idx="49">
                  <c:v>355.11389600890448</c:v>
                </c:pt>
                <c:pt idx="50">
                  <c:v>366.29460383970871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355.11389600890431</c:v>
                </c:pt>
                <c:pt idx="57">
                  <c:v>364.43167696167421</c:v>
                </c:pt>
                <c:pt idx="58">
                  <c:v>373.74425409046006</c:v>
                </c:pt>
                <c:pt idx="59">
                  <c:v>383.05177541071208</c:v>
                </c:pt>
                <c:pt idx="60">
                  <c:v>392.35438115419714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379.70164117358587</c:v>
                </c:pt>
                <c:pt idx="67">
                  <c:v>387.51763127886653</c:v>
                </c:pt>
                <c:pt idx="68">
                  <c:v>395.33019874057248</c:v>
                </c:pt>
                <c:pt idx="69">
                  <c:v>403.13942078264904</c:v>
                </c:pt>
                <c:pt idx="70">
                  <c:v>410.94537139118688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394.58629002009144</c:v>
                </c:pt>
                <c:pt idx="77">
                  <c:v>400.53671385047045</c:v>
                </c:pt>
                <c:pt idx="78">
                  <c:v>406.48522456571499</c:v>
                </c:pt>
                <c:pt idx="79">
                  <c:v>412.43185413738041</c:v>
                </c:pt>
                <c:pt idx="80">
                  <c:v>418.37663353903218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406.85694369927222</c:v>
                </c:pt>
                <c:pt idx="87">
                  <c:v>412.06024430985258</c:v>
                </c:pt>
                <c:pt idx="88">
                  <c:v>417.26212693788688</c:v>
                </c:pt>
                <c:pt idx="89">
                  <c:v>422.46261177230508</c:v>
                </c:pt>
                <c:pt idx="90">
                  <c:v>427.66171846396492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422.09119450330428</c:v>
                </c:pt>
                <c:pt idx="97">
                  <c:v>427.66171846396497</c:v>
                </c:pt>
                <c:pt idx="98">
                  <c:v>433.2306823305874</c:v>
                </c:pt>
                <c:pt idx="99">
                  <c:v>438.79810900392073</c:v>
                </c:pt>
                <c:pt idx="100">
                  <c:v>444.3640207556935</c:v>
                </c:pt>
                <c:pt idx="101">
                  <c:v>2.1466615206600508E-12</c:v>
                </c:pt>
                <c:pt idx="102">
                  <c:v>2.1466615206600508E-12</c:v>
                </c:pt>
                <c:pt idx="103">
                  <c:v>2.1466615206600508E-12</c:v>
                </c:pt>
                <c:pt idx="104">
                  <c:v>2.1466615206600508E-12</c:v>
                </c:pt>
                <c:pt idx="105">
                  <c:v>2.1466615206600508E-12</c:v>
                </c:pt>
                <c:pt idx="106">
                  <c:v>2.1466615206600508E-12</c:v>
                </c:pt>
                <c:pt idx="107">
                  <c:v>2.1466615206600508E-12</c:v>
                </c:pt>
                <c:pt idx="108">
                  <c:v>2.1466615206600508E-12</c:v>
                </c:pt>
                <c:pt idx="109">
                  <c:v>2.1466615206600508E-12</c:v>
                </c:pt>
                <c:pt idx="110">
                  <c:v>2.1466615206600508E-12</c:v>
                </c:pt>
                <c:pt idx="111">
                  <c:v>2.1466615206600508E-12</c:v>
                </c:pt>
                <c:pt idx="112">
                  <c:v>2.1466615206600508E-12</c:v>
                </c:pt>
                <c:pt idx="113">
                  <c:v>2.1466615206600508E-12</c:v>
                </c:pt>
                <c:pt idx="114">
                  <c:v>2.1466615206600508E-12</c:v>
                </c:pt>
                <c:pt idx="115">
                  <c:v>2.1466615206600508E-12</c:v>
                </c:pt>
                <c:pt idx="116">
                  <c:v>2.1466615206600508E-12</c:v>
                </c:pt>
                <c:pt idx="117">
                  <c:v>2.1466615206600508E-12</c:v>
                </c:pt>
                <c:pt idx="118">
                  <c:v>2.1466615206600508E-12</c:v>
                </c:pt>
                <c:pt idx="119">
                  <c:v>2.1466615206600508E-12</c:v>
                </c:pt>
                <c:pt idx="120">
                  <c:v>2.1466615206600508E-12</c:v>
                </c:pt>
                <c:pt idx="121">
                  <c:v>2.1466615206600508E-12</c:v>
                </c:pt>
                <c:pt idx="122">
                  <c:v>2.1466615206600508E-12</c:v>
                </c:pt>
                <c:pt idx="123">
                  <c:v>2.1466615206600508E-12</c:v>
                </c:pt>
                <c:pt idx="124">
                  <c:v>2.1466615206600508E-12</c:v>
                </c:pt>
                <c:pt idx="125">
                  <c:v>2.1466615206600508E-12</c:v>
                </c:pt>
                <c:pt idx="126">
                  <c:v>2.1466615206600508E-12</c:v>
                </c:pt>
                <c:pt idx="127">
                  <c:v>2.1466615206600508E-12</c:v>
                </c:pt>
                <c:pt idx="128">
                  <c:v>2.1466615206600508E-12</c:v>
                </c:pt>
                <c:pt idx="129">
                  <c:v>2.1466615206600508E-12</c:v>
                </c:pt>
                <c:pt idx="130">
                  <c:v>2.1466615206600508E-12</c:v>
                </c:pt>
                <c:pt idx="131">
                  <c:v>2.1466615206600508E-12</c:v>
                </c:pt>
                <c:pt idx="132">
                  <c:v>2.1466615206600508E-12</c:v>
                </c:pt>
                <c:pt idx="133">
                  <c:v>2.1466615206600508E-12</c:v>
                </c:pt>
                <c:pt idx="134">
                  <c:v>2.1466615206600508E-12</c:v>
                </c:pt>
                <c:pt idx="135">
                  <c:v>2.1466615206600508E-12</c:v>
                </c:pt>
                <c:pt idx="136">
                  <c:v>2.1466615206600508E-12</c:v>
                </c:pt>
                <c:pt idx="137">
                  <c:v>2.1466615206600508E-12</c:v>
                </c:pt>
                <c:pt idx="138">
                  <c:v>2.1466615206600508E-12</c:v>
                </c:pt>
                <c:pt idx="139">
                  <c:v>2.1466615206600508E-12</c:v>
                </c:pt>
                <c:pt idx="140">
                  <c:v>2.1466615206600508E-12</c:v>
                </c:pt>
                <c:pt idx="141">
                  <c:v>2.1466615206600508E-12</c:v>
                </c:pt>
                <c:pt idx="142">
                  <c:v>2.1466615206600508E-12</c:v>
                </c:pt>
                <c:pt idx="143">
                  <c:v>2.1466615206600508E-12</c:v>
                </c:pt>
                <c:pt idx="144">
                  <c:v>2.1466615206600508E-12</c:v>
                </c:pt>
                <c:pt idx="145">
                  <c:v>2.1466615206600508E-12</c:v>
                </c:pt>
                <c:pt idx="146">
                  <c:v>2.1466615206600508E-12</c:v>
                </c:pt>
                <c:pt idx="147">
                  <c:v>2.1466615206600508E-12</c:v>
                </c:pt>
                <c:pt idx="148">
                  <c:v>2.1466615206600508E-12</c:v>
                </c:pt>
                <c:pt idx="149">
                  <c:v>2.1466615206600508E-12</c:v>
                </c:pt>
                <c:pt idx="150">
                  <c:v>2.1466615206600508E-12</c:v>
                </c:pt>
                <c:pt idx="151">
                  <c:v>2.1466615206600508E-12</c:v>
                </c:pt>
                <c:pt idx="152">
                  <c:v>2.1466615206600508E-12</c:v>
                </c:pt>
                <c:pt idx="153">
                  <c:v>2.1466615206600508E-12</c:v>
                </c:pt>
                <c:pt idx="154">
                  <c:v>2.1466615206600508E-12</c:v>
                </c:pt>
                <c:pt idx="155">
                  <c:v>2.1466615206600508E-12</c:v>
                </c:pt>
                <c:pt idx="156">
                  <c:v>2.1466615206600508E-12</c:v>
                </c:pt>
                <c:pt idx="157">
                  <c:v>2.1466615206600508E-12</c:v>
                </c:pt>
                <c:pt idx="158">
                  <c:v>2.1466615206600508E-12</c:v>
                </c:pt>
                <c:pt idx="159">
                  <c:v>2.1466615206600508E-12</c:v>
                </c:pt>
                <c:pt idx="160">
                  <c:v>2.1466615206600508E-12</c:v>
                </c:pt>
                <c:pt idx="161">
                  <c:v>2.1466615206600508E-12</c:v>
                </c:pt>
                <c:pt idx="162">
                  <c:v>2.1466615206600508E-12</c:v>
                </c:pt>
                <c:pt idx="163">
                  <c:v>2.1466615206600508E-12</c:v>
                </c:pt>
                <c:pt idx="164">
                  <c:v>2.1466615206600508E-12</c:v>
                </c:pt>
                <c:pt idx="165">
                  <c:v>2.1466615206600508E-12</c:v>
                </c:pt>
                <c:pt idx="166">
                  <c:v>2.1466615206600508E-12</c:v>
                </c:pt>
                <c:pt idx="167">
                  <c:v>2.1466615206600508E-12</c:v>
                </c:pt>
                <c:pt idx="168">
                  <c:v>2.1466615206600508E-12</c:v>
                </c:pt>
                <c:pt idx="169">
                  <c:v>2.1466615206600508E-12</c:v>
                </c:pt>
                <c:pt idx="170">
                  <c:v>2.1466615206600508E-12</c:v>
                </c:pt>
                <c:pt idx="171">
                  <c:v>2.1466615206600508E-12</c:v>
                </c:pt>
                <c:pt idx="172">
                  <c:v>2.1466615206600508E-12</c:v>
                </c:pt>
                <c:pt idx="173">
                  <c:v>2.1466615206600508E-12</c:v>
                </c:pt>
                <c:pt idx="174">
                  <c:v>2.1466615206600508E-12</c:v>
                </c:pt>
                <c:pt idx="175">
                  <c:v>2.1466615206600508E-12</c:v>
                </c:pt>
                <c:pt idx="176">
                  <c:v>2.1466615206600508E-12</c:v>
                </c:pt>
                <c:pt idx="177">
                  <c:v>2.1466615206600508E-12</c:v>
                </c:pt>
                <c:pt idx="178">
                  <c:v>2.1466615206600508E-12</c:v>
                </c:pt>
                <c:pt idx="179">
                  <c:v>2.1466615206600508E-12</c:v>
                </c:pt>
                <c:pt idx="180">
                  <c:v>2.1466615206600508E-12</c:v>
                </c:pt>
                <c:pt idx="181">
                  <c:v>2.1466615206600508E-12</c:v>
                </c:pt>
                <c:pt idx="182">
                  <c:v>2.1466615206600508E-12</c:v>
                </c:pt>
                <c:pt idx="183">
                  <c:v>2.1466615206600508E-12</c:v>
                </c:pt>
                <c:pt idx="184">
                  <c:v>2.1466615206600508E-12</c:v>
                </c:pt>
                <c:pt idx="185">
                  <c:v>2.1466615206600508E-12</c:v>
                </c:pt>
                <c:pt idx="186">
                  <c:v>2.1466615206600508E-12</c:v>
                </c:pt>
                <c:pt idx="187">
                  <c:v>2.1466615206600508E-12</c:v>
                </c:pt>
                <c:pt idx="188">
                  <c:v>2.1466615206600508E-12</c:v>
                </c:pt>
                <c:pt idx="189">
                  <c:v>2.1466615206600508E-12</c:v>
                </c:pt>
                <c:pt idx="190">
                  <c:v>2.1466615206600508E-12</c:v>
                </c:pt>
                <c:pt idx="191">
                  <c:v>2.1466615206600508E-12</c:v>
                </c:pt>
                <c:pt idx="192">
                  <c:v>2.1466615206600508E-12</c:v>
                </c:pt>
                <c:pt idx="193">
                  <c:v>2.1466615206600508E-12</c:v>
                </c:pt>
                <c:pt idx="194">
                  <c:v>2.1466615206600508E-12</c:v>
                </c:pt>
                <c:pt idx="195">
                  <c:v>2.1466615206600508E-12</c:v>
                </c:pt>
                <c:pt idx="196">
                  <c:v>2.1466615206600508E-12</c:v>
                </c:pt>
                <c:pt idx="197">
                  <c:v>2.1466615206600508E-12</c:v>
                </c:pt>
                <c:pt idx="198">
                  <c:v>2.1466615206600508E-12</c:v>
                </c:pt>
                <c:pt idx="199">
                  <c:v>2.1466615206600508E-12</c:v>
                </c:pt>
                <c:pt idx="200">
                  <c:v>2.1466615206600508E-12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944256"/>
        <c:axId val="-1707939904"/>
      </c:scatterChart>
      <c:valAx>
        <c:axId val="-170794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939904"/>
        <c:crosses val="autoZero"/>
        <c:crossBetween val="midCat"/>
      </c:valAx>
      <c:valAx>
        <c:axId val="-170793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94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2.1180139732612671</c:v>
                </c:pt>
                <c:pt idx="2">
                  <c:v>2.8930352277757714</c:v>
                </c:pt>
                <c:pt idx="3">
                  <c:v>3.9528563294914054</c:v>
                </c:pt>
                <c:pt idx="4">
                  <c:v>5.4025506025518295</c:v>
                </c:pt>
                <c:pt idx="5">
                  <c:v>7.3861004857514656</c:v>
                </c:pt>
                <c:pt idx="6">
                  <c:v>10.100855037538478</c:v>
                </c:pt>
                <c:pt idx="7">
                  <c:v>13.817376284253774</c:v>
                </c:pt>
                <c:pt idx="8">
                  <c:v>18.906688773103248</c:v>
                </c:pt>
                <c:pt idx="9">
                  <c:v>25.877701614343255</c:v>
                </c:pt>
                <c:pt idx="10">
                  <c:v>35.428610803418827</c:v>
                </c:pt>
                <c:pt idx="11">
                  <c:v>48.517518453192395</c:v>
                </c:pt>
                <c:pt idx="12">
                  <c:v>66.459471748081853</c:v>
                </c:pt>
                <c:pt idx="13">
                  <c:v>89.518491602178926</c:v>
                </c:pt>
                <c:pt idx="14">
                  <c:v>115.34507792286411</c:v>
                </c:pt>
                <c:pt idx="15">
                  <c:v>107.7353130524844</c:v>
                </c:pt>
                <c:pt idx="16">
                  <c:v>121.79757291627975</c:v>
                </c:pt>
                <c:pt idx="17">
                  <c:v>137.94887635398439</c:v>
                </c:pt>
                <c:pt idx="18">
                  <c:v>155.82325453701938</c:v>
                </c:pt>
                <c:pt idx="19">
                  <c:v>178.71809195658315</c:v>
                </c:pt>
                <c:pt idx="20">
                  <c:v>156.01113549659763</c:v>
                </c:pt>
                <c:pt idx="21">
                  <c:v>179.46716142681086</c:v>
                </c:pt>
                <c:pt idx="22">
                  <c:v>203.97157947599115</c:v>
                </c:pt>
                <c:pt idx="23">
                  <c:v>229.34983593044987</c:v>
                </c:pt>
                <c:pt idx="24">
                  <c:v>256.16070947885601</c:v>
                </c:pt>
                <c:pt idx="25">
                  <c:v>283.4422200558077</c:v>
                </c:pt>
                <c:pt idx="26">
                  <c:v>235.98505858386409</c:v>
                </c:pt>
                <c:pt idx="27">
                  <c:v>258.05062536478636</c:v>
                </c:pt>
                <c:pt idx="28">
                  <c:v>280.5423775629647</c:v>
                </c:pt>
                <c:pt idx="29">
                  <c:v>303.43995205127447</c:v>
                </c:pt>
                <c:pt idx="30">
                  <c:v>326.35342702648575</c:v>
                </c:pt>
                <c:pt idx="31">
                  <c:v>263.57924539994525</c:v>
                </c:pt>
                <c:pt idx="32">
                  <c:v>282.32861934348404</c:v>
                </c:pt>
                <c:pt idx="33">
                  <c:v>301.05010157763132</c:v>
                </c:pt>
                <c:pt idx="34">
                  <c:v>319.74567016762404</c:v>
                </c:pt>
                <c:pt idx="35">
                  <c:v>338.41705298318419</c:v>
                </c:pt>
                <c:pt idx="36">
                  <c:v>357.06577169128269</c:v>
                </c:pt>
                <c:pt idx="37">
                  <c:v>375.69317607272296</c:v>
                </c:pt>
                <c:pt idx="38">
                  <c:v>394.30047117467115</c:v>
                </c:pt>
                <c:pt idx="39">
                  <c:v>412.88873906897243</c:v>
                </c:pt>
                <c:pt idx="40">
                  <c:v>431.45895648731874</c:v>
                </c:pt>
                <c:pt idx="41">
                  <c:v>450.01200926194286</c:v>
                </c:pt>
                <c:pt idx="42">
                  <c:v>468.54870426094544</c:v>
                </c:pt>
                <c:pt idx="43">
                  <c:v>3.669434796176543E-12</c:v>
                </c:pt>
                <c:pt idx="44">
                  <c:v>3.669434796176543E-12</c:v>
                </c:pt>
                <c:pt idx="45">
                  <c:v>3.669434796176543E-12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939360"/>
        <c:axId val="-1707937728"/>
      </c:scatterChart>
      <c:valAx>
        <c:axId val="-1707939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937728"/>
        <c:crosses val="autoZero"/>
        <c:crossBetween val="midCat"/>
      </c:valAx>
      <c:valAx>
        <c:axId val="-170793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93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1.7729111845982548</c:v>
                </c:pt>
                <c:pt idx="2">
                  <c:v>2.1151678278372312</c:v>
                </c:pt>
                <c:pt idx="3">
                  <c:v>2.5237467481232607</c:v>
                </c:pt>
                <c:pt idx="4">
                  <c:v>3.0115457623705972</c:v>
                </c:pt>
                <c:pt idx="5">
                  <c:v>3.593979342926795</c:v>
                </c:pt>
                <c:pt idx="6">
                  <c:v>4.2894712021729635</c:v>
                </c:pt>
                <c:pt idx="7">
                  <c:v>5.1200435679930258</c:v>
                </c:pt>
                <c:pt idx="8">
                  <c:v>6.1120221800245114</c:v>
                </c:pt>
                <c:pt idx="9">
                  <c:v>7.2968797909689798</c:v>
                </c:pt>
                <c:pt idx="10">
                  <c:v>8.712245453924151</c:v>
                </c:pt>
                <c:pt idx="11">
                  <c:v>10.403112262766973</c:v>
                </c:pt>
                <c:pt idx="12">
                  <c:v>12.423282664319792</c:v>
                </c:pt>
                <c:pt idx="13">
                  <c:v>14.837098189613906</c:v>
                </c:pt>
                <c:pt idx="14">
                  <c:v>17.721509710216786</c:v>
                </c:pt>
                <c:pt idx="15">
                  <c:v>21.168555417793829</c:v>
                </c:pt>
                <c:pt idx="16">
                  <c:v>25.288327014609248</c:v>
                </c:pt>
                <c:pt idx="17">
                  <c:v>30.212520525604287</c:v>
                </c:pt>
                <c:pt idx="18">
                  <c:v>36.098687221774846</c:v>
                </c:pt>
                <c:pt idx="19">
                  <c:v>43.135323006491404</c:v>
                </c:pt>
                <c:pt idx="20">
                  <c:v>51.547962012479537</c:v>
                </c:pt>
                <c:pt idx="21">
                  <c:v>61.606472988176044</c:v>
                </c:pt>
                <c:pt idx="22">
                  <c:v>73.633796398083533</c:v>
                </c:pt>
                <c:pt idx="23">
                  <c:v>88.016407317478823</c:v>
                </c:pt>
                <c:pt idx="24">
                  <c:v>105.21684572006173</c:v>
                </c:pt>
                <c:pt idx="25">
                  <c:v>125.78872349965967</c:v>
                </c:pt>
                <c:pt idx="26">
                  <c:v>124.28836887153766</c:v>
                </c:pt>
                <c:pt idx="27">
                  <c:v>137.77640210827045</c:v>
                </c:pt>
                <c:pt idx="28">
                  <c:v>151.23268433365888</c:v>
                </c:pt>
                <c:pt idx="29">
                  <c:v>164.66044113992641</c:v>
                </c:pt>
                <c:pt idx="30">
                  <c:v>178.06232809976675</c:v>
                </c:pt>
                <c:pt idx="31">
                  <c:v>162.9213170179128</c:v>
                </c:pt>
                <c:pt idx="32">
                  <c:v>176.32642399290862</c:v>
                </c:pt>
                <c:pt idx="33">
                  <c:v>189.70761630775556</c:v>
                </c:pt>
                <c:pt idx="34">
                  <c:v>203.06681934037002</c:v>
                </c:pt>
                <c:pt idx="35">
                  <c:v>216.40568417713143</c:v>
                </c:pt>
                <c:pt idx="36">
                  <c:v>197.62672417984075</c:v>
                </c:pt>
                <c:pt idx="37">
                  <c:v>213.44317328361072</c:v>
                </c:pt>
                <c:pt idx="38">
                  <c:v>229.23263189102838</c:v>
                </c:pt>
                <c:pt idx="39">
                  <c:v>244.99722113546932</c:v>
                </c:pt>
                <c:pt idx="40">
                  <c:v>260.73876672061471</c:v>
                </c:pt>
                <c:pt idx="41">
                  <c:v>229.47913975307119</c:v>
                </c:pt>
                <c:pt idx="42">
                  <c:v>243.76646443655667</c:v>
                </c:pt>
                <c:pt idx="43">
                  <c:v>258.0347569994421</c:v>
                </c:pt>
                <c:pt idx="44">
                  <c:v>272.28521827223369</c:v>
                </c:pt>
                <c:pt idx="45">
                  <c:v>286.51891307475512</c:v>
                </c:pt>
                <c:pt idx="46">
                  <c:v>300.73679175655633</c:v>
                </c:pt>
                <c:pt idx="47">
                  <c:v>314.93970744758707</c:v>
                </c:pt>
                <c:pt idx="48">
                  <c:v>329.12843003230131</c:v>
                </c:pt>
                <c:pt idx="49">
                  <c:v>343.30365758683416</c:v>
                </c:pt>
                <c:pt idx="50">
                  <c:v>357.46602582767576</c:v>
                </c:pt>
                <c:pt idx="51">
                  <c:v>291.17819254141574</c:v>
                </c:pt>
                <c:pt idx="52">
                  <c:v>304.4113617557411</c:v>
                </c:pt>
                <c:pt idx="53">
                  <c:v>317.63174051702936</c:v>
                </c:pt>
                <c:pt idx="54">
                  <c:v>330.83993628075677</c:v>
                </c:pt>
                <c:pt idx="55">
                  <c:v>344.03650402875382</c:v>
                </c:pt>
                <c:pt idx="56">
                  <c:v>357.22195268358115</c:v>
                </c:pt>
                <c:pt idx="57">
                  <c:v>370.39675052607771</c:v>
                </c:pt>
                <c:pt idx="58">
                  <c:v>383.56132980166291</c:v>
                </c:pt>
                <c:pt idx="59">
                  <c:v>396.71609066110949</c:v>
                </c:pt>
                <c:pt idx="60">
                  <c:v>409.86140455127207</c:v>
                </c:pt>
                <c:pt idx="61">
                  <c:v>348.31076049861173</c:v>
                </c:pt>
                <c:pt idx="62">
                  <c:v>359.90655706035335</c:v>
                </c:pt>
                <c:pt idx="63">
                  <c:v>371.49418337037804</c:v>
                </c:pt>
                <c:pt idx="64">
                  <c:v>383.07393025577699</c:v>
                </c:pt>
                <c:pt idx="65">
                  <c:v>394.64606952207788</c:v>
                </c:pt>
                <c:pt idx="66">
                  <c:v>406.21085573052596</c:v>
                </c:pt>
                <c:pt idx="67">
                  <c:v>417.76852776237479</c:v>
                </c:pt>
                <c:pt idx="68">
                  <c:v>429.31931020102047</c:v>
                </c:pt>
                <c:pt idx="69">
                  <c:v>440.86341455761885</c:v>
                </c:pt>
                <c:pt idx="70">
                  <c:v>452.40104036163103</c:v>
                </c:pt>
                <c:pt idx="71">
                  <c:v>399.27285265946415</c:v>
                </c:pt>
                <c:pt idx="72">
                  <c:v>409.37470543171111</c:v>
                </c:pt>
                <c:pt idx="73">
                  <c:v>419.4711759521465</c:v>
                </c:pt>
                <c:pt idx="74">
                  <c:v>429.56241207278003</c:v>
                </c:pt>
                <c:pt idx="75">
                  <c:v>439.64855413024537</c:v>
                </c:pt>
                <c:pt idx="76">
                  <c:v>449.72973549516274</c:v>
                </c:pt>
                <c:pt idx="77">
                  <c:v>459.80608306967133</c:v>
                </c:pt>
                <c:pt idx="78">
                  <c:v>469.87771773907002</c:v>
                </c:pt>
                <c:pt idx="79">
                  <c:v>479.94475478271625</c:v>
                </c:pt>
                <c:pt idx="80">
                  <c:v>490.0073042486506</c:v>
                </c:pt>
                <c:pt idx="81">
                  <c:v>5.0621685358189711E-12</c:v>
                </c:pt>
                <c:pt idx="82">
                  <c:v>5.0621685358189711E-12</c:v>
                </c:pt>
                <c:pt idx="83">
                  <c:v>5.0621685358189711E-12</c:v>
                </c:pt>
                <c:pt idx="84">
                  <c:v>5.0621685358189711E-12</c:v>
                </c:pt>
                <c:pt idx="85">
                  <c:v>5.0621685358189711E-12</c:v>
                </c:pt>
                <c:pt idx="86">
                  <c:v>5.0621685358189711E-12</c:v>
                </c:pt>
                <c:pt idx="87">
                  <c:v>5.0621685358189711E-12</c:v>
                </c:pt>
                <c:pt idx="88">
                  <c:v>5.0621685358189711E-12</c:v>
                </c:pt>
                <c:pt idx="89">
                  <c:v>5.0621685358189711E-12</c:v>
                </c:pt>
                <c:pt idx="90">
                  <c:v>5.0621685358189711E-12</c:v>
                </c:pt>
                <c:pt idx="91">
                  <c:v>5.0621685358189711E-12</c:v>
                </c:pt>
                <c:pt idx="92">
                  <c:v>5.0621685358189711E-12</c:v>
                </c:pt>
                <c:pt idx="93">
                  <c:v>5.0621685358189711E-12</c:v>
                </c:pt>
                <c:pt idx="94">
                  <c:v>5.0621685358189711E-12</c:v>
                </c:pt>
                <c:pt idx="95">
                  <c:v>5.0621685358189711E-12</c:v>
                </c:pt>
                <c:pt idx="96">
                  <c:v>5.0621685358189711E-12</c:v>
                </c:pt>
                <c:pt idx="97">
                  <c:v>5.0621685358189711E-12</c:v>
                </c:pt>
                <c:pt idx="98">
                  <c:v>5.0621685358189711E-12</c:v>
                </c:pt>
                <c:pt idx="99">
                  <c:v>5.0621685358189711E-12</c:v>
                </c:pt>
                <c:pt idx="100">
                  <c:v>5.0621685358189711E-12</c:v>
                </c:pt>
                <c:pt idx="101">
                  <c:v>5.0621685358189711E-12</c:v>
                </c:pt>
                <c:pt idx="102">
                  <c:v>5.0621685358189711E-12</c:v>
                </c:pt>
                <c:pt idx="103">
                  <c:v>5.0621685358189711E-12</c:v>
                </c:pt>
                <c:pt idx="104">
                  <c:v>5.0621685358189711E-12</c:v>
                </c:pt>
                <c:pt idx="105">
                  <c:v>5.0621685358189711E-12</c:v>
                </c:pt>
                <c:pt idx="106">
                  <c:v>5.0621685358189711E-12</c:v>
                </c:pt>
                <c:pt idx="107">
                  <c:v>5.0621685358189711E-12</c:v>
                </c:pt>
                <c:pt idx="108">
                  <c:v>5.0621685358189711E-12</c:v>
                </c:pt>
                <c:pt idx="109">
                  <c:v>5.0621685358189711E-12</c:v>
                </c:pt>
                <c:pt idx="110">
                  <c:v>5.0621685358189711E-12</c:v>
                </c:pt>
                <c:pt idx="111">
                  <c:v>5.0621685358189711E-12</c:v>
                </c:pt>
                <c:pt idx="112">
                  <c:v>5.0621685358189711E-12</c:v>
                </c:pt>
                <c:pt idx="113">
                  <c:v>5.0621685358189711E-12</c:v>
                </c:pt>
                <c:pt idx="114">
                  <c:v>5.0621685358189711E-12</c:v>
                </c:pt>
                <c:pt idx="115">
                  <c:v>5.0621685358189711E-12</c:v>
                </c:pt>
                <c:pt idx="116">
                  <c:v>5.0621685358189711E-12</c:v>
                </c:pt>
                <c:pt idx="117">
                  <c:v>5.0621685358189711E-12</c:v>
                </c:pt>
                <c:pt idx="118">
                  <c:v>5.0621685358189711E-12</c:v>
                </c:pt>
                <c:pt idx="119">
                  <c:v>5.0621685358189711E-12</c:v>
                </c:pt>
                <c:pt idx="120">
                  <c:v>5.0621685358189711E-12</c:v>
                </c:pt>
                <c:pt idx="121">
                  <c:v>5.0621685358189711E-12</c:v>
                </c:pt>
                <c:pt idx="122">
                  <c:v>5.0621685358189711E-12</c:v>
                </c:pt>
                <c:pt idx="123">
                  <c:v>5.0621685358189711E-12</c:v>
                </c:pt>
                <c:pt idx="124">
                  <c:v>5.0621685358189711E-12</c:v>
                </c:pt>
                <c:pt idx="125">
                  <c:v>5.0621685358189711E-12</c:v>
                </c:pt>
                <c:pt idx="126">
                  <c:v>5.0621685358189711E-12</c:v>
                </c:pt>
                <c:pt idx="127">
                  <c:v>5.0621685358189711E-12</c:v>
                </c:pt>
                <c:pt idx="128">
                  <c:v>5.0621685358189711E-12</c:v>
                </c:pt>
                <c:pt idx="129">
                  <c:v>5.0621685358189711E-12</c:v>
                </c:pt>
                <c:pt idx="130">
                  <c:v>5.0621685358189711E-12</c:v>
                </c:pt>
                <c:pt idx="131">
                  <c:v>5.0621685358189711E-12</c:v>
                </c:pt>
                <c:pt idx="132">
                  <c:v>5.0621685358189711E-12</c:v>
                </c:pt>
                <c:pt idx="133">
                  <c:v>5.0621685358189711E-12</c:v>
                </c:pt>
                <c:pt idx="134">
                  <c:v>5.0621685358189711E-12</c:v>
                </c:pt>
                <c:pt idx="135">
                  <c:v>5.0621685358189711E-12</c:v>
                </c:pt>
                <c:pt idx="136">
                  <c:v>5.0621685358189711E-12</c:v>
                </c:pt>
                <c:pt idx="137">
                  <c:v>5.0621685358189711E-12</c:v>
                </c:pt>
                <c:pt idx="138">
                  <c:v>5.0621685358189711E-12</c:v>
                </c:pt>
                <c:pt idx="139">
                  <c:v>5.0621685358189711E-12</c:v>
                </c:pt>
                <c:pt idx="140">
                  <c:v>5.0621685358189711E-12</c:v>
                </c:pt>
                <c:pt idx="141">
                  <c:v>5.0621685358189711E-12</c:v>
                </c:pt>
                <c:pt idx="142">
                  <c:v>5.0621685358189711E-12</c:v>
                </c:pt>
                <c:pt idx="143">
                  <c:v>5.0621685358189711E-12</c:v>
                </c:pt>
                <c:pt idx="144">
                  <c:v>5.0621685358189711E-12</c:v>
                </c:pt>
                <c:pt idx="145">
                  <c:v>5.0621685358189711E-12</c:v>
                </c:pt>
                <c:pt idx="146">
                  <c:v>5.0621685358189711E-12</c:v>
                </c:pt>
                <c:pt idx="147">
                  <c:v>5.0621685358189711E-12</c:v>
                </c:pt>
                <c:pt idx="148">
                  <c:v>5.0621685358189711E-12</c:v>
                </c:pt>
                <c:pt idx="149">
                  <c:v>5.0621685358189711E-12</c:v>
                </c:pt>
                <c:pt idx="150">
                  <c:v>5.0621685358189711E-12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1802288"/>
        <c:axId val="-1411798480"/>
      </c:scatterChart>
      <c:valAx>
        <c:axId val="-1411802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798480"/>
        <c:crosses val="autoZero"/>
        <c:crossBetween val="midCat"/>
      </c:valAx>
      <c:valAx>
        <c:axId val="-141179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80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2.1019541298943403</c:v>
                </c:pt>
                <c:pt idx="2">
                  <c:v>2.6092270038457666</c:v>
                </c:pt>
                <c:pt idx="3">
                  <c:v>3.2393990939630002</c:v>
                </c:pt>
                <c:pt idx="4">
                  <c:v>4.0223548814233281</c:v>
                </c:pt>
                <c:pt idx="5">
                  <c:v>4.9952705096957573</c:v>
                </c:pt>
                <c:pt idx="6">
                  <c:v>6.2043985623739948</c:v>
                </c:pt>
                <c:pt idx="7">
                  <c:v>7.7072909789352968</c:v>
                </c:pt>
                <c:pt idx="8">
                  <c:v>9.5755679535423806</c:v>
                </c:pt>
                <c:pt idx="9">
                  <c:v>11.898367272328414</c:v>
                </c:pt>
                <c:pt idx="10">
                  <c:v>14.786641735464018</c:v>
                </c:pt>
                <c:pt idx="11">
                  <c:v>18.378513712274948</c:v>
                </c:pt>
                <c:pt idx="12">
                  <c:v>22.845947526097252</c:v>
                </c:pt>
                <c:pt idx="13">
                  <c:v>28.403064801162014</c:v>
                </c:pt>
                <c:pt idx="14">
                  <c:v>35.316508298429639</c:v>
                </c:pt>
                <c:pt idx="15">
                  <c:v>43.918360080877228</c:v>
                </c:pt>
                <c:pt idx="16">
                  <c:v>56.232228395839918</c:v>
                </c:pt>
                <c:pt idx="17">
                  <c:v>68.475062826736931</c:v>
                </c:pt>
                <c:pt idx="18">
                  <c:v>80.661435952614326</c:v>
                </c:pt>
                <c:pt idx="19">
                  <c:v>92.80111456272796</c:v>
                </c:pt>
                <c:pt idx="20">
                  <c:v>104.90108447574544</c:v>
                </c:pt>
                <c:pt idx="21">
                  <c:v>114.38380127391692</c:v>
                </c:pt>
                <c:pt idx="22">
                  <c:v>123.84727209125531</c:v>
                </c:pt>
                <c:pt idx="23">
                  <c:v>133.29317703829756</c:v>
                </c:pt>
                <c:pt idx="24">
                  <c:v>142.722938133306</c:v>
                </c:pt>
                <c:pt idx="25">
                  <c:v>152.13777377111359</c:v>
                </c:pt>
                <c:pt idx="26">
                  <c:v>127.28409932288616</c:v>
                </c:pt>
                <c:pt idx="27">
                  <c:v>136.72398095941844</c:v>
                </c:pt>
                <c:pt idx="28">
                  <c:v>146.14818298659551</c:v>
                </c:pt>
                <c:pt idx="29">
                  <c:v>155.55786032570967</c:v>
                </c:pt>
                <c:pt idx="30">
                  <c:v>164.95401652082657</c:v>
                </c:pt>
                <c:pt idx="31">
                  <c:v>173.76917851026886</c:v>
                </c:pt>
                <c:pt idx="32">
                  <c:v>182.57383216555033</c:v>
                </c:pt>
                <c:pt idx="33">
                  <c:v>191.36855633024649</c:v>
                </c:pt>
                <c:pt idx="34">
                  <c:v>200.15387222430391</c:v>
                </c:pt>
                <c:pt idx="35">
                  <c:v>208.93025151398959</c:v>
                </c:pt>
                <c:pt idx="36">
                  <c:v>167.79880331835705</c:v>
                </c:pt>
                <c:pt idx="37">
                  <c:v>176.32642399290845</c:v>
                </c:pt>
                <c:pt idx="38">
                  <c:v>184.84436712462616</c:v>
                </c:pt>
                <c:pt idx="39">
                  <c:v>193.35314212581184</c:v>
                </c:pt>
                <c:pt idx="40">
                  <c:v>201.85320984852044</c:v>
                </c:pt>
                <c:pt idx="41">
                  <c:v>209.77912051135695</c:v>
                </c:pt>
                <c:pt idx="42">
                  <c:v>217.69812295281329</c:v>
                </c:pt>
                <c:pt idx="43">
                  <c:v>225.61050422909793</c:v>
                </c:pt>
                <c:pt idx="44">
                  <c:v>233.51652959110689</c:v>
                </c:pt>
                <c:pt idx="45">
                  <c:v>241.41644483936707</c:v>
                </c:pt>
                <c:pt idx="46">
                  <c:v>194.77041295233721</c:v>
                </c:pt>
                <c:pt idx="47">
                  <c:v>201.85320984852038</c:v>
                </c:pt>
                <c:pt idx="48">
                  <c:v>208.93025151398959</c:v>
                </c:pt>
                <c:pt idx="49">
                  <c:v>216.00176068460632</c:v>
                </c:pt>
                <c:pt idx="50">
                  <c:v>223.06794429933814</c:v>
                </c:pt>
                <c:pt idx="51">
                  <c:v>229.56429560621905</c:v>
                </c:pt>
                <c:pt idx="52">
                  <c:v>236.05644310479678</c:v>
                </c:pt>
                <c:pt idx="53">
                  <c:v>242.5445188956428</c:v>
                </c:pt>
                <c:pt idx="54">
                  <c:v>249.02864742441963</c:v>
                </c:pt>
                <c:pt idx="55">
                  <c:v>255.50894611772114</c:v>
                </c:pt>
                <c:pt idx="56">
                  <c:v>212.60811330323972</c:v>
                </c:pt>
                <c:pt idx="57">
                  <c:v>219.11152587483434</c:v>
                </c:pt>
                <c:pt idx="58">
                  <c:v>225.61050422909787</c:v>
                </c:pt>
                <c:pt idx="59">
                  <c:v>232.10519431769936</c:v>
                </c:pt>
                <c:pt idx="60">
                  <c:v>238.59573324490506</c:v>
                </c:pt>
                <c:pt idx="61">
                  <c:v>244.51836163877559</c:v>
                </c:pt>
                <c:pt idx="62">
                  <c:v>250.43772987290299</c:v>
                </c:pt>
                <c:pt idx="63">
                  <c:v>256.35392599796705</c:v>
                </c:pt>
                <c:pt idx="64">
                  <c:v>262.26703366253588</c:v>
                </c:pt>
                <c:pt idx="65">
                  <c:v>268.17713242968784</c:v>
                </c:pt>
                <c:pt idx="66">
                  <c:v>227.02275330173816</c:v>
                </c:pt>
                <c:pt idx="67">
                  <c:v>232.38747702067249</c:v>
                </c:pt>
                <c:pt idx="68">
                  <c:v>237.74937198994937</c:v>
                </c:pt>
                <c:pt idx="69">
                  <c:v>243.10851112008797</c:v>
                </c:pt>
                <c:pt idx="70">
                  <c:v>248.46496383915061</c:v>
                </c:pt>
                <c:pt idx="71">
                  <c:v>253.53707996444214</c:v>
                </c:pt>
                <c:pt idx="72">
                  <c:v>258.60689820869118</c:v>
                </c:pt>
                <c:pt idx="73">
                  <c:v>263.67447005481563</c:v>
                </c:pt>
                <c:pt idx="74">
                  <c:v>268.73984484198519</c:v>
                </c:pt>
                <c:pt idx="75">
                  <c:v>273.80306989453686</c:v>
                </c:pt>
                <c:pt idx="76">
                  <c:v>237.74937198994937</c:v>
                </c:pt>
                <c:pt idx="77">
                  <c:v>242.54451889564268</c:v>
                </c:pt>
                <c:pt idx="78">
                  <c:v>247.33750950241188</c:v>
                </c:pt>
                <c:pt idx="79">
                  <c:v>252.12839156974792</c:v>
                </c:pt>
                <c:pt idx="80">
                  <c:v>256.91721089069443</c:v>
                </c:pt>
                <c:pt idx="81">
                  <c:v>261.14096179913906</c:v>
                </c:pt>
                <c:pt idx="82">
                  <c:v>265.36317005758764</c:v>
                </c:pt>
                <c:pt idx="83">
                  <c:v>269.58386372149988</c:v>
                </c:pt>
                <c:pt idx="84">
                  <c:v>273.80306989453686</c:v>
                </c:pt>
                <c:pt idx="85">
                  <c:v>278.02081477536069</c:v>
                </c:pt>
                <c:pt idx="86">
                  <c:v>281.95608061803074</c:v>
                </c:pt>
                <c:pt idx="87">
                  <c:v>285.89011554693974</c:v>
                </c:pt>
                <c:pt idx="88">
                  <c:v>289.82293892179945</c:v>
                </c:pt>
                <c:pt idx="89">
                  <c:v>293.75456953309504</c:v>
                </c:pt>
                <c:pt idx="90">
                  <c:v>297.68502562639225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1813168"/>
        <c:axId val="-1411808816"/>
      </c:scatterChart>
      <c:valAx>
        <c:axId val="-141181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808816"/>
        <c:crosses val="autoZero"/>
        <c:crossBetween val="midCat"/>
      </c:valAx>
      <c:valAx>
        <c:axId val="-141180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81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1805552"/>
        <c:axId val="-1411805008"/>
      </c:scatterChart>
      <c:valAx>
        <c:axId val="-1411805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805008"/>
        <c:crosses val="autoZero"/>
        <c:crossBetween val="midCat"/>
      </c:valAx>
      <c:valAx>
        <c:axId val="-141180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805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1804464"/>
        <c:axId val="-1411867008"/>
      </c:scatterChart>
      <c:valAx>
        <c:axId val="-141180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867008"/>
        <c:crosses val="autoZero"/>
        <c:crossBetween val="midCat"/>
      </c:valAx>
      <c:valAx>
        <c:axId val="-141186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80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1870816"/>
        <c:axId val="-1411870272"/>
      </c:scatterChart>
      <c:valAx>
        <c:axId val="-1411870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870272"/>
        <c:crosses val="autoZero"/>
        <c:crossBetween val="midCat"/>
      </c:valAx>
      <c:valAx>
        <c:axId val="-141187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1870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18657072"/>
        <c:axId val="-1718663600"/>
      </c:scatterChart>
      <c:valAx>
        <c:axId val="-1718657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8663600"/>
        <c:crosses val="autoZero"/>
        <c:crossBetween val="midCat"/>
      </c:valAx>
      <c:valAx>
        <c:axId val="-17186636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8657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300" t="s">
        <v>291</v>
      </c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</row>
    <row r="13" spans="2:13" ht="15" customHeight="1" x14ac:dyDescent="0.3"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</row>
    <row r="14" spans="2:13" ht="15" customHeight="1" x14ac:dyDescent="0.3">
      <c r="B14" s="300"/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</row>
    <row r="15" spans="2:13" ht="18.75" customHeight="1" x14ac:dyDescent="0.3"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</row>
    <row r="16" spans="2:13" ht="18.75" customHeight="1" x14ac:dyDescent="0.3"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</row>
    <row r="18" spans="2:13" ht="12" customHeight="1" x14ac:dyDescent="0.3">
      <c r="B18" s="300" t="s">
        <v>292</v>
      </c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</row>
    <row r="19" spans="2:13" ht="12" customHeight="1" x14ac:dyDescent="0.3"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</row>
    <row r="20" spans="2:13" ht="12" customHeight="1" x14ac:dyDescent="0.3"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</row>
    <row r="21" spans="2:13" ht="12" customHeight="1" x14ac:dyDescent="0.3"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</row>
    <row r="22" spans="2:13" ht="12" customHeight="1" x14ac:dyDescent="0.3"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</row>
    <row r="23" spans="2:13" ht="12" customHeight="1" x14ac:dyDescent="0.3"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</row>
    <row r="24" spans="2:13" ht="12" customHeight="1" x14ac:dyDescent="0.3"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</row>
    <row r="25" spans="2:13" ht="12" customHeight="1" x14ac:dyDescent="0.3"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</row>
    <row r="26" spans="2:13" ht="12" customHeight="1" x14ac:dyDescent="0.3"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</row>
    <row r="27" spans="2:13" ht="12" customHeight="1" x14ac:dyDescent="0.3"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</row>
    <row r="28" spans="2:13" ht="12" customHeight="1" x14ac:dyDescent="0.3"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</row>
    <row r="29" spans="2:13" ht="12" customHeight="1" x14ac:dyDescent="0.3"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</row>
    <row r="30" spans="2:13" ht="12" customHeight="1" x14ac:dyDescent="0.3"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</row>
    <row r="31" spans="2:13" ht="12" customHeight="1" x14ac:dyDescent="0.3"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E21" sqref="E2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305" t="s">
        <v>190</v>
      </c>
      <c r="D1" s="305"/>
      <c r="E1" s="30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306" t="s">
        <v>192</v>
      </c>
      <c r="C3" s="307"/>
      <c r="D3" s="307"/>
      <c r="E3" s="307"/>
      <c r="F3" s="308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12" t="s">
        <v>231</v>
      </c>
      <c r="B5" s="312"/>
      <c r="C5" s="26">
        <v>1.8</v>
      </c>
      <c r="D5" s="313" t="s">
        <v>229</v>
      </c>
      <c r="E5" s="314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10" t="s">
        <v>226</v>
      </c>
      <c r="B7" s="310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0.2</v>
      </c>
      <c r="D9" s="36">
        <f t="shared" ref="D9:D18" si="0">C9*$C$5</f>
        <v>0.36000000000000004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0.11</v>
      </c>
      <c r="D10" s="36">
        <f t="shared" si="0"/>
        <v>0.19800000000000001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35">
        <v>0.245</v>
      </c>
      <c r="D11" s="36">
        <f t="shared" si="0"/>
        <v>0.441</v>
      </c>
      <c r="E11" s="37">
        <v>42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41</v>
      </c>
      <c r="C12" s="35">
        <v>0.245</v>
      </c>
      <c r="D12" s="36">
        <f t="shared" si="0"/>
        <v>0.441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4</v>
      </c>
      <c r="C13" s="35">
        <v>0.08</v>
      </c>
      <c r="D13" s="36">
        <f t="shared" si="0"/>
        <v>0.14400000000000002</v>
      </c>
      <c r="E13" s="37">
        <v>90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12</v>
      </c>
      <c r="C14" s="35">
        <v>0.12</v>
      </c>
      <c r="D14" s="36">
        <f t="shared" si="0"/>
        <v>0.216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0.99999999999999989</v>
      </c>
      <c r="D19" s="41">
        <f>SUM(D9:D18)</f>
        <v>1.8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9" t="s">
        <v>232</v>
      </c>
      <c r="B22" s="309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11" t="s">
        <v>227</v>
      </c>
      <c r="B30" s="311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301" t="s">
        <v>186</v>
      </c>
      <c r="D34" s="301"/>
      <c r="E34" s="302" t="s">
        <v>187</v>
      </c>
      <c r="F34" s="303"/>
      <c r="G34" s="303"/>
      <c r="H34" s="304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295">
        <v>25</v>
      </c>
      <c r="B36" s="296">
        <v>30</v>
      </c>
      <c r="C36" s="296"/>
      <c r="D36" s="296"/>
      <c r="E36" s="54"/>
      <c r="F36" s="54"/>
      <c r="G36" s="54"/>
      <c r="H36" s="54"/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295">
        <v>30</v>
      </c>
      <c r="B37" s="296">
        <v>54</v>
      </c>
      <c r="C37" s="296"/>
      <c r="D37" s="296"/>
      <c r="E37" s="54"/>
      <c r="F37" s="54"/>
      <c r="G37" s="54"/>
      <c r="H37" s="54"/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295">
        <v>35</v>
      </c>
      <c r="B38" s="296">
        <v>79</v>
      </c>
      <c r="C38" s="296">
        <v>1</v>
      </c>
      <c r="D38" s="296">
        <v>13</v>
      </c>
      <c r="E38" s="54"/>
      <c r="F38" s="54"/>
      <c r="G38" s="54"/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295">
        <v>40</v>
      </c>
      <c r="B39" s="296">
        <v>93</v>
      </c>
      <c r="C39" s="296"/>
      <c r="D39" s="296"/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295">
        <v>45</v>
      </c>
      <c r="B40" s="296">
        <v>121</v>
      </c>
      <c r="C40" s="296">
        <v>2</v>
      </c>
      <c r="D40" s="296">
        <v>28</v>
      </c>
      <c r="E40" s="54"/>
      <c r="F40" s="54"/>
      <c r="G40" s="54"/>
      <c r="H40" s="54"/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295">
        <v>50</v>
      </c>
      <c r="B41" s="296">
        <v>121</v>
      </c>
      <c r="C41" s="296"/>
      <c r="D41" s="296"/>
      <c r="E41" s="54"/>
      <c r="F41" s="54"/>
      <c r="G41" s="54"/>
      <c r="H41" s="54"/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295">
        <v>55</v>
      </c>
      <c r="B42" s="296">
        <v>149</v>
      </c>
      <c r="C42" s="296">
        <v>3</v>
      </c>
      <c r="D42" s="296">
        <v>28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95">
        <v>60</v>
      </c>
      <c r="B43" s="295">
        <v>148</v>
      </c>
      <c r="C43" s="295"/>
      <c r="D43" s="295"/>
      <c r="E43" s="54"/>
      <c r="F43" s="54"/>
      <c r="G43" s="54"/>
      <c r="H43" s="54"/>
      <c r="I43" s="52">
        <f t="shared" si="1"/>
        <v>5.4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95">
        <v>65</v>
      </c>
      <c r="B44" s="295">
        <v>175</v>
      </c>
      <c r="C44" s="295">
        <v>4</v>
      </c>
      <c r="D44" s="295">
        <v>28</v>
      </c>
      <c r="E44" s="54"/>
      <c r="F44" s="54"/>
      <c r="G44" s="54"/>
      <c r="H44" s="54"/>
      <c r="I44" s="52">
        <f t="shared" si="1"/>
        <v>5.4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95">
        <v>70</v>
      </c>
      <c r="B45" s="295">
        <v>172</v>
      </c>
      <c r="C45" s="295"/>
      <c r="D45" s="295"/>
      <c r="E45" s="54"/>
      <c r="F45" s="54"/>
      <c r="G45" s="54"/>
      <c r="H45" s="54"/>
      <c r="I45" s="52">
        <f t="shared" si="1"/>
        <v>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95">
        <v>75</v>
      </c>
      <c r="B46" s="295">
        <v>197</v>
      </c>
      <c r="C46" s="295">
        <v>5</v>
      </c>
      <c r="D46" s="295">
        <v>28</v>
      </c>
      <c r="E46" s="54"/>
      <c r="F46" s="54"/>
      <c r="G46" s="54"/>
      <c r="H46" s="54"/>
      <c r="I46" s="52">
        <f t="shared" si="1"/>
        <v>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95">
        <v>80</v>
      </c>
      <c r="B47" s="295">
        <v>192</v>
      </c>
      <c r="C47" s="295"/>
      <c r="D47" s="295"/>
      <c r="E47" s="54"/>
      <c r="F47" s="54"/>
      <c r="G47" s="54"/>
      <c r="H47" s="54"/>
      <c r="I47" s="52">
        <f t="shared" si="1"/>
        <v>4.5999999999999996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95">
        <v>85</v>
      </c>
      <c r="B48" s="295">
        <v>214</v>
      </c>
      <c r="C48" s="295">
        <v>6</v>
      </c>
      <c r="D48" s="295">
        <v>28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95">
        <v>95</v>
      </c>
      <c r="B49" s="295">
        <v>226</v>
      </c>
      <c r="C49" s="295">
        <v>7</v>
      </c>
      <c r="D49" s="295">
        <v>28</v>
      </c>
      <c r="E49" s="54"/>
      <c r="F49" s="54"/>
      <c r="G49" s="54"/>
      <c r="H49" s="54"/>
      <c r="I49" s="52">
        <f t="shared" si="1"/>
        <v>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95">
        <v>105</v>
      </c>
      <c r="B50" s="295">
        <v>232</v>
      </c>
      <c r="C50" s="295">
        <v>8</v>
      </c>
      <c r="D50" s="295">
        <v>28</v>
      </c>
      <c r="E50" s="54"/>
      <c r="F50" s="54"/>
      <c r="G50" s="54"/>
      <c r="H50" s="54"/>
      <c r="I50" s="52">
        <f t="shared" si="1"/>
        <v>3.4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95">
        <v>115</v>
      </c>
      <c r="B51" s="295">
        <v>234</v>
      </c>
      <c r="C51" s="295">
        <v>9</v>
      </c>
      <c r="D51" s="295">
        <v>26</v>
      </c>
      <c r="E51" s="54"/>
      <c r="F51" s="54"/>
      <c r="G51" s="54"/>
      <c r="H51" s="54"/>
      <c r="I51" s="52">
        <f t="shared" si="1"/>
        <v>3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95">
        <v>125</v>
      </c>
      <c r="B52" s="295">
        <v>232</v>
      </c>
      <c r="C52" s="295">
        <v>10</v>
      </c>
      <c r="D52" s="295">
        <v>23</v>
      </c>
      <c r="E52" s="54"/>
      <c r="F52" s="54"/>
      <c r="G52" s="54"/>
      <c r="H52" s="54"/>
      <c r="I52" s="52">
        <f t="shared" si="1"/>
        <v>2.4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95">
        <v>135</v>
      </c>
      <c r="B53" s="295">
        <v>229</v>
      </c>
      <c r="C53" s="295">
        <v>11</v>
      </c>
      <c r="D53" s="295">
        <v>19</v>
      </c>
      <c r="E53" s="54"/>
      <c r="F53" s="54"/>
      <c r="G53" s="54"/>
      <c r="H53" s="54"/>
      <c r="I53" s="52">
        <f t="shared" si="1"/>
        <v>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95">
        <v>145</v>
      </c>
      <c r="B54" s="295">
        <v>226</v>
      </c>
      <c r="C54" s="295"/>
      <c r="D54" s="295"/>
      <c r="E54" s="54"/>
      <c r="F54" s="54"/>
      <c r="G54" s="54"/>
      <c r="H54" s="54"/>
      <c r="I54" s="52">
        <f t="shared" si="1"/>
        <v>1.6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95">
        <v>150</v>
      </c>
      <c r="B55" s="295">
        <v>232</v>
      </c>
      <c r="C55" s="295">
        <v>12</v>
      </c>
      <c r="D55" s="295">
        <v>232</v>
      </c>
      <c r="E55" s="54"/>
      <c r="F55" s="54"/>
      <c r="G55" s="54"/>
      <c r="H55" s="54"/>
      <c r="I55" s="52">
        <f t="shared" si="1"/>
        <v>1.2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301" t="s">
        <v>186</v>
      </c>
      <c r="D60" s="301"/>
      <c r="E60" s="302" t="s">
        <v>187</v>
      </c>
      <c r="F60" s="303"/>
      <c r="G60" s="303"/>
      <c r="H60" s="304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297">
        <v>10</v>
      </c>
      <c r="B62" s="298">
        <v>18</v>
      </c>
      <c r="C62" s="298"/>
      <c r="D62" s="298"/>
      <c r="E62" s="54"/>
      <c r="F62" s="54"/>
      <c r="G62" s="54"/>
      <c r="H62" s="54">
        <v>1</v>
      </c>
      <c r="I62" s="56">
        <f>IFERROR(B62/A62,"")</f>
        <v>1.8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297">
        <v>15</v>
      </c>
      <c r="B63" s="298">
        <v>47</v>
      </c>
      <c r="C63" s="298"/>
      <c r="D63" s="298"/>
      <c r="E63" s="54"/>
      <c r="F63" s="54"/>
      <c r="G63" s="54"/>
      <c r="H63" s="54"/>
      <c r="I63" s="52">
        <f>IF(A63&lt;&gt;0,(B63-(B62-D62))/(A63-A62),"")</f>
        <v>5.8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297">
        <v>20</v>
      </c>
      <c r="B64" s="298">
        <f>58+29</f>
        <v>87</v>
      </c>
      <c r="C64" s="298">
        <v>1</v>
      </c>
      <c r="D64" s="298">
        <f>29</f>
        <v>29</v>
      </c>
      <c r="E64" s="54"/>
      <c r="F64" s="54"/>
      <c r="G64" s="54"/>
      <c r="H64" s="54">
        <v>1</v>
      </c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297">
        <v>25</v>
      </c>
      <c r="B65" s="298">
        <f>79+19</f>
        <v>98</v>
      </c>
      <c r="C65" s="298"/>
      <c r="D65" s="298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297">
        <v>30</v>
      </c>
      <c r="B66" s="298">
        <f>99+20+19</f>
        <v>138</v>
      </c>
      <c r="C66" s="298">
        <v>2</v>
      </c>
      <c r="D66" s="298">
        <f>20+19</f>
        <v>39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297">
        <v>35</v>
      </c>
      <c r="B67" s="298">
        <f>115+20</f>
        <v>135</v>
      </c>
      <c r="C67" s="298"/>
      <c r="D67" s="298"/>
      <c r="E67" s="54"/>
      <c r="F67" s="54"/>
      <c r="G67" s="54"/>
      <c r="H67" s="54"/>
      <c r="I67" s="52">
        <f t="shared" si="2"/>
        <v>7.2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297">
        <v>40</v>
      </c>
      <c r="B68" s="298">
        <f>130+20+20</f>
        <v>170</v>
      </c>
      <c r="C68" s="298">
        <v>3</v>
      </c>
      <c r="D68" s="298">
        <f>20+20</f>
        <v>40</v>
      </c>
      <c r="E68" s="54"/>
      <c r="F68" s="54"/>
      <c r="G68" s="54"/>
      <c r="H68" s="54"/>
      <c r="I68" s="52">
        <f t="shared" si="2"/>
        <v>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97">
        <v>45</v>
      </c>
      <c r="B69" s="297">
        <f>143+19</f>
        <v>162</v>
      </c>
      <c r="C69" s="297"/>
      <c r="D69" s="297"/>
      <c r="E69" s="54"/>
      <c r="F69" s="54"/>
      <c r="G69" s="54"/>
      <c r="H69" s="54"/>
      <c r="I69" s="52">
        <f t="shared" si="2"/>
        <v>6.4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97">
        <v>50</v>
      </c>
      <c r="B70" s="297">
        <f>155+18+19</f>
        <v>192</v>
      </c>
      <c r="C70" s="297">
        <v>4</v>
      </c>
      <c r="D70" s="297">
        <f>18+19</f>
        <v>37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97">
        <v>55</v>
      </c>
      <c r="B71" s="297">
        <f>164+17</f>
        <v>181</v>
      </c>
      <c r="C71" s="297"/>
      <c r="D71" s="297"/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97">
        <v>60</v>
      </c>
      <c r="B72" s="297">
        <f>173+16+17</f>
        <v>206</v>
      </c>
      <c r="C72" s="297">
        <v>5</v>
      </c>
      <c r="D72" s="297">
        <f>16+17</f>
        <v>33</v>
      </c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97">
        <v>65</v>
      </c>
      <c r="B73" s="297">
        <f>180+15</f>
        <v>195</v>
      </c>
      <c r="C73" s="297"/>
      <c r="D73" s="297"/>
      <c r="E73" s="54"/>
      <c r="F73" s="54"/>
      <c r="G73" s="54"/>
      <c r="H73" s="54"/>
      <c r="I73" s="52">
        <f t="shared" si="2"/>
        <v>4.4000000000000004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97">
        <v>70</v>
      </c>
      <c r="B74" s="297">
        <f>187+14+15</f>
        <v>216</v>
      </c>
      <c r="C74" s="297">
        <v>6</v>
      </c>
      <c r="D74" s="297">
        <f>14+15</f>
        <v>29</v>
      </c>
      <c r="E74" s="54"/>
      <c r="F74" s="54"/>
      <c r="G74" s="54"/>
      <c r="H74" s="54"/>
      <c r="I74" s="52">
        <f t="shared" si="2"/>
        <v>4.2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97">
        <v>75</v>
      </c>
      <c r="B75" s="297">
        <f>192+12</f>
        <v>204</v>
      </c>
      <c r="C75" s="297"/>
      <c r="D75" s="297"/>
      <c r="E75" s="54"/>
      <c r="F75" s="54"/>
      <c r="G75" s="54"/>
      <c r="H75" s="54"/>
      <c r="I75" s="52">
        <f t="shared" si="2"/>
        <v>3.4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97">
        <v>80</v>
      </c>
      <c r="B76" s="297">
        <f>197+11+12</f>
        <v>220</v>
      </c>
      <c r="C76" s="297">
        <v>7</v>
      </c>
      <c r="D76" s="297">
        <f>11+12</f>
        <v>23</v>
      </c>
      <c r="E76" s="54"/>
      <c r="F76" s="54"/>
      <c r="G76" s="54"/>
      <c r="H76" s="54"/>
      <c r="I76" s="52">
        <f t="shared" si="2"/>
        <v>3.2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85</v>
      </c>
      <c r="B77" s="53">
        <f>201+10</f>
        <v>211</v>
      </c>
      <c r="C77" s="53"/>
      <c r="D77" s="53"/>
      <c r="E77" s="54"/>
      <c r="F77" s="54"/>
      <c r="G77" s="54"/>
      <c r="H77" s="54"/>
      <c r="I77" s="52">
        <f t="shared" si="2"/>
        <v>2.8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90</v>
      </c>
      <c r="B78" s="53">
        <f>205+10+10</f>
        <v>225</v>
      </c>
      <c r="C78" s="53">
        <v>8</v>
      </c>
      <c r="D78" s="53">
        <f>10+10</f>
        <v>20</v>
      </c>
      <c r="E78" s="54"/>
      <c r="F78" s="54"/>
      <c r="G78" s="54"/>
      <c r="H78" s="54"/>
      <c r="I78" s="52">
        <f t="shared" si="2"/>
        <v>2.8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95</v>
      </c>
      <c r="B79" s="53">
        <f>208+11</f>
        <v>219</v>
      </c>
      <c r="C79" s="53"/>
      <c r="D79" s="53"/>
      <c r="E79" s="54"/>
      <c r="F79" s="54"/>
      <c r="G79" s="54"/>
      <c r="H79" s="54"/>
      <c r="I79" s="52">
        <f t="shared" si="2"/>
        <v>2.8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100</v>
      </c>
      <c r="B80" s="53">
        <f>212+11+11</f>
        <v>234</v>
      </c>
      <c r="C80" s="53">
        <v>9</v>
      </c>
      <c r="D80" s="53">
        <v>234</v>
      </c>
      <c r="E80" s="54"/>
      <c r="F80" s="54"/>
      <c r="G80" s="54"/>
      <c r="H80" s="54"/>
      <c r="I80" s="52">
        <f t="shared" si="2"/>
        <v>3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301" t="s">
        <v>186</v>
      </c>
      <c r="D86" s="301"/>
      <c r="E86" s="302" t="s">
        <v>187</v>
      </c>
      <c r="F86" s="303"/>
      <c r="G86" s="303"/>
      <c r="H86" s="304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293">
        <v>12</v>
      </c>
      <c r="B88" s="292">
        <v>48.662500000000001</v>
      </c>
      <c r="C88" s="294"/>
      <c r="D88" s="294"/>
      <c r="E88" s="54"/>
      <c r="F88" s="54"/>
      <c r="G88" s="54"/>
      <c r="H88" s="93"/>
      <c r="I88" s="56">
        <f>IFERROR(B88/A88,"")</f>
        <v>4.0552083333333337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293">
        <v>13</v>
      </c>
      <c r="B89" s="292">
        <v>66.096000000000004</v>
      </c>
      <c r="C89" s="294"/>
      <c r="D89" s="294"/>
      <c r="E89" s="54"/>
      <c r="F89" s="54"/>
      <c r="G89" s="54"/>
      <c r="H89" s="93"/>
      <c r="I89" s="56">
        <f t="shared" ref="I89:I107" si="3">IF(A89&lt;&gt;0,(B89-(B88-D88))/(A89-A88),"")</f>
        <v>17.433500000000002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293">
        <v>14</v>
      </c>
      <c r="B90" s="292">
        <v>85.756500000000003</v>
      </c>
      <c r="C90" s="294">
        <v>1</v>
      </c>
      <c r="D90" s="294">
        <v>22.2</v>
      </c>
      <c r="E90" s="93"/>
      <c r="F90" s="93">
        <v>0.5</v>
      </c>
      <c r="G90" s="93">
        <v>0.5</v>
      </c>
      <c r="H90" s="93"/>
      <c r="I90" s="56">
        <f t="shared" si="3"/>
        <v>19.660499999999999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293">
        <v>15</v>
      </c>
      <c r="B91" s="292">
        <v>79.950999999999993</v>
      </c>
      <c r="C91" s="294"/>
      <c r="D91" s="294"/>
      <c r="E91" s="93"/>
      <c r="F91" s="93"/>
      <c r="G91" s="93"/>
      <c r="H91" s="93"/>
      <c r="I91" s="56">
        <f t="shared" si="3"/>
        <v>16.394499999999994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293">
        <v>16</v>
      </c>
      <c r="B92" s="292">
        <v>90.686499999999995</v>
      </c>
      <c r="C92" s="294"/>
      <c r="D92" s="294"/>
      <c r="E92" s="93"/>
      <c r="F92" s="93"/>
      <c r="G92" s="93"/>
      <c r="H92" s="93"/>
      <c r="I92" s="56">
        <f t="shared" si="3"/>
        <v>10.735500000000002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293">
        <v>17</v>
      </c>
      <c r="B93" s="292">
        <v>103.054</v>
      </c>
      <c r="C93" s="294"/>
      <c r="D93" s="294"/>
      <c r="E93" s="93"/>
      <c r="F93" s="93"/>
      <c r="G93" s="93"/>
      <c r="H93" s="93"/>
      <c r="I93" s="56">
        <f t="shared" si="3"/>
        <v>12.367500000000007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293">
        <v>18</v>
      </c>
      <c r="B94" s="292">
        <v>116.78149999999999</v>
      </c>
      <c r="C94" s="294"/>
      <c r="D94" s="294"/>
      <c r="E94" s="93"/>
      <c r="F94" s="93"/>
      <c r="G94" s="93"/>
      <c r="H94" s="93"/>
      <c r="I94" s="56">
        <f t="shared" si="3"/>
        <v>13.727499999999992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293">
        <v>19</v>
      </c>
      <c r="B95" s="292">
        <v>134.41899999999998</v>
      </c>
      <c r="C95" s="294">
        <v>2</v>
      </c>
      <c r="D95" s="294">
        <v>34.9</v>
      </c>
      <c r="E95" s="93">
        <v>0.25</v>
      </c>
      <c r="F95" s="93">
        <v>0.375</v>
      </c>
      <c r="G95" s="93">
        <v>0.375</v>
      </c>
      <c r="H95" s="93"/>
      <c r="I95" s="56">
        <f t="shared" si="3"/>
        <v>17.637499999999989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93">
        <v>20</v>
      </c>
      <c r="B96" s="292">
        <v>116.926</v>
      </c>
      <c r="C96" s="294"/>
      <c r="D96" s="294"/>
      <c r="E96" s="93"/>
      <c r="F96" s="93"/>
      <c r="G96" s="93"/>
      <c r="H96" s="93"/>
      <c r="I96" s="56">
        <f t="shared" si="3"/>
        <v>17.407000000000025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93">
        <v>21</v>
      </c>
      <c r="B97" s="292">
        <v>134.99699999999999</v>
      </c>
      <c r="C97" s="294"/>
      <c r="D97" s="294"/>
      <c r="E97" s="93"/>
      <c r="F97" s="93"/>
      <c r="G97" s="93"/>
      <c r="H97" s="93"/>
      <c r="I97" s="56">
        <f t="shared" si="3"/>
        <v>18.070999999999984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93">
        <v>22</v>
      </c>
      <c r="B98" s="292">
        <v>153.935</v>
      </c>
      <c r="C98" s="294"/>
      <c r="D98" s="294"/>
      <c r="E98" s="93"/>
      <c r="F98" s="93"/>
      <c r="G98" s="93"/>
      <c r="H98" s="93"/>
      <c r="I98" s="56">
        <f t="shared" si="3"/>
        <v>18.938000000000017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93">
        <v>23</v>
      </c>
      <c r="B99" s="292">
        <v>173.60400000000001</v>
      </c>
      <c r="C99" s="294"/>
      <c r="D99" s="294"/>
      <c r="E99" s="93"/>
      <c r="F99" s="93"/>
      <c r="G99" s="93"/>
      <c r="H99" s="93"/>
      <c r="I99" s="56">
        <f t="shared" si="3"/>
        <v>19.669000000000011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93">
        <v>24</v>
      </c>
      <c r="B100" s="292">
        <v>194.4375</v>
      </c>
      <c r="C100" s="294"/>
      <c r="D100" s="294"/>
      <c r="E100" s="68"/>
      <c r="F100" s="68"/>
      <c r="G100" s="68"/>
      <c r="H100" s="68"/>
      <c r="I100" s="56">
        <f t="shared" si="3"/>
        <v>20.833499999999987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93">
        <v>25</v>
      </c>
      <c r="B101" s="292">
        <v>215.6875</v>
      </c>
      <c r="C101" s="294">
        <v>3</v>
      </c>
      <c r="D101" s="294">
        <v>54</v>
      </c>
      <c r="E101" s="68">
        <v>0.6</v>
      </c>
      <c r="F101" s="68">
        <v>0.2</v>
      </c>
      <c r="G101" s="68">
        <v>0.2</v>
      </c>
      <c r="H101" s="68"/>
      <c r="I101" s="56">
        <f t="shared" si="3"/>
        <v>21.25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93">
        <v>26</v>
      </c>
      <c r="B102" s="292">
        <v>178.755</v>
      </c>
      <c r="C102" s="294"/>
      <c r="D102" s="294"/>
      <c r="E102" s="57"/>
      <c r="F102" s="57"/>
      <c r="G102" s="57"/>
      <c r="H102" s="57"/>
      <c r="I102" s="56">
        <f t="shared" si="3"/>
        <v>17.067499999999995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93">
        <v>27</v>
      </c>
      <c r="B103" s="292">
        <v>195.90799999999999</v>
      </c>
      <c r="C103" s="294"/>
      <c r="D103" s="294"/>
      <c r="E103" s="57"/>
      <c r="F103" s="57"/>
      <c r="G103" s="57"/>
      <c r="H103" s="57"/>
      <c r="I103" s="56">
        <f t="shared" si="3"/>
        <v>17.152999999999992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93">
        <v>28</v>
      </c>
      <c r="B104" s="292">
        <v>213.4265</v>
      </c>
      <c r="C104" s="294"/>
      <c r="D104" s="294"/>
      <c r="E104" s="57"/>
      <c r="F104" s="57"/>
      <c r="G104" s="57"/>
      <c r="H104" s="57"/>
      <c r="I104" s="56">
        <f t="shared" si="3"/>
        <v>17.518500000000017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93">
        <v>29</v>
      </c>
      <c r="B105" s="292">
        <v>231.29350000000002</v>
      </c>
      <c r="C105" s="294"/>
      <c r="D105" s="294"/>
      <c r="E105" s="57"/>
      <c r="F105" s="57"/>
      <c r="G105" s="57"/>
      <c r="H105" s="57"/>
      <c r="I105" s="56">
        <f t="shared" si="3"/>
        <v>17.867000000000019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93">
        <v>30</v>
      </c>
      <c r="B106" s="292">
        <v>249.203</v>
      </c>
      <c r="C106" s="294">
        <v>4</v>
      </c>
      <c r="D106" s="294">
        <v>63.6</v>
      </c>
      <c r="E106" s="57">
        <v>0.7</v>
      </c>
      <c r="F106" s="57">
        <v>0.2</v>
      </c>
      <c r="G106" s="57">
        <v>0.1</v>
      </c>
      <c r="H106" s="57"/>
      <c r="I106" s="56">
        <f t="shared" si="3"/>
        <v>17.90949999999998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93">
        <v>42</v>
      </c>
      <c r="B107" s="291">
        <v>360.9</v>
      </c>
      <c r="C107" s="294">
        <v>5</v>
      </c>
      <c r="D107" s="294">
        <v>360.9</v>
      </c>
      <c r="E107" s="57"/>
      <c r="F107" s="57"/>
      <c r="G107" s="57"/>
      <c r="H107" s="57"/>
      <c r="I107" s="56">
        <f t="shared" si="3"/>
        <v>14.608083333333331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sylvestre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301" t="s">
        <v>186</v>
      </c>
      <c r="D112" s="301"/>
      <c r="E112" s="302" t="s">
        <v>187</v>
      </c>
      <c r="F112" s="303"/>
      <c r="G112" s="303"/>
      <c r="H112" s="304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25</v>
      </c>
      <c r="B114" s="63">
        <v>98</v>
      </c>
      <c r="C114" s="53">
        <v>1</v>
      </c>
      <c r="D114" s="63">
        <v>12</v>
      </c>
      <c r="E114" s="54"/>
      <c r="F114" s="54">
        <v>0.5</v>
      </c>
      <c r="G114" s="54">
        <v>0.5</v>
      </c>
      <c r="H114" s="54"/>
      <c r="I114" s="56">
        <f>IFERROR(B114/A114,"")</f>
        <v>3.92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f>117+23</f>
        <v>140</v>
      </c>
      <c r="C115" s="53">
        <v>2</v>
      </c>
      <c r="D115" s="63">
        <v>23</v>
      </c>
      <c r="E115" s="54"/>
      <c r="F115" s="54"/>
      <c r="G115" s="54"/>
      <c r="H115" s="54"/>
      <c r="I115" s="56">
        <f t="shared" ref="I115:I133" si="4">IF(A115&lt;&gt;0,(B115-(B114-D114))/(A115-A114),"")</f>
        <v>10.8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35</v>
      </c>
      <c r="B116" s="63">
        <f>143+28</f>
        <v>171</v>
      </c>
      <c r="C116" s="53">
        <v>3</v>
      </c>
      <c r="D116" s="63">
        <v>28</v>
      </c>
      <c r="E116" s="54"/>
      <c r="F116" s="54"/>
      <c r="G116" s="54"/>
      <c r="H116" s="54"/>
      <c r="I116" s="56">
        <f t="shared" si="4"/>
        <v>10.8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40</v>
      </c>
      <c r="B117" s="63">
        <f>170+37</f>
        <v>207</v>
      </c>
      <c r="C117" s="53">
        <v>4</v>
      </c>
      <c r="D117" s="63">
        <v>37</v>
      </c>
      <c r="E117" s="54"/>
      <c r="F117" s="54"/>
      <c r="G117" s="54"/>
      <c r="H117" s="54"/>
      <c r="I117" s="56">
        <f t="shared" si="4"/>
        <v>12.8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50</v>
      </c>
      <c r="B118" s="63">
        <f>221+65</f>
        <v>286</v>
      </c>
      <c r="C118" s="53">
        <v>5</v>
      </c>
      <c r="D118" s="63">
        <v>65</v>
      </c>
      <c r="E118" s="54"/>
      <c r="F118" s="54"/>
      <c r="G118" s="54"/>
      <c r="H118" s="54"/>
      <c r="I118" s="56">
        <f t="shared" si="4"/>
        <v>11.6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60</v>
      </c>
      <c r="B119" s="63">
        <f>269+60</f>
        <v>329</v>
      </c>
      <c r="C119" s="53">
        <v>6</v>
      </c>
      <c r="D119" s="63">
        <v>60</v>
      </c>
      <c r="E119" s="54"/>
      <c r="F119" s="54"/>
      <c r="G119" s="54"/>
      <c r="H119" s="54"/>
      <c r="I119" s="56">
        <f t="shared" si="4"/>
        <v>10.8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70</v>
      </c>
      <c r="B120" s="63">
        <f>312+52</f>
        <v>364</v>
      </c>
      <c r="C120" s="63">
        <v>7</v>
      </c>
      <c r="D120" s="63">
        <v>52</v>
      </c>
      <c r="E120" s="93"/>
      <c r="F120" s="93"/>
      <c r="G120" s="93"/>
      <c r="H120" s="93"/>
      <c r="I120" s="56">
        <f t="shared" si="4"/>
        <v>9.5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80</v>
      </c>
      <c r="B121" s="63">
        <f>352+43</f>
        <v>395</v>
      </c>
      <c r="C121" s="63">
        <v>8</v>
      </c>
      <c r="D121" s="63">
        <v>395</v>
      </c>
      <c r="E121" s="93"/>
      <c r="F121" s="93"/>
      <c r="G121" s="93"/>
      <c r="H121" s="93"/>
      <c r="I121" s="56">
        <f t="shared" si="4"/>
        <v>8.3000000000000007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Aulne glutineux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301" t="s">
        <v>186</v>
      </c>
      <c r="D138" s="301"/>
      <c r="E138" s="302" t="s">
        <v>187</v>
      </c>
      <c r="F138" s="303"/>
      <c r="G138" s="303"/>
      <c r="H138" s="304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f>26+3</f>
        <v>29</v>
      </c>
      <c r="C140" s="53"/>
      <c r="D140" s="63"/>
      <c r="E140" s="54"/>
      <c r="F140" s="54"/>
      <c r="G140" s="54"/>
      <c r="H140" s="54"/>
      <c r="I140" s="60">
        <f>IFERROR(B140/A140,"")</f>
        <v>1.9333333333333333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f>61+3+7</f>
        <v>71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8.4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f>80+14+7+3</f>
        <v>104</v>
      </c>
      <c r="C142" s="53">
        <v>1</v>
      </c>
      <c r="D142" s="63">
        <f>14+7+3</f>
        <v>24</v>
      </c>
      <c r="E142" s="54"/>
      <c r="F142" s="54"/>
      <c r="G142" s="54"/>
      <c r="H142" s="54">
        <v>1</v>
      </c>
      <c r="I142" s="60">
        <f t="shared" si="5"/>
        <v>6.6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3">
        <f>96+17</f>
        <v>113</v>
      </c>
      <c r="C143" s="53"/>
      <c r="D143" s="63"/>
      <c r="E143" s="54"/>
      <c r="F143" s="54"/>
      <c r="G143" s="54"/>
      <c r="H143" s="54"/>
      <c r="I143" s="60">
        <f t="shared" si="5"/>
        <v>6.6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3">
        <f>109+18+17</f>
        <v>144</v>
      </c>
      <c r="C144" s="53">
        <v>2</v>
      </c>
      <c r="D144" s="63">
        <f>18+17</f>
        <v>35</v>
      </c>
      <c r="E144" s="54"/>
      <c r="F144" s="54"/>
      <c r="G144" s="54"/>
      <c r="H144" s="54"/>
      <c r="I144" s="60">
        <f t="shared" si="5"/>
        <v>6.2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3">
        <f>120+19</f>
        <v>139</v>
      </c>
      <c r="C145" s="53"/>
      <c r="D145" s="63"/>
      <c r="E145" s="54"/>
      <c r="F145" s="54"/>
      <c r="G145" s="54"/>
      <c r="H145" s="54"/>
      <c r="I145" s="60">
        <f t="shared" si="5"/>
        <v>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45</v>
      </c>
      <c r="B146" s="63">
        <f>129+19+19</f>
        <v>167</v>
      </c>
      <c r="C146" s="53">
        <v>3</v>
      </c>
      <c r="D146" s="63">
        <f>19+19</f>
        <v>38</v>
      </c>
      <c r="E146" s="54"/>
      <c r="F146" s="54"/>
      <c r="G146" s="54"/>
      <c r="H146" s="54"/>
      <c r="I146" s="60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50</v>
      </c>
      <c r="B147" s="63">
        <f>136+18</f>
        <v>154</v>
      </c>
      <c r="C147" s="53"/>
      <c r="D147" s="63"/>
      <c r="E147" s="54"/>
      <c r="F147" s="54"/>
      <c r="G147" s="54"/>
      <c r="H147" s="54"/>
      <c r="I147" s="60">
        <f>IF(A147&lt;&gt;0,(B147-(B146-D146))/(A147-A146),"")</f>
        <v>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55</v>
      </c>
      <c r="B148" s="63">
        <f>142+17+18</f>
        <v>177</v>
      </c>
      <c r="C148" s="53">
        <v>4</v>
      </c>
      <c r="D148" s="63">
        <f>17+18</f>
        <v>35</v>
      </c>
      <c r="E148" s="54"/>
      <c r="F148" s="54"/>
      <c r="G148" s="54"/>
      <c r="H148" s="54"/>
      <c r="I148" s="60">
        <f t="shared" si="5"/>
        <v>4.5999999999999996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60</v>
      </c>
      <c r="B149" s="63">
        <f>148+17</f>
        <v>165</v>
      </c>
      <c r="C149" s="53"/>
      <c r="D149" s="63"/>
      <c r="E149" s="54"/>
      <c r="F149" s="54"/>
      <c r="G149" s="54"/>
      <c r="H149" s="54"/>
      <c r="I149" s="60">
        <f t="shared" si="5"/>
        <v>4.5999999999999996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65</v>
      </c>
      <c r="B150" s="63">
        <f>153+16+17</f>
        <v>186</v>
      </c>
      <c r="C150" s="53">
        <v>5</v>
      </c>
      <c r="D150" s="63">
        <f>16+17</f>
        <v>33</v>
      </c>
      <c r="E150" s="54"/>
      <c r="F150" s="54"/>
      <c r="G150" s="54"/>
      <c r="H150" s="54"/>
      <c r="I150" s="60">
        <f t="shared" si="5"/>
        <v>4.2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70</v>
      </c>
      <c r="B151" s="63">
        <f>157+15</f>
        <v>172</v>
      </c>
      <c r="C151" s="53"/>
      <c r="D151" s="63"/>
      <c r="E151" s="54"/>
      <c r="F151" s="54"/>
      <c r="G151" s="54"/>
      <c r="H151" s="54"/>
      <c r="I151" s="60">
        <f t="shared" si="5"/>
        <v>3.8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75</v>
      </c>
      <c r="B152" s="63">
        <f>161+14+15</f>
        <v>190</v>
      </c>
      <c r="C152" s="53">
        <v>6</v>
      </c>
      <c r="D152" s="63">
        <f>14+15</f>
        <v>29</v>
      </c>
      <c r="E152" s="57"/>
      <c r="F152" s="57"/>
      <c r="G152" s="57"/>
      <c r="H152" s="57"/>
      <c r="I152" s="60">
        <f t="shared" si="5"/>
        <v>3.6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80</v>
      </c>
      <c r="B153" s="63">
        <f>165+13</f>
        <v>178</v>
      </c>
      <c r="C153" s="53"/>
      <c r="D153" s="63"/>
      <c r="E153" s="57"/>
      <c r="F153" s="57"/>
      <c r="G153" s="57"/>
      <c r="H153" s="57"/>
      <c r="I153" s="60">
        <f t="shared" si="5"/>
        <v>3.4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>
        <v>85</v>
      </c>
      <c r="B154" s="59">
        <f>168+12+13</f>
        <v>193</v>
      </c>
      <c r="C154" s="53"/>
      <c r="D154" s="53"/>
      <c r="E154" s="57"/>
      <c r="F154" s="57"/>
      <c r="G154" s="57"/>
      <c r="H154" s="57"/>
      <c r="I154" s="60">
        <f t="shared" si="5"/>
        <v>3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>
        <v>90</v>
      </c>
      <c r="B155" s="59">
        <f>171+11+12+13</f>
        <v>207</v>
      </c>
      <c r="C155" s="53">
        <v>7</v>
      </c>
      <c r="D155" s="53">
        <v>207</v>
      </c>
      <c r="E155" s="57"/>
      <c r="F155" s="57"/>
      <c r="G155" s="57"/>
      <c r="H155" s="57"/>
      <c r="I155" s="60">
        <f t="shared" si="5"/>
        <v>2.8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pubescent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301" t="s">
        <v>186</v>
      </c>
      <c r="D164" s="301"/>
      <c r="E164" s="302" t="s">
        <v>187</v>
      </c>
      <c r="F164" s="303"/>
      <c r="G164" s="303"/>
      <c r="H164" s="304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297">
        <v>20</v>
      </c>
      <c r="B166" s="298">
        <v>42</v>
      </c>
      <c r="C166" s="298"/>
      <c r="D166" s="298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297">
        <v>25</v>
      </c>
      <c r="B167" s="298">
        <v>70</v>
      </c>
      <c r="C167" s="298">
        <v>1</v>
      </c>
      <c r="D167" s="298">
        <v>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297">
        <v>30</v>
      </c>
      <c r="B168" s="298">
        <v>97</v>
      </c>
      <c r="C168" s="298"/>
      <c r="D168" s="298"/>
      <c r="E168" s="54"/>
      <c r="F168" s="54"/>
      <c r="G168" s="54"/>
      <c r="H168" s="54"/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297">
        <v>35</v>
      </c>
      <c r="B169" s="298">
        <v>137</v>
      </c>
      <c r="C169" s="298">
        <v>2</v>
      </c>
      <c r="D169" s="298">
        <v>42</v>
      </c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297">
        <v>40</v>
      </c>
      <c r="B170" s="298">
        <v>137</v>
      </c>
      <c r="C170" s="298"/>
      <c r="D170" s="298"/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297">
        <v>45</v>
      </c>
      <c r="B171" s="298">
        <f>137+21+21</f>
        <v>179</v>
      </c>
      <c r="C171" s="298">
        <v>3</v>
      </c>
      <c r="D171" s="298">
        <f>21+21</f>
        <v>42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297">
        <v>50</v>
      </c>
      <c r="B172" s="298">
        <f>157+21</f>
        <v>178</v>
      </c>
      <c r="C172" s="298"/>
      <c r="D172" s="298"/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99">
        <v>55</v>
      </c>
      <c r="B173" s="298">
        <f>176+21+21</f>
        <v>218</v>
      </c>
      <c r="C173" s="298">
        <v>4</v>
      </c>
      <c r="D173" s="298">
        <v>42</v>
      </c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99">
        <v>60</v>
      </c>
      <c r="B174" s="298">
        <f>193+21</f>
        <v>214</v>
      </c>
      <c r="C174" s="298"/>
      <c r="D174" s="298"/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99">
        <v>65</v>
      </c>
      <c r="B175" s="298">
        <f>208+21+21</f>
        <v>250</v>
      </c>
      <c r="C175" s="298">
        <v>5</v>
      </c>
      <c r="D175" s="298">
        <v>42</v>
      </c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99">
        <v>70</v>
      </c>
      <c r="B176" s="298">
        <f>221+21</f>
        <v>242</v>
      </c>
      <c r="C176" s="298"/>
      <c r="D176" s="298"/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99">
        <v>75</v>
      </c>
      <c r="B177" s="298">
        <f>231+21+21</f>
        <v>273</v>
      </c>
      <c r="C177" s="298">
        <v>6</v>
      </c>
      <c r="D177" s="298">
        <v>42</v>
      </c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99">
        <v>85</v>
      </c>
      <c r="B178" s="298">
        <f>248+21+21</f>
        <v>290</v>
      </c>
      <c r="C178" s="298">
        <v>7</v>
      </c>
      <c r="D178" s="298">
        <v>42</v>
      </c>
      <c r="E178" s="54"/>
      <c r="F178" s="54"/>
      <c r="G178" s="54"/>
      <c r="H178" s="54"/>
      <c r="I178" s="52">
        <f t="shared" si="6"/>
        <v>5.9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99">
        <v>95</v>
      </c>
      <c r="B179" s="298">
        <f>258+21+21</f>
        <v>300</v>
      </c>
      <c r="C179" s="298">
        <v>8</v>
      </c>
      <c r="D179" s="298">
        <v>42</v>
      </c>
      <c r="E179" s="54"/>
      <c r="F179" s="54"/>
      <c r="G179" s="54"/>
      <c r="H179" s="54"/>
      <c r="I179" s="52">
        <f t="shared" si="6"/>
        <v>5.2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99">
        <v>105</v>
      </c>
      <c r="B180" s="297">
        <f>264+20+21</f>
        <v>305</v>
      </c>
      <c r="C180" s="297">
        <v>9</v>
      </c>
      <c r="D180" s="297">
        <v>41</v>
      </c>
      <c r="E180" s="54"/>
      <c r="F180" s="54"/>
      <c r="G180" s="54"/>
      <c r="H180" s="54"/>
      <c r="I180" s="52">
        <f t="shared" si="6"/>
        <v>4.7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99">
        <v>115</v>
      </c>
      <c r="B181" s="297">
        <f>267+18+19</f>
        <v>304</v>
      </c>
      <c r="C181" s="297">
        <v>10</v>
      </c>
      <c r="D181" s="297">
        <v>37</v>
      </c>
      <c r="E181" s="54"/>
      <c r="F181" s="54"/>
      <c r="G181" s="54"/>
      <c r="H181" s="54"/>
      <c r="I181" s="52">
        <f t="shared" si="6"/>
        <v>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99">
        <v>125</v>
      </c>
      <c r="B182" s="297">
        <f>268+16+17</f>
        <v>301</v>
      </c>
      <c r="C182" s="297">
        <v>11</v>
      </c>
      <c r="D182" s="297">
        <v>33</v>
      </c>
      <c r="E182" s="54"/>
      <c r="F182" s="54"/>
      <c r="G182" s="54"/>
      <c r="H182" s="54"/>
      <c r="I182" s="52">
        <f t="shared" si="6"/>
        <v>3.4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99">
        <v>135</v>
      </c>
      <c r="B183" s="297">
        <f>269+14+15</f>
        <v>298</v>
      </c>
      <c r="C183" s="297">
        <v>12</v>
      </c>
      <c r="D183" s="297">
        <v>29</v>
      </c>
      <c r="E183" s="54"/>
      <c r="F183" s="54"/>
      <c r="G183" s="54"/>
      <c r="H183" s="54"/>
      <c r="I183" s="52">
        <f t="shared" si="6"/>
        <v>3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99">
        <v>145</v>
      </c>
      <c r="B184" s="297">
        <f>269+13+13</f>
        <v>295</v>
      </c>
      <c r="C184" s="297"/>
      <c r="D184" s="297"/>
      <c r="E184" s="54"/>
      <c r="F184" s="54"/>
      <c r="G184" s="54"/>
      <c r="H184" s="54"/>
      <c r="I184" s="52">
        <f t="shared" si="6"/>
        <v>2.6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99">
        <v>150</v>
      </c>
      <c r="B185" s="297">
        <f>268+12+13+13</f>
        <v>306</v>
      </c>
      <c r="C185" s="297">
        <v>13</v>
      </c>
      <c r="D185" s="297">
        <v>306</v>
      </c>
      <c r="E185" s="54"/>
      <c r="F185" s="54"/>
      <c r="G185" s="54"/>
      <c r="H185" s="54"/>
      <c r="I185" s="52">
        <f t="shared" si="6"/>
        <v>2.2000000000000002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301" t="s">
        <v>186</v>
      </c>
      <c r="D190" s="301"/>
      <c r="E190" s="302" t="s">
        <v>187</v>
      </c>
      <c r="F190" s="303"/>
      <c r="G190" s="303"/>
      <c r="H190" s="304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301" t="s">
        <v>186</v>
      </c>
      <c r="D216" s="301"/>
      <c r="E216" s="302" t="s">
        <v>187</v>
      </c>
      <c r="F216" s="303"/>
      <c r="G216" s="303"/>
      <c r="H216" s="304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301" t="s">
        <v>186</v>
      </c>
      <c r="D242" s="301"/>
      <c r="E242" s="302" t="s">
        <v>187</v>
      </c>
      <c r="F242" s="303"/>
      <c r="G242" s="303"/>
      <c r="H242" s="304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301" t="s">
        <v>186</v>
      </c>
      <c r="D268" s="301"/>
      <c r="E268" s="302" t="s">
        <v>187</v>
      </c>
      <c r="F268" s="303"/>
      <c r="G268" s="303"/>
      <c r="H268" s="304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6" t="s">
        <v>191</v>
      </c>
      <c r="C2" s="317"/>
      <c r="D2" s="317"/>
      <c r="E2" s="317"/>
      <c r="F2" s="317"/>
      <c r="G2" s="31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15"/>
      <c r="C4" s="315"/>
      <c r="D4" s="315"/>
      <c r="E4" s="315"/>
      <c r="F4" s="315"/>
      <c r="G4" s="31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22" t="s">
        <v>176</v>
      </c>
      <c r="C1" s="323"/>
      <c r="D1" s="323"/>
      <c r="E1" s="323"/>
      <c r="F1" s="323"/>
      <c r="G1" s="323"/>
      <c r="H1" s="324"/>
      <c r="I1" s="319" t="str">
        <f>IF('Données projet'!$B$9="","",'Données projet'!$B$9)</f>
        <v>Chêne sessile</v>
      </c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1"/>
      <c r="AD1" s="320" t="str">
        <f>IF('Données projet'!$B$10="","",'Données projet'!$B$10)</f>
        <v>Chêne rouge d'Amérique</v>
      </c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1"/>
      <c r="AY1" s="319" t="str">
        <f>IF('Données projet'!$B$11="","",'Données projet'!$B$11)</f>
        <v>Pin maritime</v>
      </c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1"/>
      <c r="BT1" s="319" t="str">
        <f>IF('Données projet'!$B$12="","",'Données projet'!$B$12)</f>
        <v>Pin sylvestre</v>
      </c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1"/>
      <c r="CO1" s="319" t="str">
        <f>IF('Données projet'!$B$13="","",'Données projet'!$B$13)</f>
        <v>Aulne glutineux</v>
      </c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1"/>
      <c r="DJ1" s="319" t="str">
        <f>IF('Données projet'!$B$14="","",'Données projet'!$B$14)</f>
        <v>Chêne pubescent</v>
      </c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1"/>
      <c r="EE1" s="319" t="str">
        <f>IF('Données projet'!$B$15="","",'Données projet'!$B$15)</f>
        <v/>
      </c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1"/>
      <c r="EZ1" s="319" t="str">
        <f>IF('Données projet'!$B$16="","",'Données projet'!$B$16)</f>
        <v/>
      </c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320"/>
      <c r="FL1" s="320"/>
      <c r="FM1" s="320"/>
      <c r="FN1" s="320"/>
      <c r="FO1" s="320"/>
      <c r="FP1" s="320"/>
      <c r="FQ1" s="320"/>
      <c r="FR1" s="320"/>
      <c r="FS1" s="320"/>
      <c r="FT1" s="321"/>
      <c r="FU1" s="319" t="str">
        <f>IF('Données projet'!$B$17="","",'Données projet'!$B$17)</f>
        <v/>
      </c>
      <c r="FV1" s="320"/>
      <c r="FW1" s="320"/>
      <c r="FX1" s="320"/>
      <c r="FY1" s="320"/>
      <c r="FZ1" s="320"/>
      <c r="GA1" s="320"/>
      <c r="GB1" s="320"/>
      <c r="GC1" s="320"/>
      <c r="GD1" s="320"/>
      <c r="GE1" s="320"/>
      <c r="GF1" s="320"/>
      <c r="GG1" s="320"/>
      <c r="GH1" s="320"/>
      <c r="GI1" s="320"/>
      <c r="GJ1" s="320"/>
      <c r="GK1" s="320"/>
      <c r="GL1" s="320"/>
      <c r="GM1" s="320"/>
      <c r="GN1" s="320"/>
      <c r="GO1" s="321"/>
      <c r="GP1" s="319" t="str">
        <f>IF('Données projet'!$B$18="","",'Données projet'!$B$18)</f>
        <v/>
      </c>
      <c r="GQ1" s="320"/>
      <c r="GR1" s="320"/>
      <c r="GS1" s="320"/>
      <c r="GT1" s="320"/>
      <c r="GU1" s="320"/>
      <c r="GV1" s="320"/>
      <c r="GW1" s="320"/>
      <c r="GX1" s="320"/>
      <c r="GY1" s="320"/>
      <c r="GZ1" s="320"/>
      <c r="HA1" s="320"/>
      <c r="HB1" s="320"/>
      <c r="HC1" s="320"/>
      <c r="HD1" s="320"/>
      <c r="HE1" s="320"/>
      <c r="HF1" s="320"/>
      <c r="HG1" s="320"/>
      <c r="HH1" s="320"/>
      <c r="HI1" s="320"/>
      <c r="HJ1" s="32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177.70053246230015</v>
      </c>
      <c r="T3" s="62">
        <f>IF('Données projet'!E9&gt;30,$R$33-$H$33,LOOKUP('Données projet'!$E$9,$A$3:$A$203,R3:R203)-LOOKUP('Données projet'!$E$9,$A$3:$A$203,$H$3:$H$203))</f>
        <v>85.631326020763254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212.11273590951606</v>
      </c>
      <c r="AO3" s="62">
        <f>IF('Données projet'!E10&gt;30,$AM$33-$H$33,LOOKUP('Données projet'!$E$10,$A$3:$A$203,AM3:AM203)-LOOKUP('Données projet'!$E$10,$A$3:$A$203,$H$3:$H$203))</f>
        <v>240.9595690943346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172.49153247238672</v>
      </c>
      <c r="BJ3" s="62">
        <f>IF('Données projet'!E11&gt;30,$BH$33-$H$33,LOOKUP('Données projet'!$E$11,$A$3:$A$203,BH3:BH203)-LOOKUP('Données projet'!$E$11,$A$3:$A$203,$H$3:$H$203))</f>
        <v>301.94982606323254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177.71338645688661</v>
      </c>
      <c r="CE3" s="62">
        <f>IF('Données projet'!E12&gt;30,$CC$33-$H$33,LOOKUP('Données projet'!$E$12,$A$3:$A$203,CC3:CC203)-LOOKUP('Données projet'!$E$12,$A$3:$A$203,$H$3:$H$203))</f>
        <v>153.65872713651345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118.65321241325523</v>
      </c>
      <c r="CZ3" s="62">
        <f>IF('Données projet'!E13&gt;30,$CX$33-$H$33,LOOKUP('Données projet'!$E$13,$A$3:$A$203,CX3:CX203)-LOOKUP('Données projet'!$E$13,$A$3:$A$203,$H$3:$H$203))</f>
        <v>140.55041555757327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328.70784159273131</v>
      </c>
      <c r="DU3" s="62">
        <f>IF('Données projet'!E14&gt;30,$DS$33-$H$33,LOOKUP('Données projet'!$E$14,$A$3:$A$203,DS3:DS203)-LOOKUP('Données projet'!$E$14,$A$3:$A$203,$H$3:$H$203))</f>
        <v>193.18009444354601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1.0366626273684145</v>
      </c>
      <c r="P4" s="14">
        <f>EXP(-1.0587+0.8836*LN(O4)+0.284)</f>
        <v>0.47573960617002853</v>
      </c>
      <c r="Q4" s="22">
        <f t="shared" ref="Q4:Q34" si="2">(O4+P4)*0.475*44/12</f>
        <v>2.6341005567461218</v>
      </c>
      <c r="R4" s="62">
        <f t="shared" si="0"/>
        <v>260.52298944563501</v>
      </c>
      <c r="S4" s="62">
        <f ca="1">AVERAGE(OFFSET($R$3,0,0,'Données projet'!$E$9+1,1))-AVERAGE(OFFSET($H$3,0,0,'Données projet'!$E$9+1,1))</f>
        <v>177.70053246230015</v>
      </c>
      <c r="T4" s="62">
        <f>$T$3</f>
        <v>85.631326020763254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1.8</v>
      </c>
      <c r="AI4" s="14">
        <f>IF('Données projet'!$A$62&gt;35,AI3+AH4-AQ3,IF(A4&lt;'Données projet'!$A$62,$AF$205^A4,IF(A4='Données projet'!$A$62,'Données projet'!$B$62,AI3+AH4-AQ3)))</f>
        <v>1.335141362540313</v>
      </c>
      <c r="AJ4" s="14">
        <f>AI4*VLOOKUP('Données projet'!$B$10,Paramètres!$A$1:$I$89,3,0)*VLOOKUP('Données projet'!$B$10,Paramètres!$A$1:$I$89,5,0)</f>
        <v>1.1663794943152175</v>
      </c>
      <c r="AK4" s="14">
        <f>EXP(-1.0587+0.8836*LN(AJ4)+0.284)</f>
        <v>0.52797307958445927</v>
      </c>
      <c r="AL4" s="22">
        <f t="shared" ref="AL4:AL67" si="4">(AJ4+AK4)*0.475*44/12</f>
        <v>2.9509973995419365</v>
      </c>
      <c r="AM4" s="62">
        <f t="shared" ref="AM4:AM67" si="5">AL4+(AD4+AE4)*44/12</f>
        <v>260.83988628843082</v>
      </c>
      <c r="AN4" s="62">
        <f ca="1">AVERAGE(OFFSET($AM$3,0,0,'Données projet'!$E$10+1,1))-AVERAGE(OFFSET($H$3,0,0,'Données projet'!$E$10+1,1))</f>
        <v>212.11273590951606</v>
      </c>
      <c r="AO4" s="62">
        <f>$AO$3</f>
        <v>240.9595690943346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4.0552083333333337</v>
      </c>
      <c r="BD4" s="13">
        <f>IF('Données projet'!$A$88&gt;35,BD3+BC4-BL3,IF(A4&lt;'Données projet'!$A$88,$BA$205^A4,IF(A4='Données projet'!$A$88,'Données projet'!$B$88,BD3+BC4-BL3)))</f>
        <v>1.3822911730149987</v>
      </c>
      <c r="BE4" s="14">
        <f>BD4*VLOOKUP('Données projet'!$B$11,Paramètres!$A$1:$I$89,3,0)*VLOOKUP('Données projet'!$B$11,Paramètres!$A$1:$I$89,5,0)</f>
        <v>0.82661012146296919</v>
      </c>
      <c r="BF4" s="14">
        <f>EXP(-1.0587+0.8836*LN(BE4)+0.284)</f>
        <v>0.38947445648608353</v>
      </c>
      <c r="BG4" s="22">
        <f t="shared" ref="BG4:BG67" si="7">(BE4+BF4)*0.475*44/12</f>
        <v>2.1180139732612671</v>
      </c>
      <c r="BH4" s="62">
        <f t="shared" ref="BH4:BH67" si="8">BG4+(AY4+AZ4)*44/12</f>
        <v>260.00690286215013</v>
      </c>
      <c r="BI4" s="62">
        <f ca="1">AVERAGE(OFFSET($BH$3,0,0,'Données projet'!$E$11+1,1))-AVERAGE(OFFSET($H$3,0,0,'Données projet'!$E$11+1,1))</f>
        <v>172.49153247238672</v>
      </c>
      <c r="BJ4" s="62">
        <f>$BJ$3</f>
        <v>301.94982606323254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3.92</v>
      </c>
      <c r="BY4" s="13">
        <f>IF('Données projet'!$A$114&gt;35,BY3+BX4-CG3,IF(A4&lt;'Données projet'!$A$114,$BV$205^A4,IF(A4='Données projet'!$A$114,'Données projet'!$B$114,BY3+BX4-CG3)))</f>
        <v>1.201293267214846</v>
      </c>
      <c r="BZ4" s="14">
        <f>BY4*VLOOKUP('Données projet'!$B$12,Paramètres!$A$1:$I$89,3,0)*VLOOKUP('Données projet'!$B$12,Paramètres!$A$1:$I$89,5,0)</f>
        <v>0.68713974884689188</v>
      </c>
      <c r="CA4" s="14">
        <f>EXP(-1.0587+0.8836*LN(BZ4)+0.284)</f>
        <v>0.33079968728607767</v>
      </c>
      <c r="CB4" s="22">
        <f t="shared" ref="CB4:CB67" si="10">(BZ4+CA4)*0.475*44/12</f>
        <v>1.7729111845982548</v>
      </c>
      <c r="CC4" s="62">
        <f t="shared" ref="CC4:CC67" si="11">CB4+(BT4+BU4)*44/12</f>
        <v>259.66180007348709</v>
      </c>
      <c r="CD4" s="62">
        <f ca="1">AVERAGE(OFFSET($CC$3,0,0,'Données projet'!$E$12+1,1))-AVERAGE(OFFSET($H$3,0,0,'Données projet'!$E$12+1,1))</f>
        <v>177.71338645688661</v>
      </c>
      <c r="CE4" s="62">
        <f>$CE$3</f>
        <v>153.65872713651345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1.9333333333333333</v>
      </c>
      <c r="CT4" s="13">
        <f>IF('Données projet'!$A$140&gt;35,CT3+CS4-DB3,IF(A4&lt;'Données projet'!$A$140,$CQ$205^A4,IF(A4='Données projet'!$A$140,'Données projet'!$B$140,CT3+CS4-DB3)))</f>
        <v>1.2516796742016716</v>
      </c>
      <c r="CU4" s="18">
        <f>CT4*VLOOKUP('Données projet'!$B$13,Paramètres!$A$1:$I$89,3,0)*VLOOKUP('Données projet'!$B$13,Paramètres!$A$1:$I$89,5,0)</f>
        <v>0.82010052253693522</v>
      </c>
      <c r="CV4" s="14">
        <f>EXP(-1.0587+0.8836*LN(CU4)+0.284)</f>
        <v>0.38676309271340364</v>
      </c>
      <c r="CW4" s="22">
        <f t="shared" ref="CW4:CW67" si="13">(CU4+CV4)*0.475*44/12</f>
        <v>2.1019541298943403</v>
      </c>
      <c r="CX4" s="62">
        <f t="shared" ref="CX4:CX67" si="14">CW4+(CO4+CP4)*44/12</f>
        <v>259.99084301878321</v>
      </c>
      <c r="CY4" s="62">
        <f ca="1">AVERAGE(OFFSET($CX$3,0,0,'Données projet'!$E$13+1,1))-AVERAGE(OFFSET($H$3,0,0,'Données projet'!$E$13+1,1))</f>
        <v>118.65321241325523</v>
      </c>
      <c r="CZ4" s="62">
        <f>$CZ$3</f>
        <v>140.55041555757327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1.2223636300497438</v>
      </c>
      <c r="DQ4" s="14">
        <f>EXP(-1.0587+0.8836*LN(DP4)+0.284)</f>
        <v>0.55030360208821416</v>
      </c>
      <c r="DR4" s="22">
        <f t="shared" ref="DR4:DR67" si="16">(DP4+DQ4)*0.475*44/12</f>
        <v>3.0873954293069432</v>
      </c>
      <c r="DS4" s="62">
        <f t="shared" ref="DS4:DS67" si="17">DR4+(DJ4+DK4)*44/12</f>
        <v>260.97628431819578</v>
      </c>
      <c r="DT4" s="62">
        <f ca="1">AVERAGE(OFFSET($DS$3,0,0,'Données projet'!$E$14+1,1))-AVERAGE(OFFSET($H$3,0,0,'Données projet'!$E$14+1,1))</f>
        <v>328.70784159273131</v>
      </c>
      <c r="DU4" s="62">
        <f>$DU$3</f>
        <v>193.18009444354601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1.187742487823148</v>
      </c>
      <c r="P5" s="14">
        <f t="shared" ref="P5:P68" si="33">EXP(-1.0587+0.8836*LN(O5)+0.284)</f>
        <v>0.53650859312100496</v>
      </c>
      <c r="Q5" s="22">
        <f t="shared" si="2"/>
        <v>3.0030706326443997</v>
      </c>
      <c r="R5" s="62">
        <f t="shared" si="0"/>
        <v>262.11418174375552</v>
      </c>
      <c r="S5" s="62">
        <f ca="1">AVERAGE(OFFSET($R$3,0,0,'Données projet'!$E$9+1,1))-AVERAGE(OFFSET($H$3,0,0,'Données projet'!$E$9+1,1))</f>
        <v>177.70053246230015</v>
      </c>
      <c r="T5" s="62">
        <f t="shared" ref="T5:T68" si="34">$T$3</f>
        <v>85.631326020763254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1.8</v>
      </c>
      <c r="AI5" s="14">
        <f>IF('Données projet'!$A$62&gt;35,AI4+AH5-AQ4,IF(A5&lt;'Données projet'!$A$62,$AF$205^A5,IF(A5='Données projet'!$A$62,'Données projet'!$B$62,AI4+AH5-AQ4)))</f>
        <v>1.7826024579660036</v>
      </c>
      <c r="AJ5" s="14">
        <f>AI5*VLOOKUP('Données projet'!$B$10,Paramètres!$A$1:$I$89,3,0)*VLOOKUP('Données projet'!$B$10,Paramètres!$A$1:$I$89,5,0)</f>
        <v>1.5572815072791011</v>
      </c>
      <c r="AK5" s="14">
        <f t="shared" ref="AK5:AK68" si="35">EXP(-1.0587+0.8836*LN(AJ5)+0.284)</f>
        <v>0.68159698037116012</v>
      </c>
      <c r="AL5" s="22">
        <f t="shared" si="4"/>
        <v>3.8993800326575379</v>
      </c>
      <c r="AM5" s="62">
        <f t="shared" si="5"/>
        <v>263.01049114376866</v>
      </c>
      <c r="AN5" s="62">
        <f ca="1">AVERAGE(OFFSET($AM$3,0,0,'Données projet'!$E$10+1,1))-AVERAGE(OFFSET($H$3,0,0,'Données projet'!$E$10+1,1))</f>
        <v>212.11273590951606</v>
      </c>
      <c r="AO5" s="62">
        <f t="shared" ref="AO5:AO68" si="36">$AO$3</f>
        <v>240.9595690943346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4.0552083333333337</v>
      </c>
      <c r="BD5" s="13">
        <f>IF('Données projet'!$A$88&gt;35,BD4+BC5-BL4,IF(A5&lt;'Données projet'!$A$88,$BA$205^A5,IF(A5='Données projet'!$A$88,'Données projet'!$B$88,BD4+BC5-BL4)))</f>
        <v>1.9107288869951811</v>
      </c>
      <c r="BE5" s="14">
        <f>BD5*VLOOKUP('Données projet'!$B$11,Paramètres!$A$1:$I$89,3,0)*VLOOKUP('Données projet'!$B$11,Paramètres!$A$1:$I$89,5,0)</f>
        <v>1.1426158744231183</v>
      </c>
      <c r="BF5" s="14">
        <f t="shared" ref="BF5:BF68" si="37">EXP(-1.0587+0.8836*LN(BE5)+0.284)</f>
        <v>0.51845698362995651</v>
      </c>
      <c r="BG5" s="22">
        <f t="shared" si="7"/>
        <v>2.8930352277757714</v>
      </c>
      <c r="BH5" s="62">
        <f t="shared" si="8"/>
        <v>262.00414633888693</v>
      </c>
      <c r="BI5" s="62">
        <f ca="1">AVERAGE(OFFSET($BH$3,0,0,'Données projet'!$E$11+1,1))-AVERAGE(OFFSET($H$3,0,0,'Données projet'!$E$11+1,1))</f>
        <v>172.49153247238672</v>
      </c>
      <c r="BJ5" s="62">
        <f t="shared" ref="BJ5:BJ68" si="38">$BJ$3</f>
        <v>301.94982606323254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3.92</v>
      </c>
      <c r="BY5" s="13">
        <f>IF('Données projet'!$A$114&gt;35,BY4+BX5-CG4,IF(A5&lt;'Données projet'!$A$114,$BV$205^A5,IF(A5='Données projet'!$A$114,'Données projet'!$B$114,BY4+BX5-CG4)))</f>
        <v>1.4431055138557194</v>
      </c>
      <c r="BZ5" s="14">
        <f>BY5*VLOOKUP('Données projet'!$B$12,Paramètres!$A$1:$I$89,3,0)*VLOOKUP('Données projet'!$B$12,Paramètres!$A$1:$I$89,5,0)</f>
        <v>0.82545635392547156</v>
      </c>
      <c r="CA5" s="14">
        <f t="shared" ref="CA5:CA68" si="39">EXP(-1.0587+0.8836*LN(BZ5)+0.284)</f>
        <v>0.3889940735408815</v>
      </c>
      <c r="CB5" s="22">
        <f t="shared" si="10"/>
        <v>2.1151678278372312</v>
      </c>
      <c r="CC5" s="62">
        <f t="shared" si="11"/>
        <v>261.22627893894838</v>
      </c>
      <c r="CD5" s="62">
        <f ca="1">AVERAGE(OFFSET($CC$3,0,0,'Données projet'!$E$12+1,1))-AVERAGE(OFFSET($H$3,0,0,'Données projet'!$E$12+1,1))</f>
        <v>177.71338645688661</v>
      </c>
      <c r="CE5" s="62">
        <f t="shared" ref="CE5:CE68" si="40">$CE$3</f>
        <v>153.65872713651345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1.9333333333333333</v>
      </c>
      <c r="CT5" s="13">
        <f>IF('Données projet'!$A$140&gt;35,CT4+CS5-DB4,IF(A5&lt;'Données projet'!$A$140,$CQ$205^A5,IF(A5='Données projet'!$A$140,'Données projet'!$B$140,CT4+CS5-DB4)))</f>
        <v>1.5667020068096027</v>
      </c>
      <c r="CU5" s="18">
        <f>CT5*VLOOKUP('Données projet'!$B$13,Paramètres!$A$1:$I$89,3,0)*VLOOKUP('Données projet'!$B$13,Paramètres!$A$1:$I$89,5,0)</f>
        <v>1.0265031548616517</v>
      </c>
      <c r="CV5" s="14">
        <f t="shared" ref="CV5:CV68" si="41">EXP(-1.0587+0.8836*LN(CU5)+0.284)</f>
        <v>0.4716176128966833</v>
      </c>
      <c r="CW5" s="22">
        <f t="shared" si="13"/>
        <v>2.6092270038457666</v>
      </c>
      <c r="CX5" s="62">
        <f t="shared" si="14"/>
        <v>261.72033811495692</v>
      </c>
      <c r="CY5" s="62">
        <f ca="1">AVERAGE(OFFSET($CX$3,0,0,'Données projet'!$E$13+1,1))-AVERAGE(OFFSET($H$3,0,0,'Données projet'!$E$13+1,1))</f>
        <v>118.65321241325523</v>
      </c>
      <c r="CZ5" s="62">
        <f t="shared" ref="CZ5:CZ68" si="42">$CZ$3</f>
        <v>140.55041555757327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1.47354323872622</v>
      </c>
      <c r="DQ5" s="14">
        <f t="shared" ref="DQ5:DQ68" si="43">EXP(-1.0587+0.8836*LN(DP5)+0.284)</f>
        <v>0.64910881835703094</v>
      </c>
      <c r="DR5" s="22">
        <f t="shared" si="16"/>
        <v>3.6969523327533285</v>
      </c>
      <c r="DS5" s="62">
        <f t="shared" si="17"/>
        <v>262.80806344386446</v>
      </c>
      <c r="DT5" s="62">
        <f ca="1">AVERAGE(OFFSET($DS$3,0,0,'Données projet'!$E$14+1,1))-AVERAGE(OFFSET($H$3,0,0,'Données projet'!$E$14+1,1))</f>
        <v>328.70784159273131</v>
      </c>
      <c r="DU5" s="62">
        <f t="shared" ref="DU5:DU68" si="44">$DU$3</f>
        <v>193.18009444354601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1.3608402387973495</v>
      </c>
      <c r="P6" s="14">
        <f t="shared" si="33"/>
        <v>0.60503995622724338</v>
      </c>
      <c r="Q6" s="22">
        <f t="shared" si="2"/>
        <v>3.4239080063344987</v>
      </c>
      <c r="R6" s="62">
        <f t="shared" si="0"/>
        <v>263.75724133966781</v>
      </c>
      <c r="S6" s="62">
        <f ca="1">AVERAGE(OFFSET($R$3,0,0,'Données projet'!$E$9+1,1))-AVERAGE(OFFSET($H$3,0,0,'Données projet'!$E$9+1,1))</f>
        <v>177.70053246230015</v>
      </c>
      <c r="T6" s="62">
        <f t="shared" si="34"/>
        <v>85.631326020763254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1.8</v>
      </c>
      <c r="AI6" s="14">
        <f>IF('Données projet'!$A$62&gt;35,AI5+AH6-AQ5,IF(A6&lt;'Données projet'!$A$62,$AF$205^A6,IF(A6='Données projet'!$A$62,'Données projet'!$B$62,AI5+AH6-AQ5)))</f>
        <v>2.3800262745964411</v>
      </c>
      <c r="AJ6" s="14">
        <f>AI6*VLOOKUP('Données projet'!$B$10,Paramètres!$A$1:$I$89,3,0)*VLOOKUP('Données projet'!$B$10,Paramètres!$A$1:$I$89,5,0)</f>
        <v>2.0791909534874513</v>
      </c>
      <c r="AK6" s="14">
        <f t="shared" si="35"/>
        <v>0.87992070356451979</v>
      </c>
      <c r="AL6" s="22">
        <f t="shared" si="4"/>
        <v>5.1537861360321822</v>
      </c>
      <c r="AM6" s="62">
        <f t="shared" si="5"/>
        <v>265.4871194693655</v>
      </c>
      <c r="AN6" s="62">
        <f ca="1">AVERAGE(OFFSET($AM$3,0,0,'Données projet'!$E$10+1,1))-AVERAGE(OFFSET($H$3,0,0,'Données projet'!$E$10+1,1))</f>
        <v>212.11273590951606</v>
      </c>
      <c r="AO6" s="62">
        <f t="shared" si="36"/>
        <v>240.9595690943346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4.0552083333333337</v>
      </c>
      <c r="BD6" s="13">
        <f>IF('Données projet'!$A$88&gt;35,BD5+BC6-BL5,IF(A6&lt;'Données projet'!$A$88,$BA$205^A6,IF(A6='Données projet'!$A$88,'Données projet'!$B$88,BD5+BC6-BL5)))</f>
        <v>2.6411836745182118</v>
      </c>
      <c r="BE6" s="14">
        <f>BD6*VLOOKUP('Données projet'!$B$11,Paramètres!$A$1:$I$89,3,0)*VLOOKUP('Données projet'!$B$11,Paramètres!$A$1:$I$89,5,0)</f>
        <v>1.5794278373618909</v>
      </c>
      <c r="BF6" s="14">
        <f t="shared" si="37"/>
        <v>0.69015474416427491</v>
      </c>
      <c r="BG6" s="22">
        <f t="shared" si="7"/>
        <v>3.9528563294914054</v>
      </c>
      <c r="BH6" s="62">
        <f t="shared" si="8"/>
        <v>264.28618966282471</v>
      </c>
      <c r="BI6" s="62">
        <f ca="1">AVERAGE(OFFSET($BH$3,0,0,'Données projet'!$E$11+1,1))-AVERAGE(OFFSET($H$3,0,0,'Données projet'!$E$11+1,1))</f>
        <v>172.49153247238672</v>
      </c>
      <c r="BJ6" s="62">
        <f t="shared" si="38"/>
        <v>301.94982606323254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3.92</v>
      </c>
      <c r="BY6" s="13">
        <f>IF('Données projet'!$A$114&gt;35,BY5+BX6-CG5,IF(A6&lt;'Données projet'!$A$114,$BV$205^A6,IF(A6='Données projet'!$A$114,'Données projet'!$B$114,BY5+BX6-CG5)))</f>
        <v>1.7335929376754964</v>
      </c>
      <c r="BZ6" s="14">
        <f>BY6*VLOOKUP('Données projet'!$B$12,Paramètres!$A$1:$I$89,3,0)*VLOOKUP('Données projet'!$B$12,Paramètres!$A$1:$I$89,5,0)</f>
        <v>0.99161516035038388</v>
      </c>
      <c r="CA6" s="14">
        <f t="shared" si="39"/>
        <v>0.45742603474431143</v>
      </c>
      <c r="CB6" s="22">
        <f t="shared" si="10"/>
        <v>2.5237467481232607</v>
      </c>
      <c r="CC6" s="62">
        <f t="shared" si="11"/>
        <v>262.85708008145656</v>
      </c>
      <c r="CD6" s="62">
        <f ca="1">AVERAGE(OFFSET($CC$3,0,0,'Données projet'!$E$12+1,1))-AVERAGE(OFFSET($H$3,0,0,'Données projet'!$E$12+1,1))</f>
        <v>177.71338645688661</v>
      </c>
      <c r="CE6" s="62">
        <f t="shared" si="40"/>
        <v>153.65872713651345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1.9333333333333333</v>
      </c>
      <c r="CT6" s="13">
        <f>IF('Données projet'!$A$140&gt;35,CT5+CS6-DB5,IF(A6&lt;'Données projet'!$A$140,$CQ$205^A6,IF(A6='Données projet'!$A$140,'Données projet'!$B$140,CT5+CS6-DB5)))</f>
        <v>1.9610090574545487</v>
      </c>
      <c r="CU6" s="18">
        <f>CT6*VLOOKUP('Données projet'!$B$13,Paramètres!$A$1:$I$89,3,0)*VLOOKUP('Données projet'!$B$13,Paramètres!$A$1:$I$89,5,0)</f>
        <v>1.2848531344442202</v>
      </c>
      <c r="CV6" s="14">
        <f t="shared" si="41"/>
        <v>0.5750889290752057</v>
      </c>
      <c r="CW6" s="22">
        <f t="shared" si="13"/>
        <v>3.2393990939630002</v>
      </c>
      <c r="CX6" s="62">
        <f t="shared" si="14"/>
        <v>263.57273242729633</v>
      </c>
      <c r="CY6" s="62">
        <f ca="1">AVERAGE(OFFSET($CX$3,0,0,'Données projet'!$E$13+1,1))-AVERAGE(OFFSET($H$3,0,0,'Données projet'!$E$13+1,1))</f>
        <v>118.65321241325523</v>
      </c>
      <c r="CZ6" s="62">
        <f t="shared" si="42"/>
        <v>140.55041555757327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1.7763369450933317</v>
      </c>
      <c r="DQ6" s="14">
        <f t="shared" si="43"/>
        <v>0.76565418883323866</v>
      </c>
      <c r="DR6" s="22">
        <f t="shared" si="16"/>
        <v>4.4273012249221102</v>
      </c>
      <c r="DS6" s="62">
        <f t="shared" si="17"/>
        <v>264.76063455825545</v>
      </c>
      <c r="DT6" s="62">
        <f ca="1">AVERAGE(OFFSET($DS$3,0,0,'Données projet'!$E$14+1,1))-AVERAGE(OFFSET($H$3,0,0,'Données projet'!$E$14+1,1))</f>
        <v>328.70784159273131</v>
      </c>
      <c r="DU6" s="62">
        <f t="shared" si="44"/>
        <v>193.18009444354601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1.5591646964857659</v>
      </c>
      <c r="P7" s="14">
        <f t="shared" si="33"/>
        <v>0.68232522894353675</v>
      </c>
      <c r="Q7" s="22">
        <f t="shared" si="2"/>
        <v>3.9039282867893692</v>
      </c>
      <c r="R7" s="62">
        <f t="shared" si="0"/>
        <v>265.45948384234492</v>
      </c>
      <c r="S7" s="62">
        <f ca="1">AVERAGE(OFFSET($R$3,0,0,'Données projet'!$E$9+1,1))-AVERAGE(OFFSET($H$3,0,0,'Données projet'!$E$9+1,1))</f>
        <v>177.70053246230015</v>
      </c>
      <c r="T7" s="62">
        <f t="shared" si="34"/>
        <v>85.631326020763254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1.8</v>
      </c>
      <c r="AI7" s="14">
        <f>IF('Données projet'!$A$62&gt;35,AI6+AH7-AQ6,IF(A7&lt;'Données projet'!$A$62,$AF$205^A7,IF(A7='Données projet'!$A$62,'Données projet'!$B$62,AI6+AH7-AQ6)))</f>
        <v>3.1776715231464374</v>
      </c>
      <c r="AJ7" s="14">
        <f>AI7*VLOOKUP('Données projet'!$B$10,Paramètres!$A$1:$I$89,3,0)*VLOOKUP('Données projet'!$B$10,Paramètres!$A$1:$I$89,5,0)</f>
        <v>2.7760138426207281</v>
      </c>
      <c r="AK7" s="14">
        <f t="shared" si="35"/>
        <v>1.135950520408497</v>
      </c>
      <c r="AL7" s="22">
        <f t="shared" si="4"/>
        <v>6.8133379322758998</v>
      </c>
      <c r="AM7" s="62">
        <f t="shared" si="5"/>
        <v>268.36889348783143</v>
      </c>
      <c r="AN7" s="62">
        <f ca="1">AVERAGE(OFFSET($AM$3,0,0,'Données projet'!$E$10+1,1))-AVERAGE(OFFSET($H$3,0,0,'Données projet'!$E$10+1,1))</f>
        <v>212.11273590951606</v>
      </c>
      <c r="AO7" s="62">
        <f t="shared" si="36"/>
        <v>240.9595690943346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4.0552083333333337</v>
      </c>
      <c r="BD7" s="13">
        <f>IF('Données projet'!$A$88&gt;35,BD6+BC7-BL6,IF(A7&lt;'Données projet'!$A$88,$BA$205^A7,IF(A7='Données projet'!$A$88,'Données projet'!$B$88,BD6+BC7-BL6)))</f>
        <v>3.6508848795978435</v>
      </c>
      <c r="BE7" s="14">
        <f>BD7*VLOOKUP('Données projet'!$B$11,Paramètres!$A$1:$I$89,3,0)*VLOOKUP('Données projet'!$B$11,Paramètres!$A$1:$I$89,5,0)</f>
        <v>2.1832291579995107</v>
      </c>
      <c r="BF7" s="14">
        <f t="shared" si="37"/>
        <v>0.91871377169531943</v>
      </c>
      <c r="BG7" s="22">
        <f t="shared" si="7"/>
        <v>5.4025506025518295</v>
      </c>
      <c r="BH7" s="62">
        <f t="shared" si="8"/>
        <v>266.9581061581074</v>
      </c>
      <c r="BI7" s="62">
        <f ca="1">AVERAGE(OFFSET($BH$3,0,0,'Données projet'!$E$11+1,1))-AVERAGE(OFFSET($H$3,0,0,'Données projet'!$E$11+1,1))</f>
        <v>172.49153247238672</v>
      </c>
      <c r="BJ7" s="62">
        <f t="shared" si="38"/>
        <v>301.94982606323254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3.92</v>
      </c>
      <c r="BY7" s="13">
        <f>IF('Données projet'!$A$114&gt;35,BY6+BX7-CG6,IF(A7&lt;'Données projet'!$A$114,$BV$205^A7,IF(A7='Données projet'!$A$114,'Données projet'!$B$114,BY6+BX7-CG6)))</f>
        <v>2.08255352412078</v>
      </c>
      <c r="BZ7" s="14">
        <f>BY7*VLOOKUP('Données projet'!$B$12,Paramètres!$A$1:$I$89,3,0)*VLOOKUP('Données projet'!$B$12,Paramètres!$A$1:$I$89,5,0)</f>
        <v>1.1912206157970862</v>
      </c>
      <c r="CA7" s="14">
        <f t="shared" si="39"/>
        <v>0.53789656833914212</v>
      </c>
      <c r="CB7" s="22">
        <f t="shared" si="10"/>
        <v>3.0115457623705972</v>
      </c>
      <c r="CC7" s="62">
        <f t="shared" si="11"/>
        <v>264.56710131792613</v>
      </c>
      <c r="CD7" s="62">
        <f ca="1">AVERAGE(OFFSET($CC$3,0,0,'Données projet'!$E$12+1,1))-AVERAGE(OFFSET($H$3,0,0,'Données projet'!$E$12+1,1))</f>
        <v>177.71338645688661</v>
      </c>
      <c r="CE7" s="62">
        <f t="shared" si="40"/>
        <v>153.65872713651345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1.9333333333333333</v>
      </c>
      <c r="CT7" s="13">
        <f>IF('Données projet'!$A$140&gt;35,CT6+CS7-DB6,IF(A7&lt;'Données projet'!$A$140,$CQ$205^A7,IF(A7='Données projet'!$A$140,'Données projet'!$B$140,CT6+CS7-DB6)))</f>
        <v>2.4545551781412365</v>
      </c>
      <c r="CU7" s="18">
        <f>CT7*VLOOKUP('Données projet'!$B$13,Paramètres!$A$1:$I$89,3,0)*VLOOKUP('Données projet'!$B$13,Paramètres!$A$1:$I$89,5,0)</f>
        <v>1.608224552718138</v>
      </c>
      <c r="CV7" s="14">
        <f t="shared" si="41"/>
        <v>0.70126150360147599</v>
      </c>
      <c r="CW7" s="22">
        <f t="shared" si="13"/>
        <v>4.0223548814233281</v>
      </c>
      <c r="CX7" s="62">
        <f t="shared" si="14"/>
        <v>265.57791043697887</v>
      </c>
      <c r="CY7" s="62">
        <f ca="1">AVERAGE(OFFSET($CX$3,0,0,'Données projet'!$E$13+1,1))-AVERAGE(OFFSET($H$3,0,0,'Données projet'!$E$13+1,1))</f>
        <v>118.65321241325523</v>
      </c>
      <c r="CZ7" s="62">
        <f t="shared" si="42"/>
        <v>140.55041555757327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2.1413507656762891</v>
      </c>
      <c r="DQ7" s="14">
        <f t="shared" si="43"/>
        <v>0.9031249003236328</v>
      </c>
      <c r="DR7" s="22">
        <f t="shared" si="16"/>
        <v>5.3024617849498643</v>
      </c>
      <c r="DS7" s="62">
        <f t="shared" si="17"/>
        <v>266.8580173405054</v>
      </c>
      <c r="DT7" s="62">
        <f ca="1">AVERAGE(OFFSET($DS$3,0,0,'Données projet'!$E$14+1,1))-AVERAGE(OFFSET($H$3,0,0,'Données projet'!$E$14+1,1))</f>
        <v>328.70784159273131</v>
      </c>
      <c r="DU7" s="62">
        <f t="shared" si="44"/>
        <v>193.18009444354601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1.7863923195833453</v>
      </c>
      <c r="P8" s="14">
        <f t="shared" si="33"/>
        <v>0.76948259905993732</v>
      </c>
      <c r="Q8" s="22">
        <f t="shared" si="2"/>
        <v>4.4514821499703841</v>
      </c>
      <c r="R8" s="62">
        <f t="shared" si="0"/>
        <v>267.22925992774816</v>
      </c>
      <c r="S8" s="62">
        <f ca="1">AVERAGE(OFFSET($R$3,0,0,'Données projet'!$E$9+1,1))-AVERAGE(OFFSET($H$3,0,0,'Données projet'!$E$9+1,1))</f>
        <v>177.70053246230015</v>
      </c>
      <c r="T8" s="62">
        <f t="shared" si="34"/>
        <v>85.631326020763254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1.8</v>
      </c>
      <c r="AI8" s="14">
        <f>IF('Données projet'!$A$62&gt;35,AI7+AH8-AQ7,IF(A8&lt;'Données projet'!$A$62,$AF$205^A8,IF(A8='Données projet'!$A$62,'Données projet'!$B$62,AI7+AH8-AQ7)))</f>
        <v>4.2426406871192865</v>
      </c>
      <c r="AJ8" s="14">
        <f>AI8*VLOOKUP('Données projet'!$B$10,Paramètres!$A$1:$I$89,3,0)*VLOOKUP('Données projet'!$B$10,Paramètres!$A$1:$I$89,5,0)</f>
        <v>3.7063709042674091</v>
      </c>
      <c r="AK8" s="14">
        <f t="shared" si="35"/>
        <v>1.4664771263922398</v>
      </c>
      <c r="AL8" s="22">
        <f t="shared" si="4"/>
        <v>9.0093769867322209</v>
      </c>
      <c r="AM8" s="62">
        <f t="shared" si="5"/>
        <v>271.78715476450998</v>
      </c>
      <c r="AN8" s="62">
        <f ca="1">AVERAGE(OFFSET($AM$3,0,0,'Données projet'!$E$10+1,1))-AVERAGE(OFFSET($H$3,0,0,'Données projet'!$E$10+1,1))</f>
        <v>212.11273590951606</v>
      </c>
      <c r="AO8" s="62">
        <f t="shared" si="36"/>
        <v>240.9595690943346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4.0552083333333337</v>
      </c>
      <c r="BD8" s="13">
        <f>IF('Données projet'!$A$88&gt;35,BD7+BC8-BL7,IF(A8&lt;'Données projet'!$A$88,$BA$205^A8,IF(A8='Données projet'!$A$88,'Données projet'!$B$88,BD7+BC8-BL7)))</f>
        <v>5.0465859427620252</v>
      </c>
      <c r="BE8" s="14">
        <f>BD8*VLOOKUP('Données projet'!$B$11,Paramètres!$A$1:$I$89,3,0)*VLOOKUP('Données projet'!$B$11,Paramètres!$A$1:$I$89,5,0)</f>
        <v>3.0178583937716912</v>
      </c>
      <c r="BF8" s="14">
        <f t="shared" si="37"/>
        <v>1.222964851635848</v>
      </c>
      <c r="BG8" s="22">
        <f t="shared" si="7"/>
        <v>7.3861004857514656</v>
      </c>
      <c r="BH8" s="62">
        <f t="shared" si="8"/>
        <v>270.16387826352923</v>
      </c>
      <c r="BI8" s="62">
        <f ca="1">AVERAGE(OFFSET($BH$3,0,0,'Données projet'!$E$11+1,1))-AVERAGE(OFFSET($H$3,0,0,'Données projet'!$E$11+1,1))</f>
        <v>172.49153247238672</v>
      </c>
      <c r="BJ8" s="62">
        <f t="shared" si="38"/>
        <v>301.94982606323254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3.92</v>
      </c>
      <c r="BY8" s="13">
        <f>IF('Données projet'!$A$114&gt;35,BY7+BX8-CG7,IF(A8&lt;'Données projet'!$A$114,$BV$205^A8,IF(A8='Données projet'!$A$114,'Données projet'!$B$114,BY7+BX8-CG7)))</f>
        <v>2.5017575271408434</v>
      </c>
      <c r="BZ8" s="14">
        <f>BY8*VLOOKUP('Données projet'!$B$12,Paramètres!$A$1:$I$89,3,0)*VLOOKUP('Données projet'!$B$12,Paramètres!$A$1:$I$89,5,0)</f>
        <v>1.4310053055245626</v>
      </c>
      <c r="CA8" s="14">
        <f t="shared" si="39"/>
        <v>0.63252350381139633</v>
      </c>
      <c r="CB8" s="22">
        <f t="shared" si="10"/>
        <v>3.593979342926795</v>
      </c>
      <c r="CC8" s="62">
        <f t="shared" si="11"/>
        <v>266.37175712070456</v>
      </c>
      <c r="CD8" s="62">
        <f ca="1">AVERAGE(OFFSET($CC$3,0,0,'Données projet'!$E$12+1,1))-AVERAGE(OFFSET($H$3,0,0,'Données projet'!$E$12+1,1))</f>
        <v>177.71338645688661</v>
      </c>
      <c r="CE8" s="62">
        <f t="shared" si="40"/>
        <v>153.65872713651345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1.9333333333333333</v>
      </c>
      <c r="CT8" s="13">
        <f>IF('Données projet'!$A$140&gt;35,CT7+CS8-DB7,IF(A8&lt;'Données projet'!$A$140,$CQ$205^A8,IF(A8='Données projet'!$A$140,'Données projet'!$B$140,CT7+CS8-DB7)))</f>
        <v>3.0723168256858489</v>
      </c>
      <c r="CU8" s="18">
        <f>CT8*VLOOKUP('Données projet'!$B$13,Paramètres!$A$1:$I$89,3,0)*VLOOKUP('Données projet'!$B$13,Paramètres!$A$1:$I$89,5,0)</f>
        <v>2.0129819841893681</v>
      </c>
      <c r="CV8" s="14">
        <f t="shared" si="41"/>
        <v>0.85511591611441595</v>
      </c>
      <c r="CW8" s="22">
        <f t="shared" si="13"/>
        <v>4.9952705096957573</v>
      </c>
      <c r="CX8" s="62">
        <f t="shared" si="14"/>
        <v>267.77304828747356</v>
      </c>
      <c r="CY8" s="62">
        <f ca="1">AVERAGE(OFFSET($CX$3,0,0,'Données projet'!$E$13+1,1))-AVERAGE(OFFSET($H$3,0,0,'Données projet'!$E$13+1,1))</f>
        <v>118.65321241325523</v>
      </c>
      <c r="CZ8" s="62">
        <f t="shared" si="42"/>
        <v>140.55041555757327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2.5813701135521372</v>
      </c>
      <c r="DQ8" s="14">
        <f t="shared" si="43"/>
        <v>1.0652780295337991</v>
      </c>
      <c r="DR8" s="22">
        <f t="shared" si="16"/>
        <v>6.3512455158746723</v>
      </c>
      <c r="DS8" s="62">
        <f t="shared" si="17"/>
        <v>269.12902329365244</v>
      </c>
      <c r="DT8" s="62">
        <f ca="1">AVERAGE(OFFSET($DS$3,0,0,'Données projet'!$E$14+1,1))-AVERAGE(OFFSET($H$3,0,0,'Données projet'!$E$14+1,1))</f>
        <v>328.70784159273131</v>
      </c>
      <c r="DU8" s="62">
        <f t="shared" si="44"/>
        <v>193.18009444354601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2.0467353619916304</v>
      </c>
      <c r="P9" s="14">
        <f t="shared" si="33"/>
        <v>0.86777308699666067</v>
      </c>
      <c r="Q9" s="22">
        <f t="shared" si="2"/>
        <v>5.0761022153212734</v>
      </c>
      <c r="R9" s="62">
        <f t="shared" si="0"/>
        <v>269.07610221532127</v>
      </c>
      <c r="S9" s="62">
        <f ca="1">AVERAGE(OFFSET($R$3,0,0,'Données projet'!$E$9+1,1))-AVERAGE(OFFSET($H$3,0,0,'Données projet'!$E$9+1,1))</f>
        <v>177.70053246230015</v>
      </c>
      <c r="T9" s="62">
        <f t="shared" si="34"/>
        <v>85.631326020763254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1.8</v>
      </c>
      <c r="AI9" s="14">
        <f>IF('Données projet'!$A$62&gt;35,AI8+AH9-AQ8,IF(A9&lt;'Données projet'!$A$62,$AF$205^A9,IF(A9='Données projet'!$A$62,'Données projet'!$B$62,AI8+AH9-AQ8)))</f>
        <v>5.6645250677694134</v>
      </c>
      <c r="AJ9" s="14">
        <f>AI9*VLOOKUP('Données projet'!$B$10,Paramètres!$A$1:$I$89,3,0)*VLOOKUP('Données projet'!$B$10,Paramètres!$A$1:$I$89,5,0)</f>
        <v>4.9485290992033608</v>
      </c>
      <c r="AK9" s="14">
        <f t="shared" si="35"/>
        <v>1.8931767921179217</v>
      </c>
      <c r="AL9" s="22">
        <f t="shared" si="4"/>
        <v>11.915971094051232</v>
      </c>
      <c r="AM9" s="62">
        <f t="shared" si="5"/>
        <v>275.91597109405126</v>
      </c>
      <c r="AN9" s="62">
        <f ca="1">AVERAGE(OFFSET($AM$3,0,0,'Données projet'!$E$10+1,1))-AVERAGE(OFFSET($H$3,0,0,'Données projet'!$E$10+1,1))</f>
        <v>212.11273590951606</v>
      </c>
      <c r="AO9" s="62">
        <f t="shared" si="36"/>
        <v>240.9595690943346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4.0552083333333337</v>
      </c>
      <c r="BD9" s="13">
        <f>IF('Données projet'!$A$88&gt;35,BD8+BC9-BL8,IF(A9&lt;'Données projet'!$A$88,$BA$205^A9,IF(A9='Données projet'!$A$88,'Données projet'!$B$88,BD8+BC9-BL8)))</f>
        <v>6.9758512025415227</v>
      </c>
      <c r="BE9" s="14">
        <f>BD9*VLOOKUP('Données projet'!$B$11,Paramètres!$A$1:$I$89,3,0)*VLOOKUP('Données projet'!$B$11,Paramètres!$A$1:$I$89,5,0)</f>
        <v>4.1715590191198313</v>
      </c>
      <c r="BF9" s="14">
        <f t="shared" si="37"/>
        <v>1.6279749737252278</v>
      </c>
      <c r="BG9" s="22">
        <f t="shared" si="7"/>
        <v>10.100855037538478</v>
      </c>
      <c r="BH9" s="62">
        <f t="shared" si="8"/>
        <v>274.10085503753845</v>
      </c>
      <c r="BI9" s="62">
        <f ca="1">AVERAGE(OFFSET($BH$3,0,0,'Données projet'!$E$11+1,1))-AVERAGE(OFFSET($H$3,0,0,'Données projet'!$E$11+1,1))</f>
        <v>172.49153247238672</v>
      </c>
      <c r="BJ9" s="62">
        <f t="shared" si="38"/>
        <v>301.94982606323254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3.92</v>
      </c>
      <c r="BY9" s="13">
        <f>IF('Données projet'!$A$114&gt;35,BY8+BX9-CG8,IF(A9&lt;'Données projet'!$A$114,$BV$205^A9,IF(A9='Données projet'!$A$114,'Données projet'!$B$114,BY8+BX9-CG8)))</f>
        <v>3.0053444735583574</v>
      </c>
      <c r="BZ9" s="14">
        <f>BY9*VLOOKUP('Données projet'!$B$12,Paramètres!$A$1:$I$89,3,0)*VLOOKUP('Données projet'!$B$12,Paramètres!$A$1:$I$89,5,0)</f>
        <v>1.7190570388753805</v>
      </c>
      <c r="CA9" s="14">
        <f t="shared" si="39"/>
        <v>0.74379723988421598</v>
      </c>
      <c r="CB9" s="22">
        <f t="shared" si="10"/>
        <v>4.2894712021729635</v>
      </c>
      <c r="CC9" s="62">
        <f t="shared" si="11"/>
        <v>268.28947120217299</v>
      </c>
      <c r="CD9" s="62">
        <f ca="1">AVERAGE(OFFSET($CC$3,0,0,'Données projet'!$E$12+1,1))-AVERAGE(OFFSET($H$3,0,0,'Données projet'!$E$12+1,1))</f>
        <v>177.71338645688661</v>
      </c>
      <c r="CE9" s="62">
        <f t="shared" si="40"/>
        <v>153.65872713651345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1.9333333333333333</v>
      </c>
      <c r="CT9" s="13">
        <f>IF('Données projet'!$A$140&gt;35,CT8+CS9-DB8,IF(A9&lt;'Données projet'!$A$140,$CQ$205^A9,IF(A9='Données projet'!$A$140,'Données projet'!$B$140,CT8+CS9-DB8)))</f>
        <v>3.845556523418777</v>
      </c>
      <c r="CU9" s="18">
        <f>CT9*VLOOKUP('Données projet'!$B$13,Paramètres!$A$1:$I$89,3,0)*VLOOKUP('Données projet'!$B$13,Paramètres!$A$1:$I$89,5,0)</f>
        <v>2.5196086341439825</v>
      </c>
      <c r="CV9" s="14">
        <f t="shared" si="41"/>
        <v>1.0427254686544836</v>
      </c>
      <c r="CW9" s="22">
        <f t="shared" si="13"/>
        <v>6.2043985623739948</v>
      </c>
      <c r="CX9" s="62">
        <f t="shared" si="14"/>
        <v>270.20439856237397</v>
      </c>
      <c r="CY9" s="62">
        <f ca="1">AVERAGE(OFFSET($CX$3,0,0,'Données projet'!$E$13+1,1))-AVERAGE(OFFSET($H$3,0,0,'Données projet'!$E$13+1,1))</f>
        <v>118.65321241325523</v>
      </c>
      <c r="CZ9" s="62">
        <f t="shared" si="42"/>
        <v>140.55041555757327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3.111807635605039</v>
      </c>
      <c r="DQ9" s="14">
        <f t="shared" si="43"/>
        <v>1.2565452240335246</v>
      </c>
      <c r="DR9" s="22">
        <f t="shared" si="16"/>
        <v>7.6082145638704972</v>
      </c>
      <c r="DS9" s="62">
        <f t="shared" si="17"/>
        <v>271.60821456387049</v>
      </c>
      <c r="DT9" s="62">
        <f ca="1">AVERAGE(OFFSET($DS$3,0,0,'Données projet'!$E$14+1,1))-AVERAGE(OFFSET($H$3,0,0,'Données projet'!$E$14+1,1))</f>
        <v>328.70784159273131</v>
      </c>
      <c r="DU9" s="62">
        <f t="shared" si="44"/>
        <v>193.18009444354601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2.3450199578802908</v>
      </c>
      <c r="P10" s="14">
        <f t="shared" si="33"/>
        <v>0.97861879064669866</v>
      </c>
      <c r="Q10" s="22">
        <f t="shared" si="2"/>
        <v>5.7886708203511725</v>
      </c>
      <c r="R10" s="62">
        <f t="shared" si="0"/>
        <v>271.0108930425734</v>
      </c>
      <c r="S10" s="62">
        <f ca="1">AVERAGE(OFFSET($R$3,0,0,'Données projet'!$E$9+1,1))-AVERAGE(OFFSET($H$3,0,0,'Données projet'!$E$9+1,1))</f>
        <v>177.70053246230015</v>
      </c>
      <c r="T10" s="62">
        <f t="shared" si="34"/>
        <v>85.631326020763254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1.8</v>
      </c>
      <c r="AI10" s="14">
        <f>IF('Données projet'!$A$62&gt;35,AI9+AH10-AQ9,IF(A10&lt;'Données projet'!$A$62,$AF$205^A10,IF(A10='Données projet'!$A$62,'Données projet'!$B$62,AI9+AH10-AQ9)))</f>
        <v>7.5629417171254145</v>
      </c>
      <c r="AJ10" s="14">
        <f>AI10*VLOOKUP('Données projet'!$B$10,Paramètres!$A$1:$I$89,3,0)*VLOOKUP('Données projet'!$B$10,Paramètres!$A$1:$I$89,5,0)</f>
        <v>6.6069858840807631</v>
      </c>
      <c r="AK10" s="14">
        <f t="shared" si="35"/>
        <v>2.4440329151477385</v>
      </c>
      <c r="AL10" s="22">
        <f t="shared" si="4"/>
        <v>15.763857741989639</v>
      </c>
      <c r="AM10" s="62">
        <f t="shared" si="5"/>
        <v>280.98607996421185</v>
      </c>
      <c r="AN10" s="62">
        <f ca="1">AVERAGE(OFFSET($AM$3,0,0,'Données projet'!$E$10+1,1))-AVERAGE(OFFSET($H$3,0,0,'Données projet'!$E$10+1,1))</f>
        <v>212.11273590951606</v>
      </c>
      <c r="AO10" s="62">
        <f t="shared" si="36"/>
        <v>240.9595690943346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4.0552083333333337</v>
      </c>
      <c r="BD10" s="13">
        <f>IF('Données projet'!$A$88&gt;35,BD9+BC10-BL9,IF(A10&lt;'Données projet'!$A$88,$BA$205^A10,IF(A10='Données projet'!$A$88,'Données projet'!$B$88,BD9+BC10-BL9)))</f>
        <v>9.6426575415392115</v>
      </c>
      <c r="BE10" s="14">
        <f>BD10*VLOOKUP('Données projet'!$B$11,Paramètres!$A$1:$I$89,3,0)*VLOOKUP('Données projet'!$B$11,Paramètres!$A$1:$I$89,5,0)</f>
        <v>5.7663092098404487</v>
      </c>
      <c r="BF10" s="14">
        <f t="shared" si="37"/>
        <v>2.1671125801617181</v>
      </c>
      <c r="BG10" s="22">
        <f t="shared" si="7"/>
        <v>13.817376284253774</v>
      </c>
      <c r="BH10" s="62">
        <f t="shared" si="8"/>
        <v>279.03959850647601</v>
      </c>
      <c r="BI10" s="62">
        <f ca="1">AVERAGE(OFFSET($BH$3,0,0,'Données projet'!$E$11+1,1))-AVERAGE(OFFSET($H$3,0,0,'Données projet'!$E$11+1,1))</f>
        <v>172.49153247238672</v>
      </c>
      <c r="BJ10" s="62">
        <f t="shared" si="38"/>
        <v>301.94982606323254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3.92</v>
      </c>
      <c r="BY10" s="13">
        <f>IF('Données projet'!$A$114&gt;35,BY9+BX10-CG9,IF(A10&lt;'Données projet'!$A$114,$BV$205^A10,IF(A10='Données projet'!$A$114,'Données projet'!$B$114,BY9+BX10-CG9)))</f>
        <v>3.6103000817470008</v>
      </c>
      <c r="BZ10" s="14">
        <f>BY10*VLOOKUP('Données projet'!$B$12,Paramètres!$A$1:$I$89,3,0)*VLOOKUP('Données projet'!$B$12,Paramètres!$A$1:$I$89,5,0)</f>
        <v>2.0650916467592846</v>
      </c>
      <c r="CA10" s="14">
        <f t="shared" si="39"/>
        <v>0.87464628701661573</v>
      </c>
      <c r="CB10" s="22">
        <f t="shared" si="10"/>
        <v>5.1200435679930258</v>
      </c>
      <c r="CC10" s="62">
        <f t="shared" si="11"/>
        <v>270.34226579021527</v>
      </c>
      <c r="CD10" s="62">
        <f ca="1">AVERAGE(OFFSET($CC$3,0,0,'Données projet'!$E$12+1,1))-AVERAGE(OFFSET($H$3,0,0,'Données projet'!$E$12+1,1))</f>
        <v>177.71338645688661</v>
      </c>
      <c r="CE10" s="62">
        <f t="shared" si="40"/>
        <v>153.65872713651345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1.9333333333333333</v>
      </c>
      <c r="CT10" s="13">
        <f>IF('Données projet'!$A$140&gt;35,CT9+CS10-DB9,IF(A10&lt;'Données projet'!$A$140,$CQ$205^A10,IF(A10='Données projet'!$A$140,'Données projet'!$B$140,CT9+CS10-DB9)))</f>
        <v>4.8134049363569282</v>
      </c>
      <c r="CU10" s="18">
        <f>CT10*VLOOKUP('Données projet'!$B$13,Paramètres!$A$1:$I$89,3,0)*VLOOKUP('Données projet'!$B$13,Paramètres!$A$1:$I$89,5,0)</f>
        <v>3.1537429143010591</v>
      </c>
      <c r="CV10" s="14">
        <f t="shared" si="41"/>
        <v>1.2714959252790159</v>
      </c>
      <c r="CW10" s="22">
        <f t="shared" si="13"/>
        <v>7.7072909789352968</v>
      </c>
      <c r="CX10" s="62">
        <f t="shared" si="14"/>
        <v>272.92951320115753</v>
      </c>
      <c r="CY10" s="62">
        <f ca="1">AVERAGE(OFFSET($CX$3,0,0,'Données projet'!$E$13+1,1))-AVERAGE(OFFSET($H$3,0,0,'Données projet'!$E$13+1,1))</f>
        <v>118.65321241325523</v>
      </c>
      <c r="CZ10" s="62">
        <f t="shared" si="42"/>
        <v>140.55041555757327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3.7512430744326299</v>
      </c>
      <c r="DQ10" s="14">
        <f t="shared" si="43"/>
        <v>1.4821538192545303</v>
      </c>
      <c r="DR10" s="22">
        <f t="shared" si="16"/>
        <v>9.1148329231718037</v>
      </c>
      <c r="DS10" s="62">
        <f t="shared" si="17"/>
        <v>274.33705514539406</v>
      </c>
      <c r="DT10" s="62">
        <f ca="1">AVERAGE(OFFSET($DS$3,0,0,'Données projet'!$E$14+1,1))-AVERAGE(OFFSET($H$3,0,0,'Données projet'!$E$14+1,1))</f>
        <v>328.70784159273131</v>
      </c>
      <c r="DU10" s="62">
        <f t="shared" si="44"/>
        <v>193.18009444354601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2.6867755866131198</v>
      </c>
      <c r="P11" s="14">
        <f t="shared" si="33"/>
        <v>1.1036234607382931</v>
      </c>
      <c r="Q11" s="22">
        <f t="shared" si="2"/>
        <v>6.6016116741370441</v>
      </c>
      <c r="R11" s="62">
        <f t="shared" si="0"/>
        <v>273.04605611858148</v>
      </c>
      <c r="S11" s="62">
        <f ca="1">AVERAGE(OFFSET($R$3,0,0,'Données projet'!$E$9+1,1))-AVERAGE(OFFSET($H$3,0,0,'Données projet'!$E$9+1,1))</f>
        <v>177.70053246230015</v>
      </c>
      <c r="T11" s="62">
        <f t="shared" si="34"/>
        <v>85.631326020763254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1.8</v>
      </c>
      <c r="AI11" s="14">
        <f>IF('Données projet'!$A$62&gt;35,AI10+AH11-AQ10,IF(A11&lt;'Données projet'!$A$62,$AF$205^A11,IF(A11='Données projet'!$A$62,'Données projet'!$B$62,AI10+AH11-AQ10)))</f>
        <v>10.097596309015799</v>
      </c>
      <c r="AJ11" s="14">
        <f>AI11*VLOOKUP('Données projet'!$B$10,Paramètres!$A$1:$I$89,3,0)*VLOOKUP('Données projet'!$B$10,Paramètres!$A$1:$I$89,5,0)</f>
        <v>8.8212601355562033</v>
      </c>
      <c r="AK11" s="14">
        <f t="shared" si="35"/>
        <v>3.1551711996443523</v>
      </c>
      <c r="AL11" s="22">
        <f t="shared" si="4"/>
        <v>20.858951242140964</v>
      </c>
      <c r="AM11" s="62">
        <f t="shared" si="5"/>
        <v>287.30339568658542</v>
      </c>
      <c r="AN11" s="62">
        <f ca="1">AVERAGE(OFFSET($AM$3,0,0,'Données projet'!$E$10+1,1))-AVERAGE(OFFSET($H$3,0,0,'Données projet'!$E$10+1,1))</f>
        <v>212.11273590951606</v>
      </c>
      <c r="AO11" s="62">
        <f t="shared" si="36"/>
        <v>240.9595690943346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4.0552083333333337</v>
      </c>
      <c r="BD11" s="13">
        <f>IF('Données projet'!$A$88&gt;35,BD10+BC11-BL10,IF(A11&lt;'Données projet'!$A$88,$BA$205^A11,IF(A11='Données projet'!$A$88,'Données projet'!$B$88,BD10+BC11-BL10)))</f>
        <v>13.32896040407616</v>
      </c>
      <c r="BE11" s="14">
        <f>BD11*VLOOKUP('Données projet'!$B$11,Paramètres!$A$1:$I$89,3,0)*VLOOKUP('Données projet'!$B$11,Paramètres!$A$1:$I$89,5,0)</f>
        <v>7.9707183216375439</v>
      </c>
      <c r="BF11" s="14">
        <f t="shared" si="37"/>
        <v>2.8847967633978144</v>
      </c>
      <c r="BG11" s="22">
        <f t="shared" si="7"/>
        <v>18.906688773103248</v>
      </c>
      <c r="BH11" s="62">
        <f t="shared" si="8"/>
        <v>285.35113321754773</v>
      </c>
      <c r="BI11" s="62">
        <f ca="1">AVERAGE(OFFSET($BH$3,0,0,'Données projet'!$E$11+1,1))-AVERAGE(OFFSET($H$3,0,0,'Données projet'!$E$11+1,1))</f>
        <v>172.49153247238672</v>
      </c>
      <c r="BJ11" s="62">
        <f t="shared" si="38"/>
        <v>301.94982606323254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3.92</v>
      </c>
      <c r="BY11" s="13">
        <f>IF('Données projet'!$A$114&gt;35,BY10+BX11-CG10,IF(A11&lt;'Données projet'!$A$114,$BV$205^A11,IF(A11='Données projet'!$A$114,'Données projet'!$B$114,BY10+BX11-CG10)))</f>
        <v>4.33702918082788</v>
      </c>
      <c r="BZ11" s="14">
        <f>BY11*VLOOKUP('Données projet'!$B$12,Paramètres!$A$1:$I$89,3,0)*VLOOKUP('Données projet'!$B$12,Paramètres!$A$1:$I$89,5,0)</f>
        <v>2.4807806914335475</v>
      </c>
      <c r="CA11" s="14">
        <f t="shared" si="39"/>
        <v>1.0285143401594736</v>
      </c>
      <c r="CB11" s="22">
        <f t="shared" si="10"/>
        <v>6.1120221800245114</v>
      </c>
      <c r="CC11" s="62">
        <f t="shared" si="11"/>
        <v>272.55646662446895</v>
      </c>
      <c r="CD11" s="62">
        <f ca="1">AVERAGE(OFFSET($CC$3,0,0,'Données projet'!$E$12+1,1))-AVERAGE(OFFSET($H$3,0,0,'Données projet'!$E$12+1,1))</f>
        <v>177.71338645688661</v>
      </c>
      <c r="CE11" s="62">
        <f t="shared" si="40"/>
        <v>153.65872713651345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1.9333333333333333</v>
      </c>
      <c r="CT11" s="13">
        <f>IF('Données projet'!$A$140&gt;35,CT10+CS11-DB10,IF(A11&lt;'Données projet'!$A$140,$CQ$205^A11,IF(A11='Données projet'!$A$140,'Données projet'!$B$140,CT10+CS11-DB10)))</f>
        <v>6.0248411225399572</v>
      </c>
      <c r="CU11" s="18">
        <f>CT11*VLOOKUP('Données projet'!$B$13,Paramètres!$A$1:$I$89,3,0)*VLOOKUP('Données projet'!$B$13,Paramètres!$A$1:$I$89,5,0)</f>
        <v>3.9474759034881797</v>
      </c>
      <c r="CV11" s="14">
        <f t="shared" si="41"/>
        <v>1.5504578497418948</v>
      </c>
      <c r="CW11" s="22">
        <f t="shared" si="13"/>
        <v>9.5755679535423806</v>
      </c>
      <c r="CX11" s="62">
        <f t="shared" si="14"/>
        <v>276.02001239798682</v>
      </c>
      <c r="CY11" s="62">
        <f ca="1">AVERAGE(OFFSET($CX$3,0,0,'Données projet'!$E$13+1,1))-AVERAGE(OFFSET($H$3,0,0,'Données projet'!$E$13+1,1))</f>
        <v>118.65321241325523</v>
      </c>
      <c r="CZ11" s="62">
        <f t="shared" si="42"/>
        <v>140.55041555757327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4.5220740647558486</v>
      </c>
      <c r="DQ11" s="14">
        <f t="shared" si="43"/>
        <v>1.7482697016499746</v>
      </c>
      <c r="DR11" s="22">
        <f t="shared" si="16"/>
        <v>10.92084872649014</v>
      </c>
      <c r="DS11" s="62">
        <f t="shared" si="17"/>
        <v>277.36529317093459</v>
      </c>
      <c r="DT11" s="62">
        <f ca="1">AVERAGE(OFFSET($DS$3,0,0,'Données projet'!$E$14+1,1))-AVERAGE(OFFSET($H$3,0,0,'Données projet'!$E$14+1,1))</f>
        <v>328.70784159273131</v>
      </c>
      <c r="DU11" s="62">
        <f t="shared" si="44"/>
        <v>193.18009444354601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3.0783375760031726</v>
      </c>
      <c r="P12" s="14">
        <f t="shared" si="33"/>
        <v>1.2445957044081368</v>
      </c>
      <c r="Q12" s="22">
        <f t="shared" si="2"/>
        <v>7.5291087967163621</v>
      </c>
      <c r="R12" s="62">
        <f t="shared" si="0"/>
        <v>275.19577546338303</v>
      </c>
      <c r="S12" s="62">
        <f ca="1">AVERAGE(OFFSET($R$3,0,0,'Données projet'!$E$9+1,1))-AVERAGE(OFFSET($H$3,0,0,'Données projet'!$E$9+1,1))</f>
        <v>177.70053246230015</v>
      </c>
      <c r="T12" s="62">
        <f t="shared" si="34"/>
        <v>85.631326020763254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1.8</v>
      </c>
      <c r="AI12" s="14">
        <f>IF('Données projet'!$A$62&gt;35,AI11+AH12-AQ11,IF(A12&lt;'Données projet'!$A$62,$AF$205^A12,IF(A12='Données projet'!$A$62,'Données projet'!$B$62,AI11+AH12-AQ11)))</f>
        <v>13.48171849440139</v>
      </c>
      <c r="AJ12" s="14">
        <f>AI12*VLOOKUP('Données projet'!$B$10,Paramètres!$A$1:$I$89,3,0)*VLOOKUP('Données projet'!$B$10,Paramètres!$A$1:$I$89,5,0)</f>
        <v>11.777629276709055</v>
      </c>
      <c r="AK12" s="14">
        <f t="shared" si="35"/>
        <v>4.0732288167499631</v>
      </c>
      <c r="AL12" s="22">
        <f t="shared" si="4"/>
        <v>27.606911179441123</v>
      </c>
      <c r="AM12" s="62">
        <f t="shared" si="5"/>
        <v>295.2735778461078</v>
      </c>
      <c r="AN12" s="62">
        <f ca="1">AVERAGE(OFFSET($AM$3,0,0,'Données projet'!$E$10+1,1))-AVERAGE(OFFSET($H$3,0,0,'Données projet'!$E$10+1,1))</f>
        <v>212.11273590951606</v>
      </c>
      <c r="AO12" s="62">
        <f t="shared" si="36"/>
        <v>240.9595690943346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4.0552083333333337</v>
      </c>
      <c r="BD12" s="13">
        <f>IF('Données projet'!$A$88&gt;35,BD11+BC12-BL11,IF(A12&lt;'Données projet'!$A$88,$BA$205^A12,IF(A12='Données projet'!$A$88,'Données projet'!$B$88,BD11+BC12-BL11)))</f>
        <v>18.424504312020908</v>
      </c>
      <c r="BE12" s="14">
        <f>BD12*VLOOKUP('Données projet'!$B$11,Paramètres!$A$1:$I$89,3,0)*VLOOKUP('Données projet'!$B$11,Paramètres!$A$1:$I$89,5,0)</f>
        <v>11.017853578588504</v>
      </c>
      <c r="BF12" s="14">
        <f t="shared" si="37"/>
        <v>3.8401569176851367</v>
      </c>
      <c r="BG12" s="22">
        <f t="shared" si="7"/>
        <v>25.877701614343255</v>
      </c>
      <c r="BH12" s="62">
        <f t="shared" si="8"/>
        <v>293.54436828100995</v>
      </c>
      <c r="BI12" s="62">
        <f ca="1">AVERAGE(OFFSET($BH$3,0,0,'Données projet'!$E$11+1,1))-AVERAGE(OFFSET($H$3,0,0,'Données projet'!$E$11+1,1))</f>
        <v>172.49153247238672</v>
      </c>
      <c r="BJ12" s="62">
        <f t="shared" si="38"/>
        <v>301.94982606323254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3.92</v>
      </c>
      <c r="BY12" s="13">
        <f>IF('Données projet'!$A$114&gt;35,BY11+BX12-CG11,IF(A12&lt;'Données projet'!$A$114,$BV$205^A12,IF(A12='Données projet'!$A$114,'Données projet'!$B$114,BY11+BX12-CG11)))</f>
        <v>5.2100439546428507</v>
      </c>
      <c r="BZ12" s="14">
        <f>BY12*VLOOKUP('Données projet'!$B$12,Paramètres!$A$1:$I$89,3,0)*VLOOKUP('Données projet'!$B$12,Paramètres!$A$1:$I$89,5,0)</f>
        <v>2.980145142055711</v>
      </c>
      <c r="CA12" s="14">
        <f t="shared" si="39"/>
        <v>1.2094509101752824</v>
      </c>
      <c r="CB12" s="22">
        <f t="shared" si="10"/>
        <v>7.2968797909689798</v>
      </c>
      <c r="CC12" s="62">
        <f t="shared" si="11"/>
        <v>274.96354645763569</v>
      </c>
      <c r="CD12" s="62">
        <f ca="1">AVERAGE(OFFSET($CC$3,0,0,'Données projet'!$E$12+1,1))-AVERAGE(OFFSET($H$3,0,0,'Données projet'!$E$12+1,1))</f>
        <v>177.71338645688661</v>
      </c>
      <c r="CE12" s="62">
        <f t="shared" si="40"/>
        <v>153.65872713651345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1.9333333333333333</v>
      </c>
      <c r="CT12" s="13">
        <f>IF('Données projet'!$A$140&gt;35,CT11+CS12-DB11,IF(A12&lt;'Données projet'!$A$140,$CQ$205^A12,IF(A12='Données projet'!$A$140,'Données projet'!$B$140,CT11+CS12-DB11)))</f>
        <v>7.5411711733776468</v>
      </c>
      <c r="CU12" s="18">
        <f>CT12*VLOOKUP('Données projet'!$B$13,Paramètres!$A$1:$I$89,3,0)*VLOOKUP('Données projet'!$B$13,Paramètres!$A$1:$I$89,5,0)</f>
        <v>4.9409753527970341</v>
      </c>
      <c r="CV12" s="14">
        <f t="shared" si="41"/>
        <v>1.8906230810757392</v>
      </c>
      <c r="CW12" s="22">
        <f t="shared" si="13"/>
        <v>11.898367272328414</v>
      </c>
      <c r="CX12" s="62">
        <f t="shared" si="14"/>
        <v>279.5650339389951</v>
      </c>
      <c r="CY12" s="62">
        <f ca="1">AVERAGE(OFFSET($CX$3,0,0,'Données projet'!$E$13+1,1))-AVERAGE(OFFSET($H$3,0,0,'Données projet'!$E$13+1,1))</f>
        <v>118.65321241325523</v>
      </c>
      <c r="CZ12" s="62">
        <f t="shared" si="42"/>
        <v>140.55041555757327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5.4513006599100189</v>
      </c>
      <c r="DQ12" s="14">
        <f t="shared" si="43"/>
        <v>2.062165822468125</v>
      </c>
      <c r="DR12" s="22">
        <f t="shared" si="16"/>
        <v>13.085954123475267</v>
      </c>
      <c r="DS12" s="62">
        <f t="shared" si="17"/>
        <v>280.75262079014198</v>
      </c>
      <c r="DT12" s="62">
        <f ca="1">AVERAGE(OFFSET($DS$3,0,0,'Données projet'!$E$14+1,1))-AVERAGE(OFFSET($H$3,0,0,'Données projet'!$E$14+1,1))</f>
        <v>328.70784159273131</v>
      </c>
      <c r="DU12" s="62">
        <f t="shared" si="44"/>
        <v>193.18009444354601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3.5269645440609696</v>
      </c>
      <c r="P13" s="14">
        <f t="shared" si="33"/>
        <v>1.403575152701934</v>
      </c>
      <c r="Q13" s="22">
        <f t="shared" si="2"/>
        <v>8.587356638528723</v>
      </c>
      <c r="R13" s="62">
        <f t="shared" si="0"/>
        <v>277.47624552741757</v>
      </c>
      <c r="S13" s="62">
        <f ca="1">AVERAGE(OFFSET($R$3,0,0,'Données projet'!$E$9+1,1))-AVERAGE(OFFSET($H$3,0,0,'Données projet'!$E$9+1,1))</f>
        <v>177.70053246230015</v>
      </c>
      <c r="T13" s="62">
        <f t="shared" si="34"/>
        <v>85.631326020763254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18</v>
      </c>
      <c r="AG13" s="13">
        <f>VLOOKUP(A13,'Données projet'!$A$61:$I$81,9,0)</f>
        <v>1.8</v>
      </c>
      <c r="AH13" s="13">
        <f t="array" ref="AH13">INDEX(AG:AG,MIN(IF(ISNUMBER(AG13:AG209),ROW(AG13:AG209),"")))</f>
        <v>1.8</v>
      </c>
      <c r="AI13" s="14">
        <f>IF('Données projet'!$A$62&gt;35,AI12+AH13-AQ12,IF(A13&lt;'Données projet'!$A$62,$AF$205^A13,IF(A13='Données projet'!$A$62,'Données projet'!$B$62,AI12+AH13-AQ12)))</f>
        <v>18</v>
      </c>
      <c r="AJ13" s="14">
        <f>AI13*VLOOKUP('Données projet'!$B$10,Paramètres!$A$1:$I$89,3,0)*VLOOKUP('Données projet'!$B$10,Paramètres!$A$1:$I$89,5,0)</f>
        <v>15.724800000000004</v>
      </c>
      <c r="AK13" s="14">
        <f t="shared" si="35"/>
        <v>5.2584129176484753</v>
      </c>
      <c r="AL13" s="22">
        <f t="shared" si="4"/>
        <v>36.545762498237771</v>
      </c>
      <c r="AM13" s="62">
        <f t="shared" si="5"/>
        <v>305.43465138712662</v>
      </c>
      <c r="AN13" s="62">
        <f ca="1">AVERAGE(OFFSET($AM$3,0,0,'Données projet'!$E$10+1,1))-AVERAGE(OFFSET($H$3,0,0,'Données projet'!$E$10+1,1))</f>
        <v>212.11273590951606</v>
      </c>
      <c r="AO13" s="62">
        <f t="shared" si="36"/>
        <v>240.9595690943346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4.0552083333333337</v>
      </c>
      <c r="BD13" s="13">
        <f>IF('Données projet'!$A$88&gt;35,BD12+BC13-BL12,IF(A13&lt;'Données projet'!$A$88,$BA$205^A13,IF(A13='Données projet'!$A$88,'Données projet'!$B$88,BD12+BC13-BL12)))</f>
        <v>25.46802967768328</v>
      </c>
      <c r="BE13" s="14">
        <f>BD13*VLOOKUP('Données projet'!$B$11,Paramètres!$A$1:$I$89,3,0)*VLOOKUP('Données projet'!$B$11,Paramètres!$A$1:$I$89,5,0)</f>
        <v>15.229881747254604</v>
      </c>
      <c r="BF13" s="14">
        <f t="shared" si="37"/>
        <v>5.1119043599715157</v>
      </c>
      <c r="BG13" s="22">
        <f t="shared" si="7"/>
        <v>35.428610803418827</v>
      </c>
      <c r="BH13" s="62">
        <f t="shared" si="8"/>
        <v>304.31749969230771</v>
      </c>
      <c r="BI13" s="62">
        <f ca="1">AVERAGE(OFFSET($BH$3,0,0,'Données projet'!$E$11+1,1))-AVERAGE(OFFSET($H$3,0,0,'Données projet'!$E$11+1,1))</f>
        <v>172.49153247238672</v>
      </c>
      <c r="BJ13" s="62">
        <f t="shared" si="38"/>
        <v>301.94982606323254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3.92</v>
      </c>
      <c r="BY13" s="13">
        <f>IF('Données projet'!$A$114&gt;35,BY12+BX13-CG12,IF(A13&lt;'Données projet'!$A$114,$BV$205^A13,IF(A13='Données projet'!$A$114,'Données projet'!$B$114,BY12+BX13-CG12)))</f>
        <v>6.2587907246058672</v>
      </c>
      <c r="BZ13" s="14">
        <f>BY13*VLOOKUP('Données projet'!$B$12,Paramètres!$A$1:$I$89,3,0)*VLOOKUP('Données projet'!$B$12,Paramètres!$A$1:$I$89,5,0)</f>
        <v>3.5800282944745563</v>
      </c>
      <c r="CA13" s="14">
        <f t="shared" si="39"/>
        <v>1.422217899166105</v>
      </c>
      <c r="CB13" s="22">
        <f t="shared" si="10"/>
        <v>8.712245453924151</v>
      </c>
      <c r="CC13" s="62">
        <f t="shared" si="11"/>
        <v>277.601134342813</v>
      </c>
      <c r="CD13" s="62">
        <f ca="1">AVERAGE(OFFSET($CC$3,0,0,'Données projet'!$E$12+1,1))-AVERAGE(OFFSET($H$3,0,0,'Données projet'!$E$12+1,1))</f>
        <v>177.71338645688661</v>
      </c>
      <c r="CE13" s="62">
        <f t="shared" si="40"/>
        <v>153.65872713651345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1.9333333333333333</v>
      </c>
      <c r="CT13" s="13">
        <f>IF('Données projet'!$A$140&gt;35,CT12+CS13-DB12,IF(A13&lt;'Données projet'!$A$140,$CQ$205^A13,IF(A13='Données projet'!$A$140,'Données projet'!$B$140,CT12+CS13-DB12)))</f>
        <v>9.4391306773923702</v>
      </c>
      <c r="CU13" s="18">
        <f>CT13*VLOOKUP('Données projet'!$B$13,Paramètres!$A$1:$I$89,3,0)*VLOOKUP('Données projet'!$B$13,Paramètres!$A$1:$I$89,5,0)</f>
        <v>6.184518419827481</v>
      </c>
      <c r="CV13" s="14">
        <f t="shared" si="41"/>
        <v>2.3054194187164532</v>
      </c>
      <c r="CW13" s="22">
        <f t="shared" si="13"/>
        <v>14.786641735464018</v>
      </c>
      <c r="CX13" s="62">
        <f t="shared" si="14"/>
        <v>283.67553062435286</v>
      </c>
      <c r="CY13" s="62">
        <f ca="1">AVERAGE(OFFSET($CX$3,0,0,'Données projet'!$E$13+1,1))-AVERAGE(OFFSET($H$3,0,0,'Données projet'!$E$13+1,1))</f>
        <v>118.65321241325523</v>
      </c>
      <c r="CZ13" s="62">
        <f t="shared" si="42"/>
        <v>140.55041555757327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6.5714710681855761</v>
      </c>
      <c r="DQ13" s="14">
        <f t="shared" si="43"/>
        <v>2.4324209676242781</v>
      </c>
      <c r="DR13" s="22">
        <f t="shared" si="16"/>
        <v>15.681778629035497</v>
      </c>
      <c r="DS13" s="62">
        <f t="shared" si="17"/>
        <v>284.57066751792433</v>
      </c>
      <c r="DT13" s="62">
        <f ca="1">AVERAGE(OFFSET($DS$3,0,0,'Données projet'!$E$14+1,1))-AVERAGE(OFFSET($H$3,0,0,'Données projet'!$E$14+1,1))</f>
        <v>328.70784159273131</v>
      </c>
      <c r="DU13" s="62">
        <f t="shared" si="44"/>
        <v>193.18009444354601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4.0409729563234826</v>
      </c>
      <c r="P14" s="14">
        <f t="shared" si="33"/>
        <v>1.5828619706020071</v>
      </c>
      <c r="Q14" s="22">
        <f t="shared" si="2"/>
        <v>9.7948458310618953</v>
      </c>
      <c r="R14" s="62">
        <f t="shared" si="0"/>
        <v>279.90595694217302</v>
      </c>
      <c r="S14" s="62">
        <f ca="1">AVERAGE(OFFSET($R$3,0,0,'Données projet'!$E$9+1,1))-AVERAGE(OFFSET($H$3,0,0,'Données projet'!$E$9+1,1))</f>
        <v>177.70053246230015</v>
      </c>
      <c r="T14" s="62">
        <f t="shared" si="34"/>
        <v>85.631326020763254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5.8</v>
      </c>
      <c r="AI14" s="14">
        <f>IF('Données projet'!$A$62&gt;35,AI13+AH14-AQ13,IF(A14&lt;'Données projet'!$A$62,$AF$205^A14,IF(A14='Données projet'!$A$62,'Données projet'!$B$62,AI13+AH14-AQ13)))</f>
        <v>23.8</v>
      </c>
      <c r="AJ14" s="14">
        <f>AI14*VLOOKUP('Données projet'!$B$10,Paramètres!$A$1:$I$89,3,0)*VLOOKUP('Données projet'!$B$10,Paramètres!$A$1:$I$89,5,0)</f>
        <v>20.791680000000003</v>
      </c>
      <c r="AK14" s="14">
        <f t="shared" si="35"/>
        <v>6.7303755760501467</v>
      </c>
      <c r="AL14" s="22">
        <f t="shared" si="4"/>
        <v>47.934246794954014</v>
      </c>
      <c r="AM14" s="62">
        <f t="shared" si="5"/>
        <v>318.04535790606514</v>
      </c>
      <c r="AN14" s="62">
        <f ca="1">AVERAGE(OFFSET($AM$3,0,0,'Données projet'!$E$10+1,1))-AVERAGE(OFFSET($H$3,0,0,'Données projet'!$E$10+1,1))</f>
        <v>212.11273590951606</v>
      </c>
      <c r="AO14" s="62">
        <f t="shared" si="36"/>
        <v>240.9595690943346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4.0552083333333337</v>
      </c>
      <c r="BD14" s="13">
        <f>IF('Données projet'!$A$88&gt;35,BD13+BC14-BL13,IF(A14&lt;'Données projet'!$A$88,$BA$205^A14,IF(A14='Données projet'!$A$88,'Données projet'!$B$88,BD13+BC14-BL13)))</f>
        <v>35.204232617545621</v>
      </c>
      <c r="BE14" s="14">
        <f>BD14*VLOOKUP('Données projet'!$B$11,Paramètres!$A$1:$I$89,3,0)*VLOOKUP('Données projet'!$B$11,Paramètres!$A$1:$I$89,5,0)</f>
        <v>21.052131105292283</v>
      </c>
      <c r="BF14" s="14">
        <f t="shared" si="37"/>
        <v>6.8048172888851708</v>
      </c>
      <c r="BG14" s="22">
        <f t="shared" si="7"/>
        <v>48.517518453192395</v>
      </c>
      <c r="BH14" s="62">
        <f t="shared" si="8"/>
        <v>318.62862956430354</v>
      </c>
      <c r="BI14" s="62">
        <f ca="1">AVERAGE(OFFSET($BH$3,0,0,'Données projet'!$E$11+1,1))-AVERAGE(OFFSET($H$3,0,0,'Données projet'!$E$11+1,1))</f>
        <v>172.49153247238672</v>
      </c>
      <c r="BJ14" s="62">
        <f t="shared" si="38"/>
        <v>301.94982606323254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3.92</v>
      </c>
      <c r="BY14" s="13">
        <f>IF('Données projet'!$A$114&gt;35,BY13+BX14-CG13,IF(A14&lt;'Données projet'!$A$114,$BV$205^A14,IF(A14='Données projet'!$A$114,'Données projet'!$B$114,BY13+BX14-CG13)))</f>
        <v>7.518643158375756</v>
      </c>
      <c r="BZ14" s="14">
        <f>BY14*VLOOKUP('Données projet'!$B$12,Paramètres!$A$1:$I$89,3,0)*VLOOKUP('Données projet'!$B$12,Paramètres!$A$1:$I$89,5,0)</f>
        <v>4.3006638865909332</v>
      </c>
      <c r="CA14" s="14">
        <f t="shared" si="39"/>
        <v>1.6724149245671369</v>
      </c>
      <c r="CB14" s="22">
        <f t="shared" si="10"/>
        <v>10.403112262766973</v>
      </c>
      <c r="CC14" s="62">
        <f t="shared" si="11"/>
        <v>280.51422337387811</v>
      </c>
      <c r="CD14" s="62">
        <f ca="1">AVERAGE(OFFSET($CC$3,0,0,'Données projet'!$E$12+1,1))-AVERAGE(OFFSET($H$3,0,0,'Données projet'!$E$12+1,1))</f>
        <v>177.71338645688661</v>
      </c>
      <c r="CE14" s="62">
        <f t="shared" si="40"/>
        <v>153.65872713651345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1.9333333333333333</v>
      </c>
      <c r="CT14" s="13">
        <f>IF('Données projet'!$A$140&gt;35,CT13+CS14-DB13,IF(A14&lt;'Données projet'!$A$140,$CQ$205^A14,IF(A14='Données projet'!$A$140,'Données projet'!$B$140,CT13+CS14-DB13)))</f>
        <v>11.814768011025487</v>
      </c>
      <c r="CU14" s="18">
        <f>CT14*VLOOKUP('Données projet'!$B$13,Paramètres!$A$1:$I$89,3,0)*VLOOKUP('Données projet'!$B$13,Paramètres!$A$1:$I$89,5,0)</f>
        <v>7.7410360008238994</v>
      </c>
      <c r="CV14" s="14">
        <f t="shared" si="41"/>
        <v>2.8112206760803793</v>
      </c>
      <c r="CW14" s="22">
        <f t="shared" si="13"/>
        <v>18.378513712274948</v>
      </c>
      <c r="CX14" s="62">
        <f t="shared" si="14"/>
        <v>288.48962482338607</v>
      </c>
      <c r="CY14" s="62">
        <f ca="1">AVERAGE(OFFSET($CX$3,0,0,'Données projet'!$E$13+1,1))-AVERAGE(OFFSET($H$3,0,0,'Données projet'!$E$13+1,1))</f>
        <v>118.65321241325523</v>
      </c>
      <c r="CZ14" s="62">
        <f t="shared" si="42"/>
        <v>140.55041555757327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7.921821725516951</v>
      </c>
      <c r="DQ14" s="14">
        <f t="shared" si="43"/>
        <v>2.869154216054651</v>
      </c>
      <c r="DR14" s="22">
        <f t="shared" si="16"/>
        <v>18.794283098237205</v>
      </c>
      <c r="DS14" s="62">
        <f t="shared" si="17"/>
        <v>288.90539420934834</v>
      </c>
      <c r="DT14" s="62">
        <f ca="1">AVERAGE(OFFSET($DS$3,0,0,'Données projet'!$E$14+1,1))-AVERAGE(OFFSET($H$3,0,0,'Données projet'!$E$14+1,1))</f>
        <v>328.70784159273131</v>
      </c>
      <c r="DU14" s="62">
        <f t="shared" si="44"/>
        <v>193.18009444354601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4.6298912931333014</v>
      </c>
      <c r="P15" s="14">
        <f t="shared" si="33"/>
        <v>1.7850501365423737</v>
      </c>
      <c r="Q15" s="22">
        <f t="shared" si="2"/>
        <v>11.172689656685135</v>
      </c>
      <c r="R15" s="62">
        <f t="shared" si="0"/>
        <v>282.50602299001844</v>
      </c>
      <c r="S15" s="62">
        <f ca="1">AVERAGE(OFFSET($R$3,0,0,'Données projet'!$E$9+1,1))-AVERAGE(OFFSET($H$3,0,0,'Données projet'!$E$9+1,1))</f>
        <v>177.70053246230015</v>
      </c>
      <c r="T15" s="62">
        <f t="shared" si="34"/>
        <v>85.631326020763254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5.8</v>
      </c>
      <c r="AI15" s="14">
        <f>IF('Données projet'!$A$62&gt;35,AI14+AH15-AQ14,IF(A15&lt;'Données projet'!$A$62,$AF$205^A15,IF(A15='Données projet'!$A$62,'Données projet'!$B$62,AI14+AH15-AQ14)))</f>
        <v>29.6</v>
      </c>
      <c r="AJ15" s="14">
        <f>AI15*VLOOKUP('Données projet'!$B$10,Paramètres!$A$1:$I$89,3,0)*VLOOKUP('Données projet'!$B$10,Paramètres!$A$1:$I$89,5,0)</f>
        <v>25.858560000000008</v>
      </c>
      <c r="AK15" s="14">
        <f t="shared" si="35"/>
        <v>8.1607346448714608</v>
      </c>
      <c r="AL15" s="22">
        <f t="shared" si="4"/>
        <v>59.250271506484466</v>
      </c>
      <c r="AM15" s="62">
        <f t="shared" si="5"/>
        <v>330.58360483981778</v>
      </c>
      <c r="AN15" s="62">
        <f ca="1">AVERAGE(OFFSET($AM$3,0,0,'Données projet'!$E$10+1,1))-AVERAGE(OFFSET($H$3,0,0,'Données projet'!$E$10+1,1))</f>
        <v>212.11273590951606</v>
      </c>
      <c r="AO15" s="62">
        <f t="shared" si="36"/>
        <v>240.9595690943346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48.662500000000001</v>
      </c>
      <c r="BB15" s="13">
        <f>VLOOKUP(A15,'Données projet'!$A$87:$I$107,9,0)</f>
        <v>4.0552083333333337</v>
      </c>
      <c r="BC15" s="13">
        <f t="array" ref="BC15">INDEX(BB:BB,MIN(IF(ISNUMBER(BB15:BB211),ROW(BB15:BB211),"")))</f>
        <v>4.0552083333333337</v>
      </c>
      <c r="BD15" s="13">
        <f>IF('Données projet'!$A$88&gt;35,BD14+BC15-BL14,IF(A15&lt;'Données projet'!$A$88,$BA$205^A15,IF(A15='Données projet'!$A$88,'Données projet'!$B$88,BD14+BC15-BL14)))</f>
        <v>48.662500000000001</v>
      </c>
      <c r="BE15" s="14">
        <f>BD15*VLOOKUP('Données projet'!$B$11,Paramètres!$A$1:$I$89,3,0)*VLOOKUP('Données projet'!$B$11,Paramètres!$A$1:$I$89,5,0)</f>
        <v>29.100175</v>
      </c>
      <c r="BF15" s="14">
        <f t="shared" si="37"/>
        <v>9.0583733721044215</v>
      </c>
      <c r="BG15" s="22">
        <f t="shared" si="7"/>
        <v>66.459471748081853</v>
      </c>
      <c r="BH15" s="62">
        <f t="shared" si="8"/>
        <v>337.79280508141517</v>
      </c>
      <c r="BI15" s="62">
        <f ca="1">AVERAGE(OFFSET($BH$3,0,0,'Données projet'!$E$11+1,1))-AVERAGE(OFFSET($H$3,0,0,'Données projet'!$E$11+1,1))</f>
        <v>172.49153247238672</v>
      </c>
      <c r="BJ15" s="62">
        <f t="shared" si="38"/>
        <v>301.94982606323254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3.92</v>
      </c>
      <c r="BY15" s="13">
        <f>IF('Données projet'!$A$114&gt;35,BY14+BX15-CG14,IF(A15&lt;'Données projet'!$A$114,$BV$205^A15,IF(A15='Données projet'!$A$114,'Données projet'!$B$114,BY14+BX15-CG14)))</f>
        <v>9.0320954047477606</v>
      </c>
      <c r="BZ15" s="14">
        <f>BY15*VLOOKUP('Données projet'!$B$12,Paramètres!$A$1:$I$89,3,0)*VLOOKUP('Données projet'!$B$12,Paramètres!$A$1:$I$89,5,0)</f>
        <v>5.1663585715157199</v>
      </c>
      <c r="CA15" s="14">
        <f t="shared" si="39"/>
        <v>1.9666266902946876</v>
      </c>
      <c r="CB15" s="22">
        <f t="shared" si="10"/>
        <v>12.423282664319792</v>
      </c>
      <c r="CC15" s="62">
        <f t="shared" si="11"/>
        <v>283.75661599765311</v>
      </c>
      <c r="CD15" s="62">
        <f ca="1">AVERAGE(OFFSET($CC$3,0,0,'Données projet'!$E$12+1,1))-AVERAGE(OFFSET($H$3,0,0,'Données projet'!$E$12+1,1))</f>
        <v>177.71338645688661</v>
      </c>
      <c r="CE15" s="62">
        <f t="shared" si="40"/>
        <v>153.65872713651345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1.9333333333333333</v>
      </c>
      <c r="CT15" s="13">
        <f>IF('Données projet'!$A$140&gt;35,CT14+CS15-DB14,IF(A15&lt;'Données projet'!$A$140,$CQ$205^A15,IF(A15='Données projet'!$A$140,'Données projet'!$B$140,CT14+CS15-DB14)))</f>
        <v>14.788304974808712</v>
      </c>
      <c r="CU15" s="18">
        <f>CT15*VLOOKUP('Données projet'!$B$13,Paramètres!$A$1:$I$89,3,0)*VLOOKUP('Données projet'!$B$13,Paramètres!$A$1:$I$89,5,0)</f>
        <v>9.6892974194946682</v>
      </c>
      <c r="CV15" s="14">
        <f t="shared" si="41"/>
        <v>3.4279930261114098</v>
      </c>
      <c r="CW15" s="22">
        <f t="shared" si="13"/>
        <v>22.845947526097252</v>
      </c>
      <c r="CX15" s="62">
        <f t="shared" si="14"/>
        <v>294.17928085943055</v>
      </c>
      <c r="CY15" s="62">
        <f ca="1">AVERAGE(OFFSET($CX$3,0,0,'Données projet'!$E$13+1,1))-AVERAGE(OFFSET($H$3,0,0,'Données projet'!$E$13+1,1))</f>
        <v>118.65321241325523</v>
      </c>
      <c r="CZ15" s="62">
        <f t="shared" si="42"/>
        <v>140.55041555757327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9.5496516380767513</v>
      </c>
      <c r="DQ15" s="14">
        <f t="shared" si="43"/>
        <v>3.3843014943027487</v>
      </c>
      <c r="DR15" s="22">
        <f t="shared" si="16"/>
        <v>22.526635038894295</v>
      </c>
      <c r="DS15" s="62">
        <f t="shared" si="17"/>
        <v>293.85996837222763</v>
      </c>
      <c r="DT15" s="62">
        <f ca="1">AVERAGE(OFFSET($DS$3,0,0,'Données projet'!$E$14+1,1))-AVERAGE(OFFSET($H$3,0,0,'Données projet'!$E$14+1,1))</f>
        <v>328.70784159273131</v>
      </c>
      <c r="DU15" s="62">
        <f t="shared" si="44"/>
        <v>193.18009444354601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5.3046366847587469</v>
      </c>
      <c r="P16" s="14">
        <f t="shared" si="33"/>
        <v>2.0130649729098407</v>
      </c>
      <c r="Q16" s="22">
        <f t="shared" si="2"/>
        <v>12.74499705377279</v>
      </c>
      <c r="R16" s="62">
        <f t="shared" si="0"/>
        <v>285.30055260932835</v>
      </c>
      <c r="S16" s="62">
        <f ca="1">AVERAGE(OFFSET($R$3,0,0,'Données projet'!$E$9+1,1))-AVERAGE(OFFSET($H$3,0,0,'Données projet'!$E$9+1,1))</f>
        <v>177.70053246230015</v>
      </c>
      <c r="T16" s="62">
        <f t="shared" si="34"/>
        <v>85.631326020763254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5.8</v>
      </c>
      <c r="AI16" s="14">
        <f>IF('Données projet'!$A$62&gt;35,AI15+AH16-AQ15,IF(A16&lt;'Données projet'!$A$62,$AF$205^A16,IF(A16='Données projet'!$A$62,'Données projet'!$B$62,AI15+AH16-AQ15)))</f>
        <v>35.4</v>
      </c>
      <c r="AJ16" s="14">
        <f>AI16*VLOOKUP('Données projet'!$B$10,Paramètres!$A$1:$I$89,3,0)*VLOOKUP('Données projet'!$B$10,Paramètres!$A$1:$I$89,5,0)</f>
        <v>30.925440000000002</v>
      </c>
      <c r="AK16" s="14">
        <f t="shared" si="35"/>
        <v>9.5586196975402125</v>
      </c>
      <c r="AL16" s="22">
        <f t="shared" si="4"/>
        <v>70.509737306549212</v>
      </c>
      <c r="AM16" s="62">
        <f t="shared" si="5"/>
        <v>343.06529286210474</v>
      </c>
      <c r="AN16" s="62">
        <f ca="1">AVERAGE(OFFSET($AM$3,0,0,'Données projet'!$E$10+1,1))-AVERAGE(OFFSET($H$3,0,0,'Données projet'!$E$10+1,1))</f>
        <v>212.11273590951606</v>
      </c>
      <c r="AO16" s="62">
        <f t="shared" si="36"/>
        <v>240.9595690943346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66.096000000000004</v>
      </c>
      <c r="BB16" s="13">
        <f>VLOOKUP(A16,'Données projet'!$A$87:$I$107,9,0)</f>
        <v>17.433500000000002</v>
      </c>
      <c r="BC16" s="13">
        <f t="array" ref="BC16">INDEX(BB:BB,MIN(IF(ISNUMBER(BB16:BB212),ROW(BB16:BB212),"")))</f>
        <v>17.433500000000002</v>
      </c>
      <c r="BD16" s="13">
        <f>IF('Données projet'!$A$88&gt;35,BD15+BC16-BL15,IF(A16&lt;'Données projet'!$A$88,$BA$205^A16,IF(A16='Données projet'!$A$88,'Données projet'!$B$88,BD15+BC16-BL15)))</f>
        <v>66.096000000000004</v>
      </c>
      <c r="BE16" s="14">
        <f>BD16*VLOOKUP('Données projet'!$B$11,Paramètres!$A$1:$I$89,3,0)*VLOOKUP('Données projet'!$B$11,Paramètres!$A$1:$I$89,5,0)</f>
        <v>39.525408000000006</v>
      </c>
      <c r="BF16" s="14">
        <f t="shared" si="37"/>
        <v>11.872768996466366</v>
      </c>
      <c r="BG16" s="22">
        <f t="shared" si="7"/>
        <v>89.518491602178926</v>
      </c>
      <c r="BH16" s="62">
        <f t="shared" si="8"/>
        <v>362.07404715773447</v>
      </c>
      <c r="BI16" s="62">
        <f ca="1">AVERAGE(OFFSET($BH$3,0,0,'Données projet'!$E$11+1,1))-AVERAGE(OFFSET($H$3,0,0,'Données projet'!$E$11+1,1))</f>
        <v>172.49153247238672</v>
      </c>
      <c r="BJ16" s="62">
        <f t="shared" si="38"/>
        <v>301.94982606323254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3.92</v>
      </c>
      <c r="BY16" s="13">
        <f>IF('Données projet'!$A$114&gt;35,BY15+BX16-CG15,IF(A16&lt;'Données projet'!$A$114,$BV$205^A16,IF(A16='Données projet'!$A$114,'Données projet'!$B$114,BY15+BX16-CG15)))</f>
        <v>10.850195398565635</v>
      </c>
      <c r="BZ16" s="14">
        <f>BY16*VLOOKUP('Données projet'!$B$12,Paramètres!$A$1:$I$89,3,0)*VLOOKUP('Données projet'!$B$12,Paramètres!$A$1:$I$89,5,0)</f>
        <v>6.2063117679795434</v>
      </c>
      <c r="CA16" s="14">
        <f t="shared" si="39"/>
        <v>2.3125962834734182</v>
      </c>
      <c r="CB16" s="22">
        <f t="shared" si="10"/>
        <v>14.837098189613906</v>
      </c>
      <c r="CC16" s="62">
        <f t="shared" si="11"/>
        <v>287.39265374516947</v>
      </c>
      <c r="CD16" s="62">
        <f ca="1">AVERAGE(OFFSET($CC$3,0,0,'Données projet'!$E$12+1,1))-AVERAGE(OFFSET($H$3,0,0,'Données projet'!$E$12+1,1))</f>
        <v>177.71338645688661</v>
      </c>
      <c r="CE16" s="62">
        <f t="shared" si="40"/>
        <v>153.65872713651345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1.9333333333333333</v>
      </c>
      <c r="CT16" s="13">
        <f>IF('Données projet'!$A$140&gt;35,CT15+CS16-DB15,IF(A16&lt;'Données projet'!$A$140,$CQ$205^A16,IF(A16='Données projet'!$A$140,'Données projet'!$B$140,CT15+CS16-DB15)))</f>
        <v>18.510220752863528</v>
      </c>
      <c r="CU16" s="18">
        <f>CT16*VLOOKUP('Données projet'!$B$13,Paramètres!$A$1:$I$89,3,0)*VLOOKUP('Données projet'!$B$13,Paramètres!$A$1:$I$89,5,0)</f>
        <v>12.127896637276184</v>
      </c>
      <c r="CV16" s="14">
        <f t="shared" si="41"/>
        <v>4.1800831528646842</v>
      </c>
      <c r="CW16" s="22">
        <f t="shared" si="13"/>
        <v>28.403064801162014</v>
      </c>
      <c r="CX16" s="62">
        <f t="shared" si="14"/>
        <v>300.95862035671757</v>
      </c>
      <c r="CY16" s="62">
        <f ca="1">AVERAGE(OFFSET($CX$3,0,0,'Données projet'!$E$13+1,1))-AVERAGE(OFFSET($H$3,0,0,'Données projet'!$E$13+1,1))</f>
        <v>118.65321241325523</v>
      </c>
      <c r="CZ16" s="62">
        <f t="shared" si="42"/>
        <v>140.55041555757327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11.511979134151852</v>
      </c>
      <c r="DQ16" s="14">
        <f t="shared" si="43"/>
        <v>3.9919417855793822</v>
      </c>
      <c r="DR16" s="22">
        <f t="shared" si="16"/>
        <v>27.002662268531896</v>
      </c>
      <c r="DS16" s="62">
        <f t="shared" si="17"/>
        <v>299.55821782408742</v>
      </c>
      <c r="DT16" s="62">
        <f ca="1">AVERAGE(OFFSET($DS$3,0,0,'Données projet'!$E$14+1,1))-AVERAGE(OFFSET($H$3,0,0,'Données projet'!$E$14+1,1))</f>
        <v>328.70784159273131</v>
      </c>
      <c r="DU16" s="62">
        <f t="shared" si="44"/>
        <v>193.18009444354601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6.077717288745446</v>
      </c>
      <c r="P17" s="14">
        <f t="shared" si="33"/>
        <v>2.2702054705343011</v>
      </c>
      <c r="Q17" s="22">
        <f t="shared" si="2"/>
        <v>14.53929880574556</v>
      </c>
      <c r="R17" s="62">
        <f t="shared" si="0"/>
        <v>288.31707658352332</v>
      </c>
      <c r="S17" s="62">
        <f ca="1">AVERAGE(OFFSET($R$3,0,0,'Données projet'!$E$9+1,1))-AVERAGE(OFFSET($H$3,0,0,'Données projet'!$E$9+1,1))</f>
        <v>177.70053246230015</v>
      </c>
      <c r="T17" s="62">
        <f t="shared" si="34"/>
        <v>85.631326020763254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5.8</v>
      </c>
      <c r="AI17" s="14">
        <f>IF('Données projet'!$A$62&gt;35,AI16+AH17-AQ16,IF(A17&lt;'Données projet'!$A$62,$AF$205^A17,IF(A17='Données projet'!$A$62,'Données projet'!$B$62,AI16+AH17-AQ16)))</f>
        <v>41.199999999999996</v>
      </c>
      <c r="AJ17" s="14">
        <f>AI17*VLOOKUP('Données projet'!$B$10,Paramètres!$A$1:$I$89,3,0)*VLOOKUP('Données projet'!$B$10,Paramètres!$A$1:$I$89,5,0)</f>
        <v>35.992319999999999</v>
      </c>
      <c r="AK17" s="14">
        <f t="shared" si="35"/>
        <v>10.929972788578748</v>
      </c>
      <c r="AL17" s="22">
        <f t="shared" si="4"/>
        <v>81.722993273441304</v>
      </c>
      <c r="AM17" s="62">
        <f t="shared" si="5"/>
        <v>355.50077105121909</v>
      </c>
      <c r="AN17" s="62">
        <f ca="1">AVERAGE(OFFSET($AM$3,0,0,'Données projet'!$E$10+1,1))-AVERAGE(OFFSET($H$3,0,0,'Données projet'!$E$10+1,1))</f>
        <v>212.11273590951606</v>
      </c>
      <c r="AO17" s="62">
        <f t="shared" si="36"/>
        <v>240.9595690943346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85.756500000000003</v>
      </c>
      <c r="BB17" s="13">
        <f>VLOOKUP(A17,'Données projet'!$A$87:$I$107,9,0)</f>
        <v>19.660499999999999</v>
      </c>
      <c r="BC17" s="13">
        <f t="array" ref="BC17">INDEX(BB:BB,MIN(IF(ISNUMBER(BB17:BB213),ROW(BB17:BB213),"")))</f>
        <v>19.660499999999999</v>
      </c>
      <c r="BD17" s="13">
        <f>IF('Données projet'!$A$88&gt;35,BD16+BC17-BL16,IF(A17&lt;'Données projet'!$A$88,$BA$205^A17,IF(A17='Données projet'!$A$88,'Données projet'!$B$88,BD16+BC17-BL16)))</f>
        <v>85.756500000000003</v>
      </c>
      <c r="BE17" s="14">
        <f>BD17*VLOOKUP('Données projet'!$B$11,Paramètres!$A$1:$I$89,3,0)*VLOOKUP('Données projet'!$B$11,Paramètres!$A$1:$I$89,5,0)</f>
        <v>51.282387000000007</v>
      </c>
      <c r="BF17" s="14">
        <f t="shared" si="37"/>
        <v>14.944451998773655</v>
      </c>
      <c r="BG17" s="22">
        <f t="shared" si="7"/>
        <v>115.34507792286411</v>
      </c>
      <c r="BH17" s="62">
        <f t="shared" si="8"/>
        <v>389.12285570064188</v>
      </c>
      <c r="BI17" s="62">
        <f ca="1">AVERAGE(OFFSET($BH$3,0,0,'Données projet'!$E$11+1,1))-AVERAGE(OFFSET($H$3,0,0,'Données projet'!$E$11+1,1))</f>
        <v>172.49153247238672</v>
      </c>
      <c r="BJ17" s="62">
        <f t="shared" si="38"/>
        <v>301.94982606323254</v>
      </c>
      <c r="BK17" s="16">
        <f>IF(ISNA(VLOOKUP(A17,'Données projet'!$A$87:$I$107,3,0)),0,VLOOKUP(A17,'Données projet'!$A$87:$I$107,3,0))</f>
        <v>1</v>
      </c>
      <c r="BL17" s="16">
        <f>IF(ISNA(VLOOKUP(A17,'Données projet'!$A$87:$I$107,4,0)),0,VLOOKUP(A17,'Données projet'!$A$87:$I$107,4,0))</f>
        <v>22.2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0.22500000000000001</v>
      </c>
      <c r="BO17" s="17">
        <f>IF(ISNA(VLOOKUP(A17,'Données projet'!$A$87:$I$107,7,0)),0%,VLOOKUP(A17,'Données projet'!$A$87:$I$107,7,0))</f>
        <v>0.5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3.9468595741116954</v>
      </c>
      <c r="BR17" s="23">
        <f>EXP(-LN(2)/2)*BR16+(1-EXP(-LN(2)/2))/(LN(2)/2)*BL17*BO17*VLOOKUP('Données projet'!$B$11,Paramètres!$A$1:$I$89,3,0)*0.475*44/12</f>
        <v>7.5155315445211741</v>
      </c>
      <c r="BS17" s="24">
        <f t="shared" si="9"/>
        <v>11.462391118632869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3.92</v>
      </c>
      <c r="BY17" s="13">
        <f>IF('Données projet'!$A$114&gt;35,BY16+BX17-CG16,IF(A17&lt;'Données projet'!$A$114,$BV$205^A17,IF(A17='Données projet'!$A$114,'Données projet'!$B$114,BY16+BX17-CG16)))</f>
        <v>13.0342666802624</v>
      </c>
      <c r="BZ17" s="14">
        <f>BY17*VLOOKUP('Données projet'!$B$12,Paramètres!$A$1:$I$89,3,0)*VLOOKUP('Données projet'!$B$12,Paramètres!$A$1:$I$89,5,0)</f>
        <v>7.4556005411100932</v>
      </c>
      <c r="CA17" s="14">
        <f t="shared" si="39"/>
        <v>2.7194289575789719</v>
      </c>
      <c r="CB17" s="22">
        <f t="shared" si="10"/>
        <v>17.721509710216786</v>
      </c>
      <c r="CC17" s="62">
        <f t="shared" si="11"/>
        <v>291.49928748799454</v>
      </c>
      <c r="CD17" s="62">
        <f ca="1">AVERAGE(OFFSET($CC$3,0,0,'Données projet'!$E$12+1,1))-AVERAGE(OFFSET($H$3,0,0,'Données projet'!$E$12+1,1))</f>
        <v>177.71338645688661</v>
      </c>
      <c r="CE17" s="62">
        <f t="shared" si="40"/>
        <v>153.65872713651345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1.9333333333333333</v>
      </c>
      <c r="CT17" s="13">
        <f>IF('Données projet'!$A$140&gt;35,CT16+CS17-DB16,IF(A17&lt;'Données projet'!$A$140,$CQ$205^A17,IF(A17='Données projet'!$A$140,'Données projet'!$B$140,CT16+CS17-DB16)))</f>
        <v>23.16886708134524</v>
      </c>
      <c r="CU17" s="18">
        <f>CT17*VLOOKUP('Données projet'!$B$13,Paramètres!$A$1:$I$89,3,0)*VLOOKUP('Données projet'!$B$13,Paramètres!$A$1:$I$89,5,0)</f>
        <v>15.180241711697402</v>
      </c>
      <c r="CV17" s="14">
        <f t="shared" si="41"/>
        <v>5.0971793208937788</v>
      </c>
      <c r="CW17" s="22">
        <f t="shared" si="13"/>
        <v>35.316508298429639</v>
      </c>
      <c r="CX17" s="62">
        <f t="shared" si="14"/>
        <v>309.09428607620742</v>
      </c>
      <c r="CY17" s="62">
        <f ca="1">AVERAGE(OFFSET($CX$3,0,0,'Données projet'!$E$13+1,1))-AVERAGE(OFFSET($H$3,0,0,'Données projet'!$E$13+1,1))</f>
        <v>118.65321241325523</v>
      </c>
      <c r="CZ17" s="62">
        <f t="shared" si="42"/>
        <v>140.55041555757327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13.877539056685173</v>
      </c>
      <c r="DQ17" s="14">
        <f t="shared" si="43"/>
        <v>4.7086819085950955</v>
      </c>
      <c r="DR17" s="22">
        <f t="shared" si="16"/>
        <v>32.371001514529802</v>
      </c>
      <c r="DS17" s="62">
        <f t="shared" si="17"/>
        <v>306.14877929230755</v>
      </c>
      <c r="DT17" s="62">
        <f ca="1">AVERAGE(OFFSET($DS$3,0,0,'Données projet'!$E$14+1,1))-AVERAGE(OFFSET($H$3,0,0,'Données projet'!$E$14+1,1))</f>
        <v>328.70784159273131</v>
      </c>
      <c r="DU17" s="62">
        <f t="shared" si="44"/>
        <v>193.18009444354601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6.9634641610889609</v>
      </c>
      <c r="P18" s="14">
        <f t="shared" si="33"/>
        <v>2.5601920195323435</v>
      </c>
      <c r="Q18" s="22">
        <f t="shared" si="2"/>
        <v>16.587034514582104</v>
      </c>
      <c r="R18" s="62">
        <f t="shared" si="0"/>
        <v>291.58703451458211</v>
      </c>
      <c r="S18" s="62">
        <f ca="1">AVERAGE(OFFSET($R$3,0,0,'Données projet'!$E$9+1,1))-AVERAGE(OFFSET($H$3,0,0,'Données projet'!$E$9+1,1))</f>
        <v>177.70053246230015</v>
      </c>
      <c r="T18" s="62">
        <f t="shared" si="34"/>
        <v>85.631326020763254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47</v>
      </c>
      <c r="AG18" s="13">
        <f>VLOOKUP(A18,'Données projet'!$A$61:$I$81,9,0)</f>
        <v>5.8</v>
      </c>
      <c r="AH18" s="13">
        <f t="array" ref="AH18">INDEX(AG:AG,MIN(IF(ISNUMBER(AG18:AG214),ROW(AG18:AG214),"")))</f>
        <v>5.8</v>
      </c>
      <c r="AI18" s="14">
        <f>IF('Données projet'!$A$62&gt;35,AI17+AH18-AQ17,IF(A18&lt;'Données projet'!$A$62,$AF$205^A18,IF(A18='Données projet'!$A$62,'Données projet'!$B$62,AI17+AH18-AQ17)))</f>
        <v>46.999999999999993</v>
      </c>
      <c r="AJ18" s="14">
        <f>AI18*VLOOKUP('Données projet'!$B$10,Paramètres!$A$1:$I$89,3,0)*VLOOKUP('Données projet'!$B$10,Paramètres!$A$1:$I$89,5,0)</f>
        <v>41.059200000000004</v>
      </c>
      <c r="AK18" s="14">
        <f t="shared" si="35"/>
        <v>12.278959527914743</v>
      </c>
      <c r="AL18" s="22">
        <f t="shared" si="4"/>
        <v>92.897294511118176</v>
      </c>
      <c r="AM18" s="62">
        <f t="shared" si="5"/>
        <v>367.89729451111816</v>
      </c>
      <c r="AN18" s="62">
        <f ca="1">AVERAGE(OFFSET($AM$3,0,0,'Données projet'!$E$10+1,1))-AVERAGE(OFFSET($H$3,0,0,'Données projet'!$E$10+1,1))</f>
        <v>212.11273590951606</v>
      </c>
      <c r="AO18" s="62">
        <f t="shared" si="36"/>
        <v>240.9595690943346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79.950999999999993</v>
      </c>
      <c r="BB18" s="13">
        <f>VLOOKUP(A18,'Données projet'!$A$87:$I$107,9,0)</f>
        <v>16.394499999999994</v>
      </c>
      <c r="BC18" s="13">
        <f t="array" ref="BC18">INDEX(BB:BB,MIN(IF(ISNUMBER(BB18:BB214),ROW(BB18:BB214),"")))</f>
        <v>16.394499999999994</v>
      </c>
      <c r="BD18" s="13">
        <f>IF('Données projet'!$A$88&gt;35,BD17+BC18-BL17,IF(A18&lt;'Données projet'!$A$88,$BA$205^A18,IF(A18='Données projet'!$A$88,'Données projet'!$B$88,BD17+BC18-BL17)))</f>
        <v>79.950999999999993</v>
      </c>
      <c r="BE18" s="14">
        <f>BD18*VLOOKUP('Données projet'!$B$11,Paramètres!$A$1:$I$89,3,0)*VLOOKUP('Données projet'!$B$11,Paramètres!$A$1:$I$89,5,0)</f>
        <v>47.810698000000002</v>
      </c>
      <c r="BF18" s="14">
        <f t="shared" si="37"/>
        <v>14.046898010995823</v>
      </c>
      <c r="BG18" s="22">
        <f t="shared" si="7"/>
        <v>107.7353130524844</v>
      </c>
      <c r="BH18" s="62">
        <f t="shared" si="8"/>
        <v>382.7353130524844</v>
      </c>
      <c r="BI18" s="62">
        <f ca="1">AVERAGE(OFFSET($BH$3,0,0,'Données projet'!$E$11+1,1))-AVERAGE(OFFSET($H$3,0,0,'Données projet'!$E$11+1,1))</f>
        <v>172.49153247238672</v>
      </c>
      <c r="BJ18" s="62">
        <f t="shared" si="38"/>
        <v>301.94982606323254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3.8389324915012866</v>
      </c>
      <c r="BR18" s="23">
        <f>EXP(-LN(2)/2)*BR17+(1-EXP(-LN(2)/2))/(LN(2)/2)*BL18*BO18*VLOOKUP('Données projet'!$B$11,Paramètres!$A$1:$I$89,3,0)*0.475*44/12</f>
        <v>5.31428331935233</v>
      </c>
      <c r="BS18" s="24">
        <f t="shared" si="9"/>
        <v>9.1532158108536166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3.92</v>
      </c>
      <c r="BY18" s="13">
        <f>IF('Données projet'!$A$114&gt;35,BY17+BX18-CG17,IF(A18&lt;'Données projet'!$A$114,$BV$205^A18,IF(A18='Données projet'!$A$114,'Données projet'!$B$114,BY17+BX18-CG17)))</f>
        <v>15.657976806082024</v>
      </c>
      <c r="BZ18" s="14">
        <f>BY18*VLOOKUP('Données projet'!$B$12,Paramètres!$A$1:$I$89,3,0)*VLOOKUP('Données projet'!$B$12,Paramètres!$A$1:$I$89,5,0)</f>
        <v>8.9563627330789188</v>
      </c>
      <c r="CA18" s="14">
        <f t="shared" si="39"/>
        <v>3.1978317651759127</v>
      </c>
      <c r="CB18" s="22">
        <f t="shared" si="10"/>
        <v>21.168555417793829</v>
      </c>
      <c r="CC18" s="62">
        <f t="shared" si="11"/>
        <v>296.16855541779381</v>
      </c>
      <c r="CD18" s="62">
        <f ca="1">AVERAGE(OFFSET($CC$3,0,0,'Données projet'!$E$12+1,1))-AVERAGE(OFFSET($H$3,0,0,'Données projet'!$E$12+1,1))</f>
        <v>177.71338645688661</v>
      </c>
      <c r="CE18" s="62">
        <f t="shared" si="40"/>
        <v>153.65872713651345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29</v>
      </c>
      <c r="CR18" s="13">
        <f>VLOOKUP(A18,'Données projet'!$A$139:$I$159,9,0)</f>
        <v>1.9333333333333333</v>
      </c>
      <c r="CS18" s="13">
        <f t="array" ref="CS18">INDEX(CR:CR,MIN(IF(ISNUMBER(CR18:CR214),ROW(CR18:CR214),"")))</f>
        <v>1.9333333333333333</v>
      </c>
      <c r="CT18" s="13">
        <f>IF('Données projet'!$A$140&gt;35,CT17+CS18-DB17,IF(A18&lt;'Données projet'!$A$140,$CQ$205^A18,IF(A18='Données projet'!$A$140,'Données projet'!$B$140,CT17+CS18-DB17)))</f>
        <v>29</v>
      </c>
      <c r="CU18" s="18">
        <f>CT18*VLOOKUP('Données projet'!$B$13,Paramètres!$A$1:$I$89,3,0)*VLOOKUP('Données projet'!$B$13,Paramètres!$A$1:$I$89,5,0)</f>
        <v>19.000800000000002</v>
      </c>
      <c r="CV18" s="14">
        <f t="shared" si="41"/>
        <v>6.2154833000252001</v>
      </c>
      <c r="CW18" s="22">
        <f t="shared" si="13"/>
        <v>43.918360080877228</v>
      </c>
      <c r="CX18" s="62">
        <f t="shared" si="14"/>
        <v>318.91836008087722</v>
      </c>
      <c r="CY18" s="62">
        <f ca="1">AVERAGE(OFFSET($CX$3,0,0,'Données projet'!$E$13+1,1))-AVERAGE(OFFSET($H$3,0,0,'Données projet'!$E$13+1,1))</f>
        <v>118.65321241325523</v>
      </c>
      <c r="CZ18" s="62">
        <f t="shared" si="42"/>
        <v>140.55041555757327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16.729190352551068</v>
      </c>
      <c r="DQ18" s="14">
        <f t="shared" si="43"/>
        <v>5.5541103821765283</v>
      </c>
      <c r="DR18" s="22">
        <f t="shared" si="16"/>
        <v>38.810082112983899</v>
      </c>
      <c r="DS18" s="62">
        <f t="shared" si="17"/>
        <v>313.81008211298388</v>
      </c>
      <c r="DT18" s="62">
        <f ca="1">AVERAGE(OFFSET($DS$3,0,0,'Données projet'!$E$14+1,1))-AVERAGE(OFFSET($H$3,0,0,'Données projet'!$E$14+1,1))</f>
        <v>328.70784159273131</v>
      </c>
      <c r="DU18" s="62">
        <f t="shared" si="44"/>
        <v>193.18009444354601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7.9782969195626388</v>
      </c>
      <c r="P19" s="14">
        <f t="shared" si="33"/>
        <v>2.887220237089136</v>
      </c>
      <c r="Q19" s="22">
        <f t="shared" si="2"/>
        <v>18.924109047835174</v>
      </c>
      <c r="R19" s="62">
        <f t="shared" si="0"/>
        <v>295.14633127005743</v>
      </c>
      <c r="S19" s="62">
        <f ca="1">AVERAGE(OFFSET($R$3,0,0,'Données projet'!$E$9+1,1))-AVERAGE(OFFSET($H$3,0,0,'Données projet'!$E$9+1,1))</f>
        <v>177.70053246230015</v>
      </c>
      <c r="T19" s="62">
        <f t="shared" si="34"/>
        <v>85.631326020763254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</v>
      </c>
      <c r="AI19" s="14">
        <f>IF('Données projet'!$A$62&gt;35,AI18+AH19-AQ18,IF(A19&lt;'Données projet'!$A$62,$AF$205^A19,IF(A19='Données projet'!$A$62,'Données projet'!$B$62,AI18+AH19-AQ18)))</f>
        <v>54.999999999999993</v>
      </c>
      <c r="AJ19" s="14">
        <f>AI19*VLOOKUP('Données projet'!$B$10,Paramètres!$A$1:$I$89,3,0)*VLOOKUP('Données projet'!$B$10,Paramètres!$A$1:$I$89,5,0)</f>
        <v>48.048000000000002</v>
      </c>
      <c r="AK19" s="14">
        <f t="shared" si="35"/>
        <v>14.108484750160615</v>
      </c>
      <c r="AL19" s="22">
        <f t="shared" si="4"/>
        <v>108.25587760652974</v>
      </c>
      <c r="AM19" s="62">
        <f t="shared" si="5"/>
        <v>384.47809982875197</v>
      </c>
      <c r="AN19" s="62">
        <f ca="1">AVERAGE(OFFSET($AM$3,0,0,'Données projet'!$E$10+1,1))-AVERAGE(OFFSET($H$3,0,0,'Données projet'!$E$10+1,1))</f>
        <v>212.11273590951606</v>
      </c>
      <c r="AO19" s="62">
        <f t="shared" si="36"/>
        <v>240.9595690943346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90.686499999999995</v>
      </c>
      <c r="BB19" s="13">
        <f>VLOOKUP(A19,'Données projet'!$A$87:$I$107,9,0)</f>
        <v>10.735500000000002</v>
      </c>
      <c r="BC19" s="13">
        <f t="array" ref="BC19">INDEX(BB:BB,MIN(IF(ISNUMBER(BB19:BB215),ROW(BB19:BB215),"")))</f>
        <v>10.735500000000002</v>
      </c>
      <c r="BD19" s="13">
        <f>IF('Données projet'!$A$88&gt;35,BD18+BC19-BL18,IF(A19&lt;'Données projet'!$A$88,$BA$205^A19,IF(A19='Données projet'!$A$88,'Données projet'!$B$88,BD18+BC19-BL18)))</f>
        <v>90.686499999999995</v>
      </c>
      <c r="BE19" s="14">
        <f>BD19*VLOOKUP('Données projet'!$B$11,Paramètres!$A$1:$I$89,3,0)*VLOOKUP('Données projet'!$B$11,Paramètres!$A$1:$I$89,5,0)</f>
        <v>54.230527000000002</v>
      </c>
      <c r="BF19" s="14">
        <f t="shared" si="37"/>
        <v>15.701093813174976</v>
      </c>
      <c r="BG19" s="22">
        <f t="shared" si="7"/>
        <v>121.79757291627975</v>
      </c>
      <c r="BH19" s="62">
        <f t="shared" si="8"/>
        <v>398.01979513850199</v>
      </c>
      <c r="BI19" s="62">
        <f ca="1">AVERAGE(OFFSET($BH$3,0,0,'Données projet'!$E$11+1,1))-AVERAGE(OFFSET($H$3,0,0,'Données projet'!$E$11+1,1))</f>
        <v>172.49153247238672</v>
      </c>
      <c r="BJ19" s="62">
        <f t="shared" si="38"/>
        <v>301.94982606323254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3.7339566806404982</v>
      </c>
      <c r="BR19" s="23">
        <f>EXP(-LN(2)/2)*BR18+(1-EXP(-LN(2)/2))/(LN(2)/2)*BL19*BO19*VLOOKUP('Données projet'!$B$11,Paramètres!$A$1:$I$89,3,0)*0.475*44/12</f>
        <v>3.7577657722605879</v>
      </c>
      <c r="BS19" s="24">
        <f t="shared" si="9"/>
        <v>7.4917224529010866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3.92</v>
      </c>
      <c r="BY19" s="13">
        <f>IF('Données projet'!$A$114&gt;35,BY18+BX19-CG18,IF(A19&lt;'Données projet'!$A$114,$BV$205^A19,IF(A19='Données projet'!$A$114,'Données projet'!$B$114,BY18+BX19-CG18)))</f>
        <v>18.809822115352553</v>
      </c>
      <c r="BZ19" s="14">
        <f>BY19*VLOOKUP('Données projet'!$B$12,Paramètres!$A$1:$I$89,3,0)*VLOOKUP('Données projet'!$B$12,Paramètres!$A$1:$I$89,5,0)</f>
        <v>10.759218249981661</v>
      </c>
      <c r="CA19" s="14">
        <f t="shared" si="39"/>
        <v>3.7603953469231675</v>
      </c>
      <c r="CB19" s="22">
        <f t="shared" si="10"/>
        <v>25.288327014609248</v>
      </c>
      <c r="CC19" s="62">
        <f t="shared" si="11"/>
        <v>301.51054923683148</v>
      </c>
      <c r="CD19" s="62">
        <f ca="1">AVERAGE(OFFSET($CC$3,0,0,'Données projet'!$E$12+1,1))-AVERAGE(OFFSET($H$3,0,0,'Données projet'!$E$12+1,1))</f>
        <v>177.71338645688661</v>
      </c>
      <c r="CE19" s="62">
        <f t="shared" si="40"/>
        <v>153.65872713651345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8.4</v>
      </c>
      <c r="CT19" s="13">
        <f>IF('Données projet'!$A$140&gt;35,CT18+CS19-DB18,IF(A19&lt;'Données projet'!$A$140,$CQ$205^A19,IF(A19='Données projet'!$A$140,'Données projet'!$B$140,CT18+CS19-DB18)))</f>
        <v>37.4</v>
      </c>
      <c r="CU19" s="18">
        <f>CT19*VLOOKUP('Données projet'!$B$13,Paramètres!$A$1:$I$89,3,0)*VLOOKUP('Données projet'!$B$13,Paramètres!$A$1:$I$89,5,0)</f>
        <v>24.504479999999997</v>
      </c>
      <c r="CV19" s="14">
        <f t="shared" si="41"/>
        <v>7.7819669258411093</v>
      </c>
      <c r="CW19" s="22">
        <f t="shared" si="13"/>
        <v>56.232228395839918</v>
      </c>
      <c r="CX19" s="62">
        <f t="shared" si="14"/>
        <v>332.45445061806214</v>
      </c>
      <c r="CY19" s="62">
        <f ca="1">AVERAGE(OFFSET($CX$3,0,0,'Données projet'!$E$13+1,1))-AVERAGE(OFFSET($H$3,0,0,'Données projet'!$E$13+1,1))</f>
        <v>118.65321241325523</v>
      </c>
      <c r="CZ19" s="62">
        <f t="shared" si="42"/>
        <v>140.55041555757327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20.166818389681932</v>
      </c>
      <c r="DQ19" s="14">
        <f t="shared" si="43"/>
        <v>6.5513327797938032</v>
      </c>
      <c r="DR19" s="22">
        <f t="shared" si="16"/>
        <v>46.534113286836906</v>
      </c>
      <c r="DS19" s="62">
        <f t="shared" si="17"/>
        <v>322.75633550905911</v>
      </c>
      <c r="DT19" s="62">
        <f ca="1">AVERAGE(OFFSET($DS$3,0,0,'Données projet'!$E$14+1,1))-AVERAGE(OFFSET($H$3,0,0,'Données projet'!$E$14+1,1))</f>
        <v>328.70784159273131</v>
      </c>
      <c r="DU19" s="62">
        <f t="shared" si="44"/>
        <v>193.18009444354601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9.1410281239601368</v>
      </c>
      <c r="P20" s="14">
        <f t="shared" si="33"/>
        <v>3.2560216709759704</v>
      </c>
      <c r="Q20" s="22">
        <f t="shared" si="2"/>
        <v>21.591528392847053</v>
      </c>
      <c r="R20" s="62">
        <f t="shared" si="0"/>
        <v>299.03597283729152</v>
      </c>
      <c r="S20" s="62">
        <f ca="1">AVERAGE(OFFSET($R$3,0,0,'Données projet'!$E$9+1,1))-AVERAGE(OFFSET($H$3,0,0,'Données projet'!$E$9+1,1))</f>
        <v>177.70053246230015</v>
      </c>
      <c r="T20" s="62">
        <f t="shared" si="34"/>
        <v>85.631326020763254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</v>
      </c>
      <c r="AI20" s="14">
        <f>IF('Données projet'!$A$62&gt;35,AI19+AH20-AQ19,IF(A20&lt;'Données projet'!$A$62,$AF$205^A20,IF(A20='Données projet'!$A$62,'Données projet'!$B$62,AI19+AH20-AQ19)))</f>
        <v>62.999999999999993</v>
      </c>
      <c r="AJ20" s="14">
        <f>AI20*VLOOKUP('Données projet'!$B$10,Paramètres!$A$1:$I$89,3,0)*VLOOKUP('Données projet'!$B$10,Paramètres!$A$1:$I$89,5,0)</f>
        <v>55.036800000000007</v>
      </c>
      <c r="AK20" s="14">
        <f t="shared" si="35"/>
        <v>15.907180538864345</v>
      </c>
      <c r="AL20" s="22">
        <f t="shared" si="4"/>
        <v>123.56076610518875</v>
      </c>
      <c r="AM20" s="62">
        <f t="shared" si="5"/>
        <v>401.0052105496332</v>
      </c>
      <c r="AN20" s="62">
        <f ca="1">AVERAGE(OFFSET($AM$3,0,0,'Données projet'!$E$10+1,1))-AVERAGE(OFFSET($H$3,0,0,'Données projet'!$E$10+1,1))</f>
        <v>212.11273590951606</v>
      </c>
      <c r="AO20" s="62">
        <f t="shared" si="36"/>
        <v>240.9595690943346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103.054</v>
      </c>
      <c r="BB20" s="13">
        <f>VLOOKUP(A20,'Données projet'!$A$87:$I$107,9,0)</f>
        <v>12.367500000000007</v>
      </c>
      <c r="BC20" s="13">
        <f t="array" ref="BC20">INDEX(BB:BB,MIN(IF(ISNUMBER(BB20:BB216),ROW(BB20:BB216),"")))</f>
        <v>12.367500000000007</v>
      </c>
      <c r="BD20" s="13">
        <f>IF('Données projet'!$A$88&gt;35,BD19+BC20-BL19,IF(A20&lt;'Données projet'!$A$88,$BA$205^A20,IF(A20='Données projet'!$A$88,'Données projet'!$B$88,BD19+BC20-BL19)))</f>
        <v>103.054</v>
      </c>
      <c r="BE20" s="14">
        <f>BD20*VLOOKUP('Données projet'!$B$11,Paramètres!$A$1:$I$89,3,0)*VLOOKUP('Données projet'!$B$11,Paramètres!$A$1:$I$89,5,0)</f>
        <v>61.626291999999999</v>
      </c>
      <c r="BF20" s="14">
        <f t="shared" si="37"/>
        <v>17.578804471187219</v>
      </c>
      <c r="BG20" s="22">
        <f t="shared" si="7"/>
        <v>137.94887635398439</v>
      </c>
      <c r="BH20" s="62">
        <f t="shared" si="8"/>
        <v>415.39332079842882</v>
      </c>
      <c r="BI20" s="62">
        <f ca="1">AVERAGE(OFFSET($BH$3,0,0,'Données projet'!$E$11+1,1))-AVERAGE(OFFSET($H$3,0,0,'Données projet'!$E$11+1,1))</f>
        <v>172.49153247238672</v>
      </c>
      <c r="BJ20" s="62">
        <f t="shared" si="38"/>
        <v>301.94982606323254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3.6318514388481362</v>
      </c>
      <c r="BR20" s="23">
        <f>EXP(-LN(2)/2)*BR19+(1-EXP(-LN(2)/2))/(LN(2)/2)*BL20*BO20*VLOOKUP('Données projet'!$B$11,Paramètres!$A$1:$I$89,3,0)*0.475*44/12</f>
        <v>2.6571416596761654</v>
      </c>
      <c r="BS20" s="24">
        <f t="shared" si="9"/>
        <v>6.2889930985243012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3.92</v>
      </c>
      <c r="BY20" s="13">
        <f>IF('Données projet'!$A$114&gt;35,BY19+BX20-CG19,IF(A20&lt;'Données projet'!$A$114,$BV$205^A20,IF(A20='Données projet'!$A$114,'Données projet'!$B$114,BY19+BX20-CG19)))</f>
        <v>22.596112664681932</v>
      </c>
      <c r="BZ20" s="14">
        <f>BY20*VLOOKUP('Données projet'!$B$12,Paramètres!$A$1:$I$89,3,0)*VLOOKUP('Données projet'!$B$12,Paramètres!$A$1:$I$89,5,0)</f>
        <v>12.924976444198066</v>
      </c>
      <c r="CA20" s="14">
        <f t="shared" si="39"/>
        <v>4.4219252929909976</v>
      </c>
      <c r="CB20" s="22">
        <f t="shared" si="10"/>
        <v>30.212520525604287</v>
      </c>
      <c r="CC20" s="62">
        <f t="shared" si="11"/>
        <v>307.65696497004876</v>
      </c>
      <c r="CD20" s="62">
        <f ca="1">AVERAGE(OFFSET($CC$3,0,0,'Données projet'!$E$12+1,1))-AVERAGE(OFFSET($H$3,0,0,'Données projet'!$E$12+1,1))</f>
        <v>177.71338645688661</v>
      </c>
      <c r="CE20" s="62">
        <f t="shared" si="40"/>
        <v>153.65872713651345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8.4</v>
      </c>
      <c r="CT20" s="13">
        <f>IF('Données projet'!$A$140&gt;35,CT19+CS20-DB19,IF(A20&lt;'Données projet'!$A$140,$CQ$205^A20,IF(A20='Données projet'!$A$140,'Données projet'!$B$140,CT19+CS20-DB19)))</f>
        <v>45.8</v>
      </c>
      <c r="CU20" s="18">
        <f>CT20*VLOOKUP('Données projet'!$B$13,Paramètres!$A$1:$I$89,3,0)*VLOOKUP('Données projet'!$B$13,Paramètres!$A$1:$I$89,5,0)</f>
        <v>30.008159999999997</v>
      </c>
      <c r="CV20" s="14">
        <f t="shared" si="41"/>
        <v>9.3076655464518403</v>
      </c>
      <c r="CW20" s="22">
        <f t="shared" si="13"/>
        <v>68.475062826736931</v>
      </c>
      <c r="CX20" s="62">
        <f t="shared" si="14"/>
        <v>345.91950727118137</v>
      </c>
      <c r="CY20" s="62">
        <f ca="1">AVERAGE(OFFSET($CX$3,0,0,'Données projet'!$E$13+1,1))-AVERAGE(OFFSET($H$3,0,0,'Données projet'!$E$13+1,1))</f>
        <v>118.65321241325523</v>
      </c>
      <c r="CZ20" s="62">
        <f t="shared" si="42"/>
        <v>140.55041555757327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24.31083366209619</v>
      </c>
      <c r="DQ20" s="14">
        <f t="shared" si="43"/>
        <v>7.7276032052466093</v>
      </c>
      <c r="DR20" s="22">
        <f t="shared" si="16"/>
        <v>55.800277543955367</v>
      </c>
      <c r="DS20" s="62">
        <f t="shared" si="17"/>
        <v>333.24472198839982</v>
      </c>
      <c r="DT20" s="62">
        <f ca="1">AVERAGE(OFFSET($DS$3,0,0,'Données projet'!$E$14+1,1))-AVERAGE(OFFSET($H$3,0,0,'Données projet'!$E$14+1,1))</f>
        <v>328.70784159273131</v>
      </c>
      <c r="DU20" s="62">
        <f t="shared" si="44"/>
        <v>193.18009444354601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10.473212015730644</v>
      </c>
      <c r="P21" s="14">
        <f t="shared" si="33"/>
        <v>3.6719322570811741</v>
      </c>
      <c r="Q21" s="22">
        <f t="shared" si="2"/>
        <v>24.636126275147248</v>
      </c>
      <c r="R21" s="62">
        <f t="shared" si="0"/>
        <v>303.30279294181395</v>
      </c>
      <c r="S21" s="62">
        <f ca="1">AVERAGE(OFFSET($R$3,0,0,'Données projet'!$E$9+1,1))-AVERAGE(OFFSET($H$3,0,0,'Données projet'!$E$9+1,1))</f>
        <v>177.70053246230015</v>
      </c>
      <c r="T21" s="62">
        <f t="shared" si="34"/>
        <v>85.631326020763254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</v>
      </c>
      <c r="AI21" s="14">
        <f>IF('Données projet'!$A$62&gt;35,AI20+AH21-AQ20,IF(A21&lt;'Données projet'!$A$62,$AF$205^A21,IF(A21='Données projet'!$A$62,'Données projet'!$B$62,AI20+AH21-AQ20)))</f>
        <v>71</v>
      </c>
      <c r="AJ21" s="14">
        <f>AI21*VLOOKUP('Données projet'!$B$10,Paramètres!$A$1:$I$89,3,0)*VLOOKUP('Données projet'!$B$10,Paramètres!$A$1:$I$89,5,0)</f>
        <v>62.025600000000011</v>
      </c>
      <c r="AK21" s="14">
        <f t="shared" si="35"/>
        <v>17.679410406677221</v>
      </c>
      <c r="AL21" s="22">
        <f t="shared" si="4"/>
        <v>138.8195597916295</v>
      </c>
      <c r="AM21" s="62">
        <f t="shared" si="5"/>
        <v>417.48622645829619</v>
      </c>
      <c r="AN21" s="62">
        <f ca="1">AVERAGE(OFFSET($AM$3,0,0,'Données projet'!$E$10+1,1))-AVERAGE(OFFSET($H$3,0,0,'Données projet'!$E$10+1,1))</f>
        <v>212.11273590951606</v>
      </c>
      <c r="AO21" s="62">
        <f t="shared" si="36"/>
        <v>240.9595690943346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116.78149999999999</v>
      </c>
      <c r="BB21" s="13">
        <f>VLOOKUP(A21,'Données projet'!$A$87:$I$107,9,0)</f>
        <v>13.727499999999992</v>
      </c>
      <c r="BC21" s="13">
        <f t="array" ref="BC21">INDEX(BB:BB,MIN(IF(ISNUMBER(BB21:BB217),ROW(BB21:BB217),"")))</f>
        <v>13.727499999999992</v>
      </c>
      <c r="BD21" s="13">
        <f>IF('Données projet'!$A$88&gt;35,BD20+BC21-BL20,IF(A21&lt;'Données projet'!$A$88,$BA$205^A21,IF(A21='Données projet'!$A$88,'Données projet'!$B$88,BD20+BC21-BL20)))</f>
        <v>116.78149999999999</v>
      </c>
      <c r="BE21" s="14">
        <f>BD21*VLOOKUP('Données projet'!$B$11,Paramètres!$A$1:$I$89,3,0)*VLOOKUP('Données projet'!$B$11,Paramètres!$A$1:$I$89,5,0)</f>
        <v>69.83533700000001</v>
      </c>
      <c r="BF21" s="14">
        <f t="shared" si="37"/>
        <v>19.632560341829297</v>
      </c>
      <c r="BG21" s="22">
        <f t="shared" si="7"/>
        <v>155.82325453701938</v>
      </c>
      <c r="BH21" s="62">
        <f t="shared" si="8"/>
        <v>434.48992120368609</v>
      </c>
      <c r="BI21" s="62">
        <f ca="1">AVERAGE(OFFSET($BH$3,0,0,'Données projet'!$E$11+1,1))-AVERAGE(OFFSET($H$3,0,0,'Données projet'!$E$11+1,1))</f>
        <v>172.49153247238672</v>
      </c>
      <c r="BJ21" s="62">
        <f t="shared" si="38"/>
        <v>301.94982606323254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3.5325382702620676</v>
      </c>
      <c r="BR21" s="23">
        <f>EXP(-LN(2)/2)*BR20+(1-EXP(-LN(2)/2))/(LN(2)/2)*BL21*BO21*VLOOKUP('Données projet'!$B$11,Paramètres!$A$1:$I$89,3,0)*0.475*44/12</f>
        <v>1.8788828861302942</v>
      </c>
      <c r="BS21" s="24">
        <f t="shared" si="9"/>
        <v>5.411421156392362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3.92</v>
      </c>
      <c r="BY21" s="13">
        <f>IF('Données projet'!$A$114&gt;35,BY20+BX21-CG20,IF(A21&lt;'Données projet'!$A$114,$BV$205^A21,IF(A21='Données projet'!$A$114,'Données projet'!$B$114,BY20+BX21-CG20)))</f>
        <v>27.144558009310522</v>
      </c>
      <c r="BZ21" s="14">
        <f>BY21*VLOOKUP('Données projet'!$B$12,Paramètres!$A$1:$I$89,3,0)*VLOOKUP('Données projet'!$B$12,Paramètres!$A$1:$I$89,5,0)</f>
        <v>15.526687181325618</v>
      </c>
      <c r="CA21" s="14">
        <f t="shared" si="39"/>
        <v>5.1998317976838608</v>
      </c>
      <c r="CB21" s="22">
        <f t="shared" si="10"/>
        <v>36.098687221774846</v>
      </c>
      <c r="CC21" s="62">
        <f t="shared" si="11"/>
        <v>314.76535388844155</v>
      </c>
      <c r="CD21" s="62">
        <f ca="1">AVERAGE(OFFSET($CC$3,0,0,'Données projet'!$E$12+1,1))-AVERAGE(OFFSET($H$3,0,0,'Données projet'!$E$12+1,1))</f>
        <v>177.71338645688661</v>
      </c>
      <c r="CE21" s="62">
        <f t="shared" si="40"/>
        <v>153.65872713651345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8.4</v>
      </c>
      <c r="CT21" s="13">
        <f>IF('Données projet'!$A$140&gt;35,CT20+CS21-DB20,IF(A21&lt;'Données projet'!$A$140,$CQ$205^A21,IF(A21='Données projet'!$A$140,'Données projet'!$B$140,CT20+CS21-DB20)))</f>
        <v>54.199999999999996</v>
      </c>
      <c r="CU21" s="18">
        <f>CT21*VLOOKUP('Données projet'!$B$13,Paramètres!$A$1:$I$89,3,0)*VLOOKUP('Données projet'!$B$13,Paramètres!$A$1:$I$89,5,0)</f>
        <v>35.511839999999992</v>
      </c>
      <c r="CV21" s="14">
        <f t="shared" si="41"/>
        <v>10.800946192888619</v>
      </c>
      <c r="CW21" s="22">
        <f t="shared" si="13"/>
        <v>80.661435952614326</v>
      </c>
      <c r="CX21" s="62">
        <f t="shared" si="14"/>
        <v>359.32810261928103</v>
      </c>
      <c r="CY21" s="62">
        <f ca="1">AVERAGE(OFFSET($CX$3,0,0,'Données projet'!$E$13+1,1))-AVERAGE(OFFSET($H$3,0,0,'Données projet'!$E$13+1,1))</f>
        <v>118.65321241325523</v>
      </c>
      <c r="CZ21" s="62">
        <f t="shared" si="42"/>
        <v>140.55041555757327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29.306389432677911</v>
      </c>
      <c r="DQ21" s="14">
        <f t="shared" si="43"/>
        <v>9.1150691477493808</v>
      </c>
      <c r="DR21" s="22">
        <f t="shared" si="16"/>
        <v>66.917373694244205</v>
      </c>
      <c r="DS21" s="62">
        <f t="shared" si="17"/>
        <v>345.58404036091088</v>
      </c>
      <c r="DT21" s="62">
        <f ca="1">AVERAGE(OFFSET($DS$3,0,0,'Données projet'!$E$14+1,1))-AVERAGE(OFFSET($H$3,0,0,'Données projet'!$E$14+1,1))</f>
        <v>328.70784159273131</v>
      </c>
      <c r="DU21" s="62">
        <f t="shared" si="44"/>
        <v>193.18009444354601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11.999544081801259</v>
      </c>
      <c r="P22" s="14">
        <f t="shared" si="33"/>
        <v>4.1409695214196116</v>
      </c>
      <c r="Q22" s="22">
        <f t="shared" si="2"/>
        <v>28.111394525609683</v>
      </c>
      <c r="R22" s="62">
        <f t="shared" si="0"/>
        <v>308.00028341449854</v>
      </c>
      <c r="S22" s="62">
        <f ca="1">AVERAGE(OFFSET($R$3,0,0,'Données projet'!$E$9+1,1))-AVERAGE(OFFSET($H$3,0,0,'Données projet'!$E$9+1,1))</f>
        <v>177.70053246230015</v>
      </c>
      <c r="T22" s="62">
        <f t="shared" si="34"/>
        <v>85.631326020763254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8</v>
      </c>
      <c r="AI22" s="14">
        <f>IF('Données projet'!$A$62&gt;35,AI21+AH22-AQ21,IF(A22&lt;'Données projet'!$A$62,$AF$205^A22,IF(A22='Données projet'!$A$62,'Données projet'!$B$62,AI21+AH22-AQ21)))</f>
        <v>79</v>
      </c>
      <c r="AJ22" s="14">
        <f>AI22*VLOOKUP('Données projet'!$B$10,Paramètres!$A$1:$I$89,3,0)*VLOOKUP('Données projet'!$B$10,Paramètres!$A$1:$I$89,5,0)</f>
        <v>69.014400000000009</v>
      </c>
      <c r="AK22" s="14">
        <f t="shared" si="35"/>
        <v>19.428496726251055</v>
      </c>
      <c r="AL22" s="22">
        <f t="shared" si="4"/>
        <v>154.03804513155393</v>
      </c>
      <c r="AM22" s="62">
        <f t="shared" si="5"/>
        <v>433.92693402044279</v>
      </c>
      <c r="AN22" s="62">
        <f ca="1">AVERAGE(OFFSET($AM$3,0,0,'Données projet'!$E$10+1,1))-AVERAGE(OFFSET($H$3,0,0,'Données projet'!$E$10+1,1))</f>
        <v>212.11273590951606</v>
      </c>
      <c r="AO22" s="62">
        <f t="shared" si="36"/>
        <v>240.9595690943346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134.41899999999998</v>
      </c>
      <c r="BB22" s="13">
        <f>VLOOKUP(A22,'Données projet'!$A$87:$I$107,9,0)</f>
        <v>17.637499999999989</v>
      </c>
      <c r="BC22" s="13">
        <f t="array" ref="BC22">INDEX(BB:BB,MIN(IF(ISNUMBER(BB22:BB218),ROW(BB22:BB218),"")))</f>
        <v>17.637499999999989</v>
      </c>
      <c r="BD22" s="13">
        <f>IF('Données projet'!$A$88&gt;35,BD21+BC22-BL21,IF(A22&lt;'Données projet'!$A$88,$BA$205^A22,IF(A22='Données projet'!$A$88,'Données projet'!$B$88,BD21+BC22-BL21)))</f>
        <v>134.41899999999998</v>
      </c>
      <c r="BE22" s="14">
        <f>BD22*VLOOKUP('Données projet'!$B$11,Paramètres!$A$1:$I$89,3,0)*VLOOKUP('Données projet'!$B$11,Paramètres!$A$1:$I$89,5,0)</f>
        <v>80.382561999999993</v>
      </c>
      <c r="BF22" s="14">
        <f t="shared" si="37"/>
        <v>22.230696539664962</v>
      </c>
      <c r="BG22" s="22">
        <f t="shared" si="7"/>
        <v>178.71809195658315</v>
      </c>
      <c r="BH22" s="62">
        <f t="shared" si="8"/>
        <v>458.60698084547198</v>
      </c>
      <c r="BI22" s="62">
        <f ca="1">AVERAGE(OFFSET($BH$3,0,0,'Données projet'!$E$11+1,1))-AVERAGE(OFFSET($H$3,0,0,'Données projet'!$E$11+1,1))</f>
        <v>172.49153247238672</v>
      </c>
      <c r="BJ22" s="62">
        <f t="shared" si="38"/>
        <v>301.94982606323254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34.9</v>
      </c>
      <c r="BM22" s="17">
        <f>IF(ISNA(VLOOKUP(A22,'Données projet'!$A$87:$I$107,5,0)),0%,VLOOKUP(A22,'Données projet'!$A$87:$I$107,5,0)*VLOOKUP('Données projet'!$B$11,Paramètres!$A$1:$I$89,7,0))</f>
        <v>0.1125</v>
      </c>
      <c r="BN22" s="17">
        <f>IF(ISNA(VLOOKUP(A22,'Données projet'!$A$87:$I$107,6,0)),0%,VLOOKUP(A22,'Données projet'!$A$87:$I$107,6,0)*VLOOKUP('Données projet'!$B$11,Paramètres!$A$1:$I$89,7,0))</f>
        <v>0.16875000000000001</v>
      </c>
      <c r="BO22" s="17">
        <f>IF(ISNA(VLOOKUP(A22,'Données projet'!$A$87:$I$107,7,0)),0%,VLOOKUP(A22,'Données projet'!$A$87:$I$107,7,0))</f>
        <v>0.375</v>
      </c>
      <c r="BP22" s="23">
        <f>EXP(-LN(2)/35)*BP21+(1-EXP(-LN(2)/35))/(LN(2)/35)*BL22*BM22*VLOOKUP('Données projet'!$B$11,Paramètres!$A$1:$I$89,3,0)*0.475*44/12</f>
        <v>3.1146373685153583</v>
      </c>
      <c r="BQ22" s="23">
        <f>EXP(-LN(2)/25)*BQ21+(1-EXP(-LN(2)/25))/(LN(2)/25)*Calculateur!BL22*Calculateur!BN22*VLOOKUP('Données projet'!$B$11,Paramètres!$A$1:$I$89,3,0)*0.475*44/12</f>
        <v>8.0895016071320889</v>
      </c>
      <c r="BR22" s="23">
        <f>EXP(-LN(2)/2)*BR21+(1-EXP(-LN(2)/2))/(LN(2)/2)*BL22*BO22*VLOOKUP('Données projet'!$B$11,Paramètres!$A$1:$I$89,3,0)*0.475*44/12</f>
        <v>10.189788765776903</v>
      </c>
      <c r="BS22" s="24">
        <f t="shared" si="9"/>
        <v>21.393927741424349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3.92</v>
      </c>
      <c r="BY22" s="13">
        <f>IF('Données projet'!$A$114&gt;35,BY21+BX22-CG21,IF(A22&lt;'Données projet'!$A$114,$BV$205^A22,IF(A22='Données projet'!$A$114,'Données projet'!$B$114,BY21+BX22-CG21)))</f>
        <v>32.608574778107553</v>
      </c>
      <c r="BZ22" s="14">
        <f>BY22*VLOOKUP('Données projet'!$B$12,Paramètres!$A$1:$I$89,3,0)*VLOOKUP('Données projet'!$B$12,Paramètres!$A$1:$I$89,5,0)</f>
        <v>18.652104773077522</v>
      </c>
      <c r="CA22" s="14">
        <f t="shared" si="39"/>
        <v>6.1145878622285492</v>
      </c>
      <c r="CB22" s="22">
        <f t="shared" si="10"/>
        <v>43.135323006491404</v>
      </c>
      <c r="CC22" s="62">
        <f t="shared" si="11"/>
        <v>323.02421189538029</v>
      </c>
      <c r="CD22" s="62">
        <f ca="1">AVERAGE(OFFSET($CC$3,0,0,'Données projet'!$E$12+1,1))-AVERAGE(OFFSET($H$3,0,0,'Données projet'!$E$12+1,1))</f>
        <v>177.71338645688661</v>
      </c>
      <c r="CE22" s="62">
        <f t="shared" si="40"/>
        <v>153.65872713651345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8.4</v>
      </c>
      <c r="CT22" s="13">
        <f>IF('Données projet'!$A$140&gt;35,CT21+CS22-DB21,IF(A22&lt;'Données projet'!$A$140,$CQ$205^A22,IF(A22='Données projet'!$A$140,'Données projet'!$B$140,CT21+CS22-DB21)))</f>
        <v>62.599999999999994</v>
      </c>
      <c r="CU22" s="18">
        <f>CT22*VLOOKUP('Données projet'!$B$13,Paramètres!$A$1:$I$89,3,0)*VLOOKUP('Données projet'!$B$13,Paramètres!$A$1:$I$89,5,0)</f>
        <v>41.015519999999995</v>
      </c>
      <c r="CV22" s="14">
        <f t="shared" si="41"/>
        <v>12.267416591039986</v>
      </c>
      <c r="CW22" s="22">
        <f t="shared" si="13"/>
        <v>92.80111456272796</v>
      </c>
      <c r="CX22" s="62">
        <f t="shared" si="14"/>
        <v>372.6900034516168</v>
      </c>
      <c r="CY22" s="62">
        <f ca="1">AVERAGE(OFFSET($CX$3,0,0,'Données projet'!$E$13+1,1))-AVERAGE(OFFSET($H$3,0,0,'Données projet'!$E$13+1,1))</f>
        <v>118.65321241325523</v>
      </c>
      <c r="CZ22" s="62">
        <f t="shared" si="42"/>
        <v>140.55041555757327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35.328466045936516</v>
      </c>
      <c r="DQ22" s="14">
        <f t="shared" si="43"/>
        <v>10.751650073316766</v>
      </c>
      <c r="DR22" s="22">
        <f t="shared" si="16"/>
        <v>80.256202241032796</v>
      </c>
      <c r="DS22" s="62">
        <f t="shared" si="17"/>
        <v>360.14509112992164</v>
      </c>
      <c r="DT22" s="62">
        <f ca="1">AVERAGE(OFFSET($DS$3,0,0,'Données projet'!$E$14+1,1))-AVERAGE(OFFSET($H$3,0,0,'Données projet'!$E$14+1,1))</f>
        <v>328.70784159273131</v>
      </c>
      <c r="DU22" s="62">
        <f t="shared" si="44"/>
        <v>193.18009444354601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13.748318849539347</v>
      </c>
      <c r="P23" s="14">
        <f t="shared" si="33"/>
        <v>4.6699196436038939</v>
      </c>
      <c r="Q23" s="22">
        <f t="shared" si="2"/>
        <v>32.078432042224485</v>
      </c>
      <c r="R23" s="62">
        <f t="shared" si="0"/>
        <v>313.18954315333565</v>
      </c>
      <c r="S23" s="62">
        <f ca="1">AVERAGE(OFFSET($R$3,0,0,'Données projet'!$E$9+1,1))-AVERAGE(OFFSET($H$3,0,0,'Données projet'!$E$9+1,1))</f>
        <v>177.70053246230015</v>
      </c>
      <c r="T23" s="62">
        <f t="shared" si="34"/>
        <v>85.631326020763254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87</v>
      </c>
      <c r="AG23" s="13">
        <f>VLOOKUP(A23,'Données projet'!$A$61:$I$81,9,0)</f>
        <v>8</v>
      </c>
      <c r="AH23" s="13">
        <f t="array" ref="AH23">INDEX(AG:AG,MIN(IF(ISNUMBER(AG23:AG219),ROW(AG23:AG219),"")))</f>
        <v>8</v>
      </c>
      <c r="AI23" s="14">
        <f>IF('Données projet'!$A$62&gt;35,AI22+AH23-AQ22,IF(A23&lt;'Données projet'!$A$62,$AF$205^A23,IF(A23='Données projet'!$A$62,'Données projet'!$B$62,AI22+AH23-AQ22)))</f>
        <v>87</v>
      </c>
      <c r="AJ23" s="14">
        <f>AI23*VLOOKUP('Données projet'!$B$10,Paramètres!$A$1:$I$89,3,0)*VLOOKUP('Données projet'!$B$10,Paramètres!$A$1:$I$89,5,0)</f>
        <v>76.003200000000007</v>
      </c>
      <c r="AK23" s="14">
        <f t="shared" si="35"/>
        <v>21.157049992000456</v>
      </c>
      <c r="AL23" s="22">
        <f t="shared" si="4"/>
        <v>169.22076873606747</v>
      </c>
      <c r="AM23" s="62">
        <f t="shared" si="5"/>
        <v>450.33187984717858</v>
      </c>
      <c r="AN23" s="62">
        <f ca="1">AVERAGE(OFFSET($AM$3,0,0,'Données projet'!$E$10+1,1))-AVERAGE(OFFSET($H$3,0,0,'Données projet'!$E$10+1,1))</f>
        <v>212.11273590951606</v>
      </c>
      <c r="AO23" s="62">
        <f t="shared" si="36"/>
        <v>240.9595690943346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29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116.926</v>
      </c>
      <c r="BB23" s="13">
        <f>VLOOKUP(A23,'Données projet'!$A$87:$I$107,9,0)</f>
        <v>17.407000000000025</v>
      </c>
      <c r="BC23" s="13">
        <f t="array" ref="BC23">INDEX(BB:BB,MIN(IF(ISNUMBER(BB23:BB219),ROW(BB23:BB219),"")))</f>
        <v>17.407000000000025</v>
      </c>
      <c r="BD23" s="13">
        <f>IF('Données projet'!$A$88&gt;35,BD22+BC23-BL22,IF(A23&lt;'Données projet'!$A$88,$BA$205^A23,IF(A23='Données projet'!$A$88,'Données projet'!$B$88,BD22+BC23-BL22)))</f>
        <v>116.92600000000002</v>
      </c>
      <c r="BE23" s="14">
        <f>BD23*VLOOKUP('Données projet'!$B$11,Paramètres!$A$1:$I$89,3,0)*VLOOKUP('Données projet'!$B$11,Paramètres!$A$1:$I$89,5,0)</f>
        <v>69.921748000000022</v>
      </c>
      <c r="BF23" s="14">
        <f t="shared" si="37"/>
        <v>19.654023576993847</v>
      </c>
      <c r="BG23" s="22">
        <f t="shared" si="7"/>
        <v>156.01113549659763</v>
      </c>
      <c r="BH23" s="62">
        <f t="shared" si="8"/>
        <v>437.1222466077088</v>
      </c>
      <c r="BI23" s="62">
        <f ca="1">AVERAGE(OFFSET($BH$3,0,0,'Données projet'!$E$11+1,1))-AVERAGE(OFFSET($H$3,0,0,'Données projet'!$E$11+1,1))</f>
        <v>172.49153247238672</v>
      </c>
      <c r="BJ23" s="62">
        <f t="shared" si="38"/>
        <v>301.94982606323254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3.0535612294599832</v>
      </c>
      <c r="BQ23" s="23">
        <f>EXP(-LN(2)/25)*BQ22+(1-EXP(-LN(2)/25))/(LN(2)/25)*Calculateur!BL23*Calculateur!BN23*VLOOKUP('Données projet'!$B$11,Paramètres!$A$1:$I$89,3,0)*0.475*44/12</f>
        <v>7.8682937602766616</v>
      </c>
      <c r="BR23" s="23">
        <f>EXP(-LN(2)/2)*BR22+(1-EXP(-LN(2)/2))/(LN(2)/2)*BL23*BO23*VLOOKUP('Données projet'!$B$11,Paramètres!$A$1:$I$89,3,0)*0.475*44/12</f>
        <v>7.2052687351393496</v>
      </c>
      <c r="BS23" s="24">
        <f t="shared" si="9"/>
        <v>18.127123724875993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3.92</v>
      </c>
      <c r="BY23" s="13">
        <f>IF('Données projet'!$A$114&gt;35,BY22+BX23-CG22,IF(A23&lt;'Données projet'!$A$114,$BV$205^A23,IF(A23='Données projet'!$A$114,'Données projet'!$B$114,BY22+BX23-CG22)))</f>
        <v>39.172461334412446</v>
      </c>
      <c r="BZ23" s="14">
        <f>BY23*VLOOKUP('Données projet'!$B$12,Paramètres!$A$1:$I$89,3,0)*VLOOKUP('Données projet'!$B$12,Paramètres!$A$1:$I$89,5,0)</f>
        <v>22.40664788328392</v>
      </c>
      <c r="CA23" s="14">
        <f t="shared" si="39"/>
        <v>7.1902681047426107</v>
      </c>
      <c r="CB23" s="22">
        <f t="shared" si="10"/>
        <v>51.547962012479537</v>
      </c>
      <c r="CC23" s="62">
        <f t="shared" si="11"/>
        <v>332.6590731235907</v>
      </c>
      <c r="CD23" s="62">
        <f ca="1">AVERAGE(OFFSET($CC$3,0,0,'Données projet'!$E$12+1,1))-AVERAGE(OFFSET($H$3,0,0,'Données projet'!$E$12+1,1))</f>
        <v>177.71338645688661</v>
      </c>
      <c r="CE23" s="62">
        <f t="shared" si="40"/>
        <v>153.65872713651345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71</v>
      </c>
      <c r="CR23" s="13">
        <f>VLOOKUP(A23,'Données projet'!$A$139:$I$159,9,0)</f>
        <v>8.4</v>
      </c>
      <c r="CS23" s="13">
        <f t="array" ref="CS23">INDEX(CR:CR,MIN(IF(ISNUMBER(CR23:CR219),ROW(CR23:CR219),"")))</f>
        <v>8.4</v>
      </c>
      <c r="CT23" s="13">
        <f>IF('Données projet'!$A$140&gt;35,CT22+CS23-DB22,IF(A23&lt;'Données projet'!$A$140,$CQ$205^A23,IF(A23='Données projet'!$A$140,'Données projet'!$B$140,CT22+CS23-DB22)))</f>
        <v>71</v>
      </c>
      <c r="CU23" s="18">
        <f>CT23*VLOOKUP('Données projet'!$B$13,Paramètres!$A$1:$I$89,3,0)*VLOOKUP('Données projet'!$B$13,Paramètres!$A$1:$I$89,5,0)</f>
        <v>46.519200000000005</v>
      </c>
      <c r="CV23" s="14">
        <f t="shared" si="41"/>
        <v>13.711087737270105</v>
      </c>
      <c r="CW23" s="22">
        <f t="shared" si="13"/>
        <v>104.90108447574544</v>
      </c>
      <c r="CX23" s="62">
        <f t="shared" si="14"/>
        <v>386.01219558685659</v>
      </c>
      <c r="CY23" s="62">
        <f ca="1">AVERAGE(OFFSET($CX$3,0,0,'Données projet'!$E$13+1,1))-AVERAGE(OFFSET($H$3,0,0,'Données projet'!$E$13+1,1))</f>
        <v>118.65321241325523</v>
      </c>
      <c r="CZ23" s="62">
        <f t="shared" si="42"/>
        <v>140.55041555757327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42.588000000000001</v>
      </c>
      <c r="DQ23" s="14">
        <f t="shared" si="43"/>
        <v>12.682073764365764</v>
      </c>
      <c r="DR23" s="22">
        <f t="shared" si="16"/>
        <v>96.262045139603686</v>
      </c>
      <c r="DS23" s="62">
        <f t="shared" si="17"/>
        <v>377.37315625071483</v>
      </c>
      <c r="DT23" s="62">
        <f ca="1">AVERAGE(OFFSET($DS$3,0,0,'Données projet'!$E$14+1,1))-AVERAGE(OFFSET($H$3,0,0,'Données projet'!$E$14+1,1))</f>
        <v>328.70784159273131</v>
      </c>
      <c r="DU23" s="62">
        <f t="shared" si="44"/>
        <v>193.18009444354601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15.751954399272945</v>
      </c>
      <c r="P24" s="14">
        <f t="shared" si="33"/>
        <v>5.2664356414391653</v>
      </c>
      <c r="Q24" s="22">
        <f t="shared" si="2"/>
        <v>36.607029320906918</v>
      </c>
      <c r="R24" s="62">
        <f t="shared" si="0"/>
        <v>318.94036265424023</v>
      </c>
      <c r="S24" s="62">
        <f ca="1">AVERAGE(OFFSET($R$3,0,0,'Données projet'!$E$9+1,1))-AVERAGE(OFFSET($H$3,0,0,'Données projet'!$E$9+1,1))</f>
        <v>177.70053246230015</v>
      </c>
      <c r="T24" s="62">
        <f t="shared" si="34"/>
        <v>85.631326020763254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</v>
      </c>
      <c r="AI24" s="14">
        <f>IF('Données projet'!$A$62&gt;35,AI23+AH24-AQ23,IF(A24&lt;'Données projet'!$A$62,$AF$205^A24,IF(A24='Données projet'!$A$62,'Données projet'!$B$62,AI23+AH24-AQ23)))</f>
        <v>66</v>
      </c>
      <c r="AJ24" s="14">
        <f>AI24*VLOOKUP('Données projet'!$B$10,Paramètres!$A$1:$I$89,3,0)*VLOOKUP('Données projet'!$B$10,Paramètres!$A$1:$I$89,5,0)</f>
        <v>57.657600000000002</v>
      </c>
      <c r="AK24" s="14">
        <f t="shared" si="35"/>
        <v>16.574671209026025</v>
      </c>
      <c r="AL24" s="22">
        <f t="shared" si="4"/>
        <v>129.28787235572034</v>
      </c>
      <c r="AM24" s="62">
        <f t="shared" si="5"/>
        <v>411.62120568905368</v>
      </c>
      <c r="AN24" s="62">
        <f ca="1">AVERAGE(OFFSET($AM$3,0,0,'Données projet'!$E$10+1,1))-AVERAGE(OFFSET($H$3,0,0,'Données projet'!$E$10+1,1))</f>
        <v>212.11273590951606</v>
      </c>
      <c r="AO24" s="62">
        <f t="shared" si="36"/>
        <v>240.9595690943346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134.99699999999999</v>
      </c>
      <c r="BB24" s="13">
        <f>VLOOKUP(A24,'Données projet'!$A$87:$I$107,9,0)</f>
        <v>18.070999999999984</v>
      </c>
      <c r="BC24" s="13">
        <f t="array" ref="BC24">INDEX(BB:BB,MIN(IF(ISNUMBER(BB24:BB220),ROW(BB24:BB220),"")))</f>
        <v>18.070999999999984</v>
      </c>
      <c r="BD24" s="13">
        <f>IF('Données projet'!$A$88&gt;35,BD23+BC24-BL23,IF(A24&lt;'Données projet'!$A$88,$BA$205^A24,IF(A24='Données projet'!$A$88,'Données projet'!$B$88,BD23+BC24-BL23)))</f>
        <v>134.99700000000001</v>
      </c>
      <c r="BE24" s="14">
        <f>BD24*VLOOKUP('Données projet'!$B$11,Paramètres!$A$1:$I$89,3,0)*VLOOKUP('Données projet'!$B$11,Paramètres!$A$1:$I$89,5,0)</f>
        <v>80.728206000000014</v>
      </c>
      <c r="BF24" s="14">
        <f t="shared" si="37"/>
        <v>22.315140273766989</v>
      </c>
      <c r="BG24" s="22">
        <f t="shared" si="7"/>
        <v>179.46716142681086</v>
      </c>
      <c r="BH24" s="62">
        <f t="shared" si="8"/>
        <v>461.80049476014415</v>
      </c>
      <c r="BI24" s="62">
        <f ca="1">AVERAGE(OFFSET($BH$3,0,0,'Données projet'!$E$11+1,1))-AVERAGE(OFFSET($H$3,0,0,'Données projet'!$E$11+1,1))</f>
        <v>172.49153247238672</v>
      </c>
      <c r="BJ24" s="62">
        <f t="shared" si="38"/>
        <v>301.94982606323254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2.9936827562387176</v>
      </c>
      <c r="BQ24" s="23">
        <f>EXP(-LN(2)/25)*BQ23+(1-EXP(-LN(2)/25))/(LN(2)/25)*Calculateur!BL24*Calculateur!BN24*VLOOKUP('Données projet'!$B$11,Paramètres!$A$1:$I$89,3,0)*0.475*44/12</f>
        <v>7.6531348536263106</v>
      </c>
      <c r="BR24" s="23">
        <f>EXP(-LN(2)/2)*BR23+(1-EXP(-LN(2)/2))/(LN(2)/2)*BL24*BO24*VLOOKUP('Données projet'!$B$11,Paramètres!$A$1:$I$89,3,0)*0.475*44/12</f>
        <v>5.0948943828884525</v>
      </c>
      <c r="BS24" s="24">
        <f t="shared" si="9"/>
        <v>15.74171199275348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3.92</v>
      </c>
      <c r="BY24" s="13">
        <f>IF('Données projet'!$A$114&gt;35,BY23+BX24-CG23,IF(A24&lt;'Données projet'!$A$114,$BV$205^A24,IF(A24='Données projet'!$A$114,'Données projet'!$B$114,BY23+BX24-CG23)))</f>
        <v>47.05761406126355</v>
      </c>
      <c r="BZ24" s="14">
        <f>BY24*VLOOKUP('Données projet'!$B$12,Paramètres!$A$1:$I$89,3,0)*VLOOKUP('Données projet'!$B$12,Paramètres!$A$1:$I$89,5,0)</f>
        <v>26.91695524304275</v>
      </c>
      <c r="CA24" s="14">
        <f t="shared" si="39"/>
        <v>8.4551823578238796</v>
      </c>
      <c r="CB24" s="22">
        <f t="shared" si="10"/>
        <v>61.606472988176044</v>
      </c>
      <c r="CC24" s="62">
        <f t="shared" si="11"/>
        <v>343.93980632150937</v>
      </c>
      <c r="CD24" s="62">
        <f ca="1">AVERAGE(OFFSET($CC$3,0,0,'Données projet'!$E$12+1,1))-AVERAGE(OFFSET($H$3,0,0,'Données projet'!$E$12+1,1))</f>
        <v>177.71338645688661</v>
      </c>
      <c r="CE24" s="62">
        <f t="shared" si="40"/>
        <v>153.65872713651345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6.6</v>
      </c>
      <c r="CT24" s="13">
        <f>IF('Données projet'!$A$140&gt;35,CT23+CS24-DB23,IF(A24&lt;'Données projet'!$A$140,$CQ$205^A24,IF(A24='Données projet'!$A$140,'Données projet'!$B$140,CT23+CS24-DB23)))</f>
        <v>77.599999999999994</v>
      </c>
      <c r="CU24" s="18">
        <f>CT24*VLOOKUP('Données projet'!$B$13,Paramètres!$A$1:$I$89,3,0)*VLOOKUP('Données projet'!$B$13,Paramètres!$A$1:$I$89,5,0)</f>
        <v>50.843519999999998</v>
      </c>
      <c r="CV24" s="14">
        <f t="shared" si="41"/>
        <v>14.831389822344645</v>
      </c>
      <c r="CW24" s="22">
        <f t="shared" si="13"/>
        <v>114.38380127391692</v>
      </c>
      <c r="CX24" s="62">
        <f t="shared" si="14"/>
        <v>396.71713460725022</v>
      </c>
      <c r="CY24" s="62">
        <f ca="1">AVERAGE(OFFSET($CX$3,0,0,'Données projet'!$E$13+1,1))-AVERAGE(OFFSET($H$3,0,0,'Données projet'!$E$13+1,1))</f>
        <v>118.65321241325523</v>
      </c>
      <c r="CZ24" s="62">
        <f t="shared" si="42"/>
        <v>140.55041555757327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48.266400000000004</v>
      </c>
      <c r="DQ24" s="14">
        <f t="shared" si="43"/>
        <v>14.165134590154434</v>
      </c>
      <c r="DR24" s="22">
        <f t="shared" si="16"/>
        <v>108.73492274451898</v>
      </c>
      <c r="DS24" s="62">
        <f t="shared" si="17"/>
        <v>391.06825607785231</v>
      </c>
      <c r="DT24" s="62">
        <f ca="1">AVERAGE(OFFSET($DS$3,0,0,'Données projet'!$E$14+1,1))-AVERAGE(OFFSET($H$3,0,0,'Données projet'!$E$14+1,1))</f>
        <v>328.70784159273131</v>
      </c>
      <c r="DU24" s="62">
        <f t="shared" si="44"/>
        <v>193.18009444354601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18.047593317570453</v>
      </c>
      <c r="P25" s="14">
        <f t="shared" si="33"/>
        <v>5.9391480972072355</v>
      </c>
      <c r="Q25" s="22">
        <f t="shared" si="2"/>
        <v>41.776907964071142</v>
      </c>
      <c r="R25" s="62">
        <f t="shared" si="0"/>
        <v>325.33246351962669</v>
      </c>
      <c r="S25" s="62">
        <f ca="1">AVERAGE(OFFSET($R$3,0,0,'Données projet'!$E$9+1,1))-AVERAGE(OFFSET($H$3,0,0,'Données projet'!$E$9+1,1))</f>
        <v>177.70053246230015</v>
      </c>
      <c r="T25" s="62">
        <f t="shared" si="34"/>
        <v>85.631326020763254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</v>
      </c>
      <c r="AI25" s="14">
        <f>IF('Données projet'!$A$62&gt;35,AI24+AH25-AQ24,IF(A25&lt;'Données projet'!$A$62,$AF$205^A25,IF(A25='Données projet'!$A$62,'Données projet'!$B$62,AI24+AH25-AQ24)))</f>
        <v>74</v>
      </c>
      <c r="AJ25" s="14">
        <f>AI25*VLOOKUP('Données projet'!$B$10,Paramètres!$A$1:$I$89,3,0)*VLOOKUP('Données projet'!$B$10,Paramètres!$A$1:$I$89,5,0)</f>
        <v>64.646400000000014</v>
      </c>
      <c r="AK25" s="14">
        <f t="shared" si="35"/>
        <v>18.337876695493666</v>
      </c>
      <c r="AL25" s="22">
        <f t="shared" si="4"/>
        <v>144.53094857798482</v>
      </c>
      <c r="AM25" s="62">
        <f t="shared" si="5"/>
        <v>428.08650413354036</v>
      </c>
      <c r="AN25" s="62">
        <f ca="1">AVERAGE(OFFSET($AM$3,0,0,'Données projet'!$E$10+1,1))-AVERAGE(OFFSET($H$3,0,0,'Données projet'!$E$10+1,1))</f>
        <v>212.11273590951606</v>
      </c>
      <c r="AO25" s="62">
        <f t="shared" si="36"/>
        <v>240.9595690943346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153.935</v>
      </c>
      <c r="BB25" s="13">
        <f>VLOOKUP(A25,'Données projet'!$A$87:$I$107,9,0)</f>
        <v>18.938000000000017</v>
      </c>
      <c r="BC25" s="13">
        <f t="array" ref="BC25">INDEX(BB:BB,MIN(IF(ISNUMBER(BB25:BB221),ROW(BB25:BB221),"")))</f>
        <v>18.938000000000017</v>
      </c>
      <c r="BD25" s="13">
        <f>IF('Données projet'!$A$88&gt;35,BD24+BC25-BL24,IF(A25&lt;'Données projet'!$A$88,$BA$205^A25,IF(A25='Données projet'!$A$88,'Données projet'!$B$88,BD24+BC25-BL24)))</f>
        <v>153.93500000000003</v>
      </c>
      <c r="BE25" s="14">
        <f>BD25*VLOOKUP('Données projet'!$B$11,Paramètres!$A$1:$I$89,3,0)*VLOOKUP('Données projet'!$B$11,Paramètres!$A$1:$I$89,5,0)</f>
        <v>92.053130000000024</v>
      </c>
      <c r="BF25" s="14">
        <f t="shared" si="37"/>
        <v>25.059738598655201</v>
      </c>
      <c r="BG25" s="22">
        <f t="shared" si="7"/>
        <v>203.97157947599115</v>
      </c>
      <c r="BH25" s="62">
        <f t="shared" si="8"/>
        <v>487.52713503154666</v>
      </c>
      <c r="BI25" s="62">
        <f ca="1">AVERAGE(OFFSET($BH$3,0,0,'Données projet'!$E$11+1,1))-AVERAGE(OFFSET($H$3,0,0,'Données projet'!$E$11+1,1))</f>
        <v>172.49153247238672</v>
      </c>
      <c r="BJ25" s="62">
        <f t="shared" si="38"/>
        <v>301.94982606323254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2.9349784633550584</v>
      </c>
      <c r="BQ25" s="23">
        <f>EXP(-LN(2)/25)*BQ24+(1-EXP(-LN(2)/25))/(LN(2)/25)*Calculateur!BL25*Calculateur!BN25*VLOOKUP('Données projet'!$B$11,Paramètres!$A$1:$I$89,3,0)*0.475*44/12</f>
        <v>7.443859478593029</v>
      </c>
      <c r="BR25" s="23">
        <f>EXP(-LN(2)/2)*BR24+(1-EXP(-LN(2)/2))/(LN(2)/2)*BL25*BO25*VLOOKUP('Données projet'!$B$11,Paramètres!$A$1:$I$89,3,0)*0.475*44/12</f>
        <v>3.6026343675696753</v>
      </c>
      <c r="BS25" s="24">
        <f t="shared" si="9"/>
        <v>13.981472309517763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3.92</v>
      </c>
      <c r="BY25" s="13">
        <f>IF('Données projet'!$A$114&gt;35,BY24+BX25-CG24,IF(A25&lt;'Données projet'!$A$114,$BV$205^A25,IF(A25='Données projet'!$A$114,'Données projet'!$B$114,BY24+BX25-CG24)))</f>
        <v>56.529994942990569</v>
      </c>
      <c r="BZ25" s="14">
        <f>BY25*VLOOKUP('Données projet'!$B$12,Paramètres!$A$1:$I$89,3,0)*VLOOKUP('Données projet'!$B$12,Paramètres!$A$1:$I$89,5,0)</f>
        <v>32.335157107390607</v>
      </c>
      <c r="CA25" s="14">
        <f t="shared" si="39"/>
        <v>9.942620728829608</v>
      </c>
      <c r="CB25" s="22">
        <f t="shared" si="10"/>
        <v>73.633796398083533</v>
      </c>
      <c r="CC25" s="62">
        <f t="shared" si="11"/>
        <v>357.18935195363906</v>
      </c>
      <c r="CD25" s="62">
        <f ca="1">AVERAGE(OFFSET($CC$3,0,0,'Données projet'!$E$12+1,1))-AVERAGE(OFFSET($H$3,0,0,'Données projet'!$E$12+1,1))</f>
        <v>177.71338645688661</v>
      </c>
      <c r="CE25" s="62">
        <f t="shared" si="40"/>
        <v>153.65872713651345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6.6</v>
      </c>
      <c r="CT25" s="13">
        <f>IF('Données projet'!$A$140&gt;35,CT24+CS25-DB24,IF(A25&lt;'Données projet'!$A$140,$CQ$205^A25,IF(A25='Données projet'!$A$140,'Données projet'!$B$140,CT24+CS25-DB24)))</f>
        <v>84.199999999999989</v>
      </c>
      <c r="CU25" s="18">
        <f>CT25*VLOOKUP('Données projet'!$B$13,Paramètres!$A$1:$I$89,3,0)*VLOOKUP('Données projet'!$B$13,Paramètres!$A$1:$I$89,5,0)</f>
        <v>55.167839999999998</v>
      </c>
      <c r="CV25" s="14">
        <f t="shared" si="41"/>
        <v>15.940641583495875</v>
      </c>
      <c r="CW25" s="22">
        <f t="shared" si="13"/>
        <v>123.84727209125531</v>
      </c>
      <c r="CX25" s="62">
        <f t="shared" si="14"/>
        <v>407.40282764681086</v>
      </c>
      <c r="CY25" s="62">
        <f ca="1">AVERAGE(OFFSET($CX$3,0,0,'Données projet'!$E$13+1,1))-AVERAGE(OFFSET($H$3,0,0,'Données projet'!$E$13+1,1))</f>
        <v>118.65321241325523</v>
      </c>
      <c r="CZ25" s="62">
        <f t="shared" si="42"/>
        <v>140.55041555757327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53.944800000000008</v>
      </c>
      <c r="DQ25" s="14">
        <f t="shared" si="43"/>
        <v>15.627975445731321</v>
      </c>
      <c r="DR25" s="22">
        <f t="shared" si="16"/>
        <v>121.17258390131538</v>
      </c>
      <c r="DS25" s="62">
        <f t="shared" si="17"/>
        <v>404.72813945687091</v>
      </c>
      <c r="DT25" s="62">
        <f ca="1">AVERAGE(OFFSET($DS$3,0,0,'Données projet'!$E$14+1,1))-AVERAGE(OFFSET($H$3,0,0,'Données projet'!$E$14+1,1))</f>
        <v>328.70784159273131</v>
      </c>
      <c r="DU25" s="62">
        <f t="shared" si="44"/>
        <v>193.18009444354601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20.677791231508873</v>
      </c>
      <c r="P26" s="14">
        <f t="shared" si="33"/>
        <v>6.6977900276630162</v>
      </c>
      <c r="Q26" s="22">
        <f t="shared" si="2"/>
        <v>47.679137359724372</v>
      </c>
      <c r="R26" s="62">
        <f t="shared" si="0"/>
        <v>332.45691513750216</v>
      </c>
      <c r="S26" s="62">
        <f ca="1">AVERAGE(OFFSET($R$3,0,0,'Données projet'!$E$9+1,1))-AVERAGE(OFFSET($H$3,0,0,'Données projet'!$E$9+1,1))</f>
        <v>177.70053246230015</v>
      </c>
      <c r="T26" s="62">
        <f t="shared" si="34"/>
        <v>85.631326020763254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</v>
      </c>
      <c r="AI26" s="14">
        <f>IF('Données projet'!$A$62&gt;35,AI25+AH26-AQ25,IF(A26&lt;'Données projet'!$A$62,$AF$205^A26,IF(A26='Données projet'!$A$62,'Données projet'!$B$62,AI25+AH26-AQ25)))</f>
        <v>82</v>
      </c>
      <c r="AJ26" s="14">
        <f>AI26*VLOOKUP('Données projet'!$B$10,Paramètres!$A$1:$I$89,3,0)*VLOOKUP('Données projet'!$B$10,Paramètres!$A$1:$I$89,5,0)</f>
        <v>71.635200000000012</v>
      </c>
      <c r="AK26" s="14">
        <f t="shared" si="35"/>
        <v>20.078988020012648</v>
      </c>
      <c r="AL26" s="22">
        <f t="shared" si="4"/>
        <v>159.73554413485536</v>
      </c>
      <c r="AM26" s="62">
        <f t="shared" si="5"/>
        <v>444.51332191263316</v>
      </c>
      <c r="AN26" s="62">
        <f ca="1">AVERAGE(OFFSET($AM$3,0,0,'Données projet'!$E$10+1,1))-AVERAGE(OFFSET($H$3,0,0,'Données projet'!$E$10+1,1))</f>
        <v>212.11273590951606</v>
      </c>
      <c r="AO26" s="62">
        <f t="shared" si="36"/>
        <v>240.9595690943346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173.60400000000001</v>
      </c>
      <c r="BB26" s="13">
        <f>VLOOKUP(A26,'Données projet'!$A$87:$I$107,9,0)</f>
        <v>19.669000000000011</v>
      </c>
      <c r="BC26" s="13">
        <f t="array" ref="BC26">INDEX(BB:BB,MIN(IF(ISNUMBER(BB26:BB222),ROW(BB26:BB222),"")))</f>
        <v>19.669000000000011</v>
      </c>
      <c r="BD26" s="13">
        <f>IF('Données projet'!$A$88&gt;35,BD25+BC26-BL25,IF(A26&lt;'Données projet'!$A$88,$BA$205^A26,IF(A26='Données projet'!$A$88,'Données projet'!$B$88,BD25+BC26-BL25)))</f>
        <v>173.60400000000004</v>
      </c>
      <c r="BE26" s="14">
        <f>BD26*VLOOKUP('Données projet'!$B$11,Paramètres!$A$1:$I$89,3,0)*VLOOKUP('Données projet'!$B$11,Paramètres!$A$1:$I$89,5,0)</f>
        <v>103.81519200000004</v>
      </c>
      <c r="BF26" s="14">
        <f t="shared" si="37"/>
        <v>27.868924323703233</v>
      </c>
      <c r="BG26" s="22">
        <f t="shared" si="7"/>
        <v>229.34983593044987</v>
      </c>
      <c r="BH26" s="62">
        <f t="shared" si="8"/>
        <v>514.12761370822761</v>
      </c>
      <c r="BI26" s="62">
        <f ca="1">AVERAGE(OFFSET($BH$3,0,0,'Données projet'!$E$11+1,1))-AVERAGE(OFFSET($H$3,0,0,'Données projet'!$E$11+1,1))</f>
        <v>172.49153247238672</v>
      </c>
      <c r="BJ26" s="62">
        <f t="shared" si="38"/>
        <v>301.94982606323254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2.8774253258487645</v>
      </c>
      <c r="BQ26" s="23">
        <f>EXP(-LN(2)/25)*BQ25+(1-EXP(-LN(2)/25))/(LN(2)/25)*Calculateur!BL26*Calculateur!BN26*VLOOKUP('Données projet'!$B$11,Paramètres!$A$1:$I$89,3,0)*0.475*44/12</f>
        <v>7.2403067496953462</v>
      </c>
      <c r="BR26" s="23">
        <f>EXP(-LN(2)/2)*BR25+(1-EXP(-LN(2)/2))/(LN(2)/2)*BL26*BO26*VLOOKUP('Données projet'!$B$11,Paramètres!$A$1:$I$89,3,0)*0.475*44/12</f>
        <v>2.5474471914442267</v>
      </c>
      <c r="BS26" s="24">
        <f t="shared" si="9"/>
        <v>12.665179266988339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3.92</v>
      </c>
      <c r="BY26" s="13">
        <f>IF('Données projet'!$A$114&gt;35,BY25+BX26-CG25,IF(A26&lt;'Données projet'!$A$114,$BV$205^A26,IF(A26='Données projet'!$A$114,'Données projet'!$B$114,BY25+BX26-CG25)))</f>
        <v>67.909102320703866</v>
      </c>
      <c r="BZ26" s="14">
        <f>BY26*VLOOKUP('Données projet'!$B$12,Paramètres!$A$1:$I$89,3,0)*VLOOKUP('Données projet'!$B$12,Paramètres!$A$1:$I$89,5,0)</f>
        <v>38.844006527442609</v>
      </c>
      <c r="CA26" s="14">
        <f t="shared" si="39"/>
        <v>11.691729731396913</v>
      </c>
      <c r="CB26" s="22">
        <f t="shared" si="10"/>
        <v>88.016407317478823</v>
      </c>
      <c r="CC26" s="62">
        <f t="shared" si="11"/>
        <v>372.79418509525658</v>
      </c>
      <c r="CD26" s="62">
        <f ca="1">AVERAGE(OFFSET($CC$3,0,0,'Données projet'!$E$12+1,1))-AVERAGE(OFFSET($H$3,0,0,'Données projet'!$E$12+1,1))</f>
        <v>177.71338645688661</v>
      </c>
      <c r="CE26" s="62">
        <f t="shared" si="40"/>
        <v>153.65872713651345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6.6</v>
      </c>
      <c r="CT26" s="13">
        <f>IF('Données projet'!$A$140&gt;35,CT25+CS26-DB25,IF(A26&lt;'Données projet'!$A$140,$CQ$205^A26,IF(A26='Données projet'!$A$140,'Données projet'!$B$140,CT25+CS26-DB25)))</f>
        <v>90.799999999999983</v>
      </c>
      <c r="CU26" s="18">
        <f>CT26*VLOOKUP('Données projet'!$B$13,Paramètres!$A$1:$I$89,3,0)*VLOOKUP('Données projet'!$B$13,Paramètres!$A$1:$I$89,5,0)</f>
        <v>59.492159999999984</v>
      </c>
      <c r="CV26" s="14">
        <f t="shared" si="41"/>
        <v>17.039807677491442</v>
      </c>
      <c r="CW26" s="22">
        <f t="shared" si="13"/>
        <v>133.29317703829756</v>
      </c>
      <c r="CX26" s="62">
        <f t="shared" si="14"/>
        <v>418.0709548160753</v>
      </c>
      <c r="CY26" s="62">
        <f ca="1">AVERAGE(OFFSET($CX$3,0,0,'Données projet'!$E$13+1,1))-AVERAGE(OFFSET($H$3,0,0,'Données projet'!$E$13+1,1))</f>
        <v>118.65321241325523</v>
      </c>
      <c r="CZ26" s="62">
        <f t="shared" si="42"/>
        <v>140.55041555757327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59.623200000000011</v>
      </c>
      <c r="DQ26" s="14">
        <f t="shared" si="43"/>
        <v>17.072967249098898</v>
      </c>
      <c r="DR26" s="22">
        <f t="shared" si="16"/>
        <v>133.57915795884725</v>
      </c>
      <c r="DS26" s="62">
        <f t="shared" si="17"/>
        <v>418.35693573662502</v>
      </c>
      <c r="DT26" s="62">
        <f ca="1">AVERAGE(OFFSET($DS$3,0,0,'Données projet'!$E$14+1,1))-AVERAGE(OFFSET($H$3,0,0,'Données projet'!$E$14+1,1))</f>
        <v>328.70784159273131</v>
      </c>
      <c r="DU26" s="62">
        <f t="shared" si="44"/>
        <v>193.18009444354601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23.691305687700655</v>
      </c>
      <c r="P27" s="14">
        <f t="shared" si="33"/>
        <v>7.5533377044018843</v>
      </c>
      <c r="Q27" s="22">
        <f t="shared" si="2"/>
        <v>54.417753907911923</v>
      </c>
      <c r="R27" s="62">
        <f t="shared" si="0"/>
        <v>340.4177539079119</v>
      </c>
      <c r="S27" s="62">
        <f ca="1">AVERAGE(OFFSET($R$3,0,0,'Données projet'!$E$9+1,1))-AVERAGE(OFFSET($H$3,0,0,'Données projet'!$E$9+1,1))</f>
        <v>177.70053246230015</v>
      </c>
      <c r="T27" s="62">
        <f t="shared" si="34"/>
        <v>85.631326020763254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</v>
      </c>
      <c r="AI27" s="14">
        <f>IF('Données projet'!$A$62&gt;35,AI26+AH27-AQ26,IF(A27&lt;'Données projet'!$A$62,$AF$205^A27,IF(A27='Données projet'!$A$62,'Données projet'!$B$62,AI26+AH27-AQ26)))</f>
        <v>90</v>
      </c>
      <c r="AJ27" s="14">
        <f>AI27*VLOOKUP('Données projet'!$B$10,Paramètres!$A$1:$I$89,3,0)*VLOOKUP('Données projet'!$B$10,Paramètres!$A$1:$I$89,5,0)</f>
        <v>78.624000000000009</v>
      </c>
      <c r="AK27" s="14">
        <f t="shared" si="35"/>
        <v>21.800406010684462</v>
      </c>
      <c r="AL27" s="22">
        <f t="shared" si="4"/>
        <v>174.90584046860877</v>
      </c>
      <c r="AM27" s="62">
        <f t="shared" si="5"/>
        <v>460.90584046860874</v>
      </c>
      <c r="AN27" s="62">
        <f ca="1">AVERAGE(OFFSET($AM$3,0,0,'Données projet'!$E$10+1,1))-AVERAGE(OFFSET($H$3,0,0,'Données projet'!$E$10+1,1))</f>
        <v>212.11273590951606</v>
      </c>
      <c r="AO27" s="62">
        <f t="shared" si="36"/>
        <v>240.9595690943346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194.4375</v>
      </c>
      <c r="BB27" s="13">
        <f>VLOOKUP(A27,'Données projet'!$A$87:$I$107,9,0)</f>
        <v>20.833499999999987</v>
      </c>
      <c r="BC27" s="13">
        <f t="array" ref="BC27">INDEX(BB:BB,MIN(IF(ISNUMBER(BB27:BB223),ROW(BB27:BB223),"")))</f>
        <v>20.833499999999987</v>
      </c>
      <c r="BD27" s="13">
        <f>IF('Données projet'!$A$88&gt;35,BD26+BC27-BL26,IF(A27&lt;'Données projet'!$A$88,$BA$205^A27,IF(A27='Données projet'!$A$88,'Données projet'!$B$88,BD26+BC27-BL26)))</f>
        <v>194.43750000000003</v>
      </c>
      <c r="BE27" s="14">
        <f>BD27*VLOOKUP('Données projet'!$B$11,Paramètres!$A$1:$I$89,3,0)*VLOOKUP('Données projet'!$B$11,Paramètres!$A$1:$I$89,5,0)</f>
        <v>116.27362500000002</v>
      </c>
      <c r="BF27" s="14">
        <f t="shared" si="37"/>
        <v>30.804294318003453</v>
      </c>
      <c r="BG27" s="22">
        <f t="shared" si="7"/>
        <v>256.16070947885601</v>
      </c>
      <c r="BH27" s="62">
        <f t="shared" si="8"/>
        <v>542.16070947885601</v>
      </c>
      <c r="BI27" s="62">
        <f ca="1">AVERAGE(OFFSET($BH$3,0,0,'Données projet'!$E$11+1,1))-AVERAGE(OFFSET($H$3,0,0,'Données projet'!$E$11+1,1))</f>
        <v>172.49153247238672</v>
      </c>
      <c r="BJ27" s="62">
        <f t="shared" si="38"/>
        <v>301.94982606323254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2.8210007702650217</v>
      </c>
      <c r="BQ27" s="23">
        <f>EXP(-LN(2)/25)*BQ26+(1-EXP(-LN(2)/25))/(LN(2)/25)*Calculateur!BL27*Calculateur!BN27*VLOOKUP('Données projet'!$B$11,Paramètres!$A$1:$I$89,3,0)*0.475*44/12</f>
        <v>7.0423201808737428</v>
      </c>
      <c r="BR27" s="23">
        <f>EXP(-LN(2)/2)*BR26+(1-EXP(-LN(2)/2))/(LN(2)/2)*BL27*BO27*VLOOKUP('Données projet'!$B$11,Paramètres!$A$1:$I$89,3,0)*0.475*44/12</f>
        <v>1.8013171837848381</v>
      </c>
      <c r="BS27" s="24">
        <f t="shared" si="9"/>
        <v>11.664638134923603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3.92</v>
      </c>
      <c r="BY27" s="13">
        <f>IF('Données projet'!$A$114&gt;35,BY26+BX27-CG26,IF(A27&lt;'Données projet'!$A$114,$BV$205^A27,IF(A27='Données projet'!$A$114,'Données projet'!$B$114,BY26+BX27-CG26)))</f>
        <v>81.57874740046563</v>
      </c>
      <c r="BZ27" s="14">
        <f>BY27*VLOOKUP('Données projet'!$B$12,Paramètres!$A$1:$I$89,3,0)*VLOOKUP('Données projet'!$B$12,Paramètres!$A$1:$I$89,5,0)</f>
        <v>46.663043513066341</v>
      </c>
      <c r="CA27" s="14">
        <f t="shared" si="39"/>
        <v>13.748542546299239</v>
      </c>
      <c r="CB27" s="22">
        <f t="shared" si="10"/>
        <v>105.21684572006173</v>
      </c>
      <c r="CC27" s="62">
        <f t="shared" si="11"/>
        <v>391.21684572006171</v>
      </c>
      <c r="CD27" s="62">
        <f ca="1">AVERAGE(OFFSET($CC$3,0,0,'Données projet'!$E$12+1,1))-AVERAGE(OFFSET($H$3,0,0,'Données projet'!$E$12+1,1))</f>
        <v>177.71338645688661</v>
      </c>
      <c r="CE27" s="62">
        <f t="shared" si="40"/>
        <v>153.65872713651345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6.6</v>
      </c>
      <c r="CT27" s="13">
        <f>IF('Données projet'!$A$140&gt;35,CT26+CS27-DB26,IF(A27&lt;'Données projet'!$A$140,$CQ$205^A27,IF(A27='Données projet'!$A$140,'Données projet'!$B$140,CT26+CS27-DB26)))</f>
        <v>97.399999999999977</v>
      </c>
      <c r="CU27" s="18">
        <f>CT27*VLOOKUP('Données projet'!$B$13,Paramètres!$A$1:$I$89,3,0)*VLOOKUP('Données projet'!$B$13,Paramètres!$A$1:$I$89,5,0)</f>
        <v>63.816479999999984</v>
      </c>
      <c r="CV27" s="14">
        <f t="shared" si="41"/>
        <v>18.129704574147006</v>
      </c>
      <c r="CW27" s="22">
        <f t="shared" si="13"/>
        <v>142.722938133306</v>
      </c>
      <c r="CX27" s="62">
        <f t="shared" si="14"/>
        <v>428.722938133306</v>
      </c>
      <c r="CY27" s="62">
        <f ca="1">AVERAGE(OFFSET($CX$3,0,0,'Données projet'!$E$13+1,1))-AVERAGE(OFFSET($H$3,0,0,'Données projet'!$E$13+1,1))</f>
        <v>118.65321241325523</v>
      </c>
      <c r="CZ27" s="62">
        <f t="shared" si="42"/>
        <v>140.55041555757327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65.301600000000008</v>
      </c>
      <c r="DQ27" s="14">
        <f t="shared" si="43"/>
        <v>18.502003309535596</v>
      </c>
      <c r="DR27" s="22">
        <f t="shared" si="16"/>
        <v>145.95794243077449</v>
      </c>
      <c r="DS27" s="62">
        <f t="shared" si="17"/>
        <v>431.95794243077449</v>
      </c>
      <c r="DT27" s="62">
        <f ca="1">AVERAGE(OFFSET($DS$3,0,0,'Données projet'!$E$14+1,1))-AVERAGE(OFFSET($H$3,0,0,'Données projet'!$E$14+1,1))</f>
        <v>328.70784159273131</v>
      </c>
      <c r="DU27" s="62">
        <f t="shared" si="44"/>
        <v>193.18009444354601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27.143999999999998</v>
      </c>
      <c r="P28" s="14">
        <f t="shared" si="33"/>
        <v>8.5181694620316346</v>
      </c>
      <c r="Q28" s="22">
        <f t="shared" si="2"/>
        <v>62.111611813038422</v>
      </c>
      <c r="R28" s="62">
        <f t="shared" si="0"/>
        <v>349.33383403526068</v>
      </c>
      <c r="S28" s="62">
        <f ca="1">AVERAGE(OFFSET($R$3,0,0,'Données projet'!$E$9+1,1))-AVERAGE(OFFSET($H$3,0,0,'Données projet'!$E$9+1,1))</f>
        <v>177.70053246230015</v>
      </c>
      <c r="T28" s="62">
        <f t="shared" si="34"/>
        <v>85.631326020763254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98</v>
      </c>
      <c r="AG28" s="13">
        <f>VLOOKUP(A28,'Données projet'!$A$61:$I$81,9,0)</f>
        <v>8</v>
      </c>
      <c r="AH28" s="13">
        <f t="array" ref="AH28">INDEX(AG:AG,MIN(IF(ISNUMBER(AG28:AG224),ROW(AG28:AG224),"")))</f>
        <v>8</v>
      </c>
      <c r="AI28" s="14">
        <f>IF('Données projet'!$A$62&gt;35,AI27+AH28-AQ27,IF(A28&lt;'Données projet'!$A$62,$AF$205^A28,IF(A28='Données projet'!$A$62,'Données projet'!$B$62,AI27+AH28-AQ27)))</f>
        <v>98</v>
      </c>
      <c r="AJ28" s="14">
        <f>AI28*VLOOKUP('Données projet'!$B$10,Paramètres!$A$1:$I$89,3,0)*VLOOKUP('Données projet'!$B$10,Paramètres!$A$1:$I$89,5,0)</f>
        <v>85.612800000000007</v>
      </c>
      <c r="AK28" s="14">
        <f t="shared" si="35"/>
        <v>23.504080242391282</v>
      </c>
      <c r="AL28" s="22">
        <f t="shared" si="4"/>
        <v>190.04523308883151</v>
      </c>
      <c r="AM28" s="62">
        <f t="shared" si="5"/>
        <v>477.26745531105371</v>
      </c>
      <c r="AN28" s="62">
        <f ca="1">AVERAGE(OFFSET($AM$3,0,0,'Données projet'!$E$10+1,1))-AVERAGE(OFFSET($H$3,0,0,'Données projet'!$E$10+1,1))</f>
        <v>212.11273590951606</v>
      </c>
      <c r="AO28" s="62">
        <f t="shared" si="36"/>
        <v>240.9595690943346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215.6875</v>
      </c>
      <c r="BB28" s="13">
        <f>VLOOKUP(A28,'Données projet'!$A$87:$I$107,9,0)</f>
        <v>21.25</v>
      </c>
      <c r="BC28" s="13">
        <f t="array" ref="BC28">INDEX(BB:BB,MIN(IF(ISNUMBER(BB28:BB224),ROW(BB28:BB224),"")))</f>
        <v>21.25</v>
      </c>
      <c r="BD28" s="13">
        <f>IF('Données projet'!$A$88&gt;35,BD27+BC28-BL27,IF(A28&lt;'Données projet'!$A$88,$BA$205^A28,IF(A28='Données projet'!$A$88,'Données projet'!$B$88,BD27+BC28-BL27)))</f>
        <v>215.68750000000003</v>
      </c>
      <c r="BE28" s="14">
        <f>BD28*VLOOKUP('Données projet'!$B$11,Paramètres!$A$1:$I$89,3,0)*VLOOKUP('Données projet'!$B$11,Paramètres!$A$1:$I$89,5,0)</f>
        <v>128.98112500000002</v>
      </c>
      <c r="BF28" s="14">
        <f t="shared" si="37"/>
        <v>33.760819529650334</v>
      </c>
      <c r="BG28" s="22">
        <f t="shared" si="7"/>
        <v>283.4422200558077</v>
      </c>
      <c r="BH28" s="62">
        <f t="shared" si="8"/>
        <v>570.66444227802992</v>
      </c>
      <c r="BI28" s="62">
        <f ca="1">AVERAGE(OFFSET($BH$3,0,0,'Données projet'!$E$11+1,1))-AVERAGE(OFFSET($H$3,0,0,'Données projet'!$E$11+1,1))</f>
        <v>172.49153247238672</v>
      </c>
      <c r="BJ28" s="62">
        <f t="shared" si="38"/>
        <v>301.94982606323254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0.27</v>
      </c>
      <c r="BN28" s="17">
        <f>IF(ISNA(VLOOKUP(A28,'Données projet'!$A$87:$I$107,6,0)),0%,VLOOKUP(A28,'Données projet'!$A$87:$I$107,6,0)*VLOOKUP('Données projet'!$B$11,Paramètres!$A$1:$I$89,7,0))</f>
        <v>9.0000000000000011E-2</v>
      </c>
      <c r="BO28" s="17">
        <f>IF(ISNA(VLOOKUP(A28,'Données projet'!$A$87:$I$107,7,0)),0%,VLOOKUP(A28,'Données projet'!$A$87:$I$107,7,0))</f>
        <v>0.2</v>
      </c>
      <c r="BP28" s="23">
        <f>EXP(-LN(2)/35)*BP27+(1-EXP(-LN(2)/35))/(LN(2)/35)*BL28*BM28*VLOOKUP('Données projet'!$B$11,Paramètres!$A$1:$I$89,3,0)*0.475*44/12</f>
        <v>14.331785902465178</v>
      </c>
      <c r="BQ28" s="23">
        <f>EXP(-LN(2)/25)*BQ27+(1-EXP(-LN(2)/25))/(LN(2)/25)*Calculateur!BL28*Calculateur!BN28*VLOOKUP('Données projet'!$B$11,Paramètres!$A$1:$I$89,3,0)*0.475*44/12</f>
        <v>10.689935258918526</v>
      </c>
      <c r="BR28" s="23">
        <f>EXP(-LN(2)/2)*BR27+(1-EXP(-LN(2)/2))/(LN(2)/2)*BL28*BO28*VLOOKUP('Données projet'!$B$11,Paramètres!$A$1:$I$89,3,0)*0.475*44/12</f>
        <v>8.5861326660670407</v>
      </c>
      <c r="BS28" s="24">
        <f t="shared" si="9"/>
        <v>33.607853827450739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98</v>
      </c>
      <c r="BW28" s="13">
        <f>VLOOKUP(A28,'Données projet'!$A$113:$I$133,9,0)</f>
        <v>3.92</v>
      </c>
      <c r="BX28" s="13">
        <f t="array" ref="BX28">INDEX(BW:BW,MIN(IF(ISNUMBER(BW28:BW224),ROW(BW28:BW224),"")))</f>
        <v>3.92</v>
      </c>
      <c r="BY28" s="13">
        <f>IF('Données projet'!$A$114&gt;35,BY27+BX28-CG27,IF(A28&lt;'Données projet'!$A$114,$BV$205^A28,IF(A28='Données projet'!$A$114,'Données projet'!$B$114,BY27+BX28-CG27)))</f>
        <v>98</v>
      </c>
      <c r="BZ28" s="14">
        <f>BY28*VLOOKUP('Données projet'!$B$12,Paramètres!$A$1:$I$89,3,0)*VLOOKUP('Données projet'!$B$12,Paramètres!$A$1:$I$89,5,0)</f>
        <v>56.055999999999997</v>
      </c>
      <c r="CA28" s="14">
        <f t="shared" si="39"/>
        <v>16.167190526120397</v>
      </c>
      <c r="CB28" s="22">
        <f t="shared" si="10"/>
        <v>125.78872349965967</v>
      </c>
      <c r="CC28" s="62">
        <f t="shared" si="11"/>
        <v>413.01094572188191</v>
      </c>
      <c r="CD28" s="62">
        <f ca="1">AVERAGE(OFFSET($CC$3,0,0,'Données projet'!$E$12+1,1))-AVERAGE(OFFSET($H$3,0,0,'Données projet'!$E$12+1,1))</f>
        <v>177.71338645688661</v>
      </c>
      <c r="CE28" s="62">
        <f t="shared" si="40"/>
        <v>153.65872713651345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12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0.22500000000000001</v>
      </c>
      <c r="CJ28" s="17">
        <f>IF(ISNA(VLOOKUP(A28,'Données projet'!$A$113:$I$133,7,0)),0%,VLOOKUP(A28,'Données projet'!$A$113:$I$133,7,0))</f>
        <v>0.5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2.0406794507745545</v>
      </c>
      <c r="CM28" s="23">
        <f>EXP(-LN(2)/2)*CM27+(1-EXP(-LN(2)/2))/(LN(2)/2)*CG28*CJ28*VLOOKUP('Données projet'!$B$12,Paramètres!$A$1:$I$89,3,0)*0.475*44/12</f>
        <v>3.8858212451108307</v>
      </c>
      <c r="CN28" s="24">
        <f t="shared" si="12"/>
        <v>5.9265006958853856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104</v>
      </c>
      <c r="CR28" s="13">
        <f>VLOOKUP(A28,'Données projet'!$A$139:$I$159,9,0)</f>
        <v>6.6</v>
      </c>
      <c r="CS28" s="13">
        <f t="array" ref="CS28">INDEX(CR:CR,MIN(IF(ISNUMBER(CR28:CR224),ROW(CR28:CR224),"")))</f>
        <v>6.6</v>
      </c>
      <c r="CT28" s="13">
        <f>IF('Données projet'!$A$140&gt;35,CT27+CS28-DB27,IF(A28&lt;'Données projet'!$A$140,$CQ$205^A28,IF(A28='Données projet'!$A$140,'Données projet'!$B$140,CT27+CS28-DB27)))</f>
        <v>103.99999999999997</v>
      </c>
      <c r="CU28" s="18">
        <f>CT28*VLOOKUP('Données projet'!$B$13,Paramètres!$A$1:$I$89,3,0)*VLOOKUP('Données projet'!$B$13,Paramètres!$A$1:$I$89,5,0)</f>
        <v>68.140799999999984</v>
      </c>
      <c r="CV28" s="14">
        <f t="shared" si="41"/>
        <v>19.21103183030446</v>
      </c>
      <c r="CW28" s="22">
        <f t="shared" si="13"/>
        <v>152.13777377111359</v>
      </c>
      <c r="CX28" s="62">
        <f t="shared" si="14"/>
        <v>439.35999599333582</v>
      </c>
      <c r="CY28" s="62">
        <f ca="1">AVERAGE(OFFSET($CX$3,0,0,'Données projet'!$E$13+1,1))-AVERAGE(OFFSET($H$3,0,0,'Données projet'!$E$13+1,1))</f>
        <v>118.65321241325523</v>
      </c>
      <c r="CZ28" s="62">
        <f t="shared" si="42"/>
        <v>140.55041555757327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24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70.98</v>
      </c>
      <c r="DQ28" s="14">
        <f t="shared" si="43"/>
        <v>19.916628839746853</v>
      </c>
      <c r="DR28" s="22">
        <f t="shared" si="16"/>
        <v>158.31162856255909</v>
      </c>
      <c r="DS28" s="62">
        <f t="shared" si="17"/>
        <v>445.53385078478129</v>
      </c>
      <c r="DT28" s="62">
        <f ca="1">AVERAGE(OFFSET($DS$3,0,0,'Données projet'!$E$14+1,1))-AVERAGE(OFFSET($H$3,0,0,'Données projet'!$E$14+1,1))</f>
        <v>328.70784159273131</v>
      </c>
      <c r="DU28" s="62">
        <f t="shared" si="44"/>
        <v>193.18009444354601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31.487039999999997</v>
      </c>
      <c r="P29" s="14">
        <f t="shared" si="33"/>
        <v>9.7118363356135369</v>
      </c>
      <c r="Q29" s="22">
        <f t="shared" si="2"/>
        <v>71.754709617860229</v>
      </c>
      <c r="R29" s="62">
        <f t="shared" si="0"/>
        <v>360.19915406230467</v>
      </c>
      <c r="S29" s="62">
        <f ca="1">AVERAGE(OFFSET($R$3,0,0,'Données projet'!$E$9+1,1))-AVERAGE(OFFSET($H$3,0,0,'Données projet'!$E$9+1,1))</f>
        <v>177.70053246230015</v>
      </c>
      <c r="T29" s="62">
        <f t="shared" si="34"/>
        <v>85.631326020763254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</v>
      </c>
      <c r="AI29" s="14">
        <f>IF('Données projet'!$A$62&gt;35,AI28+AH29-AQ28,IF(A29&lt;'Données projet'!$A$62,$AF$205^A29,IF(A29='Données projet'!$A$62,'Données projet'!$B$62,AI28+AH29-AQ28)))</f>
        <v>106</v>
      </c>
      <c r="AJ29" s="14">
        <f>AI29*VLOOKUP('Données projet'!$B$10,Paramètres!$A$1:$I$89,3,0)*VLOOKUP('Données projet'!$B$10,Paramètres!$A$1:$I$89,5,0)</f>
        <v>92.601600000000019</v>
      </c>
      <c r="AK29" s="14">
        <f t="shared" si="35"/>
        <v>25.191623861555186</v>
      </c>
      <c r="AL29" s="22">
        <f t="shared" si="4"/>
        <v>205.15653155887529</v>
      </c>
      <c r="AM29" s="62">
        <f t="shared" si="5"/>
        <v>493.60097600331972</v>
      </c>
      <c r="AN29" s="62">
        <f ca="1">AVERAGE(OFFSET($AM$3,0,0,'Données projet'!$E$10+1,1))-AVERAGE(OFFSET($H$3,0,0,'Données projet'!$E$10+1,1))</f>
        <v>212.11273590951606</v>
      </c>
      <c r="AO29" s="62">
        <f t="shared" si="36"/>
        <v>240.9595690943346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>
        <f>VLOOKUP(A29,'Données projet'!$A$87:$I$107,2,0)</f>
        <v>178.755</v>
      </c>
      <c r="BB29" s="13">
        <f>VLOOKUP(A29,'Données projet'!$A$87:$I$107,9,0)</f>
        <v>17.067499999999995</v>
      </c>
      <c r="BC29" s="13">
        <f t="array" ref="BC29">INDEX(BB:BB,MIN(IF(ISNUMBER(BB29:BB225),ROW(BB29:BB225),"")))</f>
        <v>17.067499999999995</v>
      </c>
      <c r="BD29" s="13">
        <f>IF('Données projet'!$A$88&gt;35,BD28+BC29-BL28,IF(A29&lt;'Données projet'!$A$88,$BA$205^A29,IF(A29='Données projet'!$A$88,'Données projet'!$B$88,BD28+BC29-BL28)))</f>
        <v>178.75500000000002</v>
      </c>
      <c r="BE29" s="14">
        <f>BD29*VLOOKUP('Données projet'!$B$11,Paramètres!$A$1:$I$89,3,0)*VLOOKUP('Données projet'!$B$11,Paramètres!$A$1:$I$89,5,0)</f>
        <v>106.89549000000002</v>
      </c>
      <c r="BF29" s="14">
        <f t="shared" si="37"/>
        <v>28.598323540974565</v>
      </c>
      <c r="BG29" s="22">
        <f t="shared" si="7"/>
        <v>235.98505858386409</v>
      </c>
      <c r="BH29" s="62">
        <f t="shared" si="8"/>
        <v>524.42950302830855</v>
      </c>
      <c r="BI29" s="62">
        <f ca="1">AVERAGE(OFFSET($BH$3,0,0,'Données projet'!$E$11+1,1))-AVERAGE(OFFSET($H$3,0,0,'Données projet'!$E$11+1,1))</f>
        <v>172.49153247238672</v>
      </c>
      <c r="BJ29" s="62">
        <f t="shared" si="38"/>
        <v>301.94982606323254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14.050748322444083</v>
      </c>
      <c r="BQ29" s="23">
        <f>EXP(-LN(2)/25)*BQ28+(1-EXP(-LN(2)/25))/(LN(2)/25)*Calculateur!BL29*Calculateur!BN29*VLOOKUP('Données projet'!$B$11,Paramètres!$A$1:$I$89,3,0)*0.475*44/12</f>
        <v>10.397618417104136</v>
      </c>
      <c r="BR29" s="23">
        <f>EXP(-LN(2)/2)*BR28+(1-EXP(-LN(2)/2))/(LN(2)/2)*BL29*BO29*VLOOKUP('Données projet'!$B$11,Paramètres!$A$1:$I$89,3,0)*0.475*44/12</f>
        <v>6.0713126323433357</v>
      </c>
      <c r="BS29" s="24">
        <f t="shared" si="9"/>
        <v>30.519679371891556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10.8</v>
      </c>
      <c r="BY29" s="13">
        <f>IF('Données projet'!$A$114&gt;35,BY28+BX29-CG28,IF(A29&lt;'Données projet'!$A$114,$BV$205^A29,IF(A29='Données projet'!$A$114,'Données projet'!$B$114,BY28+BX29-CG28)))</f>
        <v>96.8</v>
      </c>
      <c r="BZ29" s="14">
        <f>BY29*VLOOKUP('Données projet'!$B$12,Paramètres!$A$1:$I$89,3,0)*VLOOKUP('Données projet'!$B$12,Paramètres!$A$1:$I$89,5,0)</f>
        <v>55.369599999999998</v>
      </c>
      <c r="CA29" s="14">
        <f t="shared" si="39"/>
        <v>15.992142892748898</v>
      </c>
      <c r="CB29" s="22">
        <f t="shared" si="10"/>
        <v>124.28836887153766</v>
      </c>
      <c r="CC29" s="62">
        <f t="shared" si="11"/>
        <v>412.73281331598213</v>
      </c>
      <c r="CD29" s="62">
        <f ca="1">AVERAGE(OFFSET($CC$3,0,0,'Données projet'!$E$12+1,1))-AVERAGE(OFFSET($H$3,0,0,'Données projet'!$E$12+1,1))</f>
        <v>177.71338645688661</v>
      </c>
      <c r="CE29" s="62">
        <f t="shared" si="40"/>
        <v>153.65872713651345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1.984876963878456</v>
      </c>
      <c r="CM29" s="23">
        <f>EXP(-LN(2)/2)*CM28+(1-EXP(-LN(2)/2))/(LN(2)/2)*CG29*CJ29*VLOOKUP('Données projet'!$B$12,Paramètres!$A$1:$I$89,3,0)*0.475*44/12</f>
        <v>2.7476905528966222</v>
      </c>
      <c r="CN29" s="24">
        <f t="shared" si="12"/>
        <v>4.7325675167750783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6.6</v>
      </c>
      <c r="CT29" s="13">
        <f>IF('Données projet'!$A$140&gt;35,CT28+CS29-DB28,IF(A29&lt;'Données projet'!$A$140,$CQ$205^A29,IF(A29='Données projet'!$A$140,'Données projet'!$B$140,CT28+CS29-DB28)))</f>
        <v>86.599999999999966</v>
      </c>
      <c r="CU29" s="18">
        <f>CT29*VLOOKUP('Données projet'!$B$13,Paramètres!$A$1:$I$89,3,0)*VLOOKUP('Données projet'!$B$13,Paramètres!$A$1:$I$89,5,0)</f>
        <v>56.740319999999983</v>
      </c>
      <c r="CV29" s="14">
        <f t="shared" si="41"/>
        <v>16.341459515532755</v>
      </c>
      <c r="CW29" s="22">
        <f t="shared" si="13"/>
        <v>127.28409932288616</v>
      </c>
      <c r="CX29" s="62">
        <f t="shared" si="14"/>
        <v>415.72854376733062</v>
      </c>
      <c r="CY29" s="62">
        <f ca="1">AVERAGE(OFFSET($CX$3,0,0,'Données projet'!$E$13+1,1))-AVERAGE(OFFSET($H$3,0,0,'Données projet'!$E$13+1,1))</f>
        <v>118.65321241325523</v>
      </c>
      <c r="CZ29" s="62">
        <f t="shared" si="42"/>
        <v>140.55041555757327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69</v>
      </c>
      <c r="DP29" s="18">
        <f>DO29*VLOOKUP('Données projet'!$B$14,Paramètres!$A$1:$I$89,3,0)*VLOOKUP('Données projet'!$B$14,Paramètres!$A$1:$I$89,5,0)</f>
        <v>69.966000000000008</v>
      </c>
      <c r="DQ29" s="14">
        <f t="shared" si="43"/>
        <v>19.665013934342461</v>
      </c>
      <c r="DR29" s="22">
        <f t="shared" si="16"/>
        <v>156.10734926897979</v>
      </c>
      <c r="DS29" s="62">
        <f t="shared" si="17"/>
        <v>444.55179371342422</v>
      </c>
      <c r="DT29" s="62">
        <f ca="1">AVERAGE(OFFSET($DS$3,0,0,'Données projet'!$E$14+1,1))-AVERAGE(OFFSET($H$3,0,0,'Données projet'!$E$14+1,1))</f>
        <v>328.70784159273131</v>
      </c>
      <c r="DU29" s="62">
        <f t="shared" si="44"/>
        <v>193.18009444354601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35.830079999999995</v>
      </c>
      <c r="P30" s="14">
        <f t="shared" si="33"/>
        <v>10.886427918882697</v>
      </c>
      <c r="Q30" s="22">
        <f t="shared" si="2"/>
        <v>81.364584625387351</v>
      </c>
      <c r="R30" s="62">
        <f t="shared" si="0"/>
        <v>371.03125129205404</v>
      </c>
      <c r="S30" s="62">
        <f ca="1">AVERAGE(OFFSET($R$3,0,0,'Données projet'!$E$9+1,1))-AVERAGE(OFFSET($H$3,0,0,'Données projet'!$E$9+1,1))</f>
        <v>177.70053246230015</v>
      </c>
      <c r="T30" s="62">
        <f t="shared" si="34"/>
        <v>85.631326020763254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</v>
      </c>
      <c r="AI30" s="14">
        <f>IF('Données projet'!$A$62&gt;35,AI29+AH30-AQ29,IF(A30&lt;'Données projet'!$A$62,$AF$205^A30,IF(A30='Données projet'!$A$62,'Données projet'!$B$62,AI29+AH30-AQ29)))</f>
        <v>114</v>
      </c>
      <c r="AJ30" s="14">
        <f>AI30*VLOOKUP('Données projet'!$B$10,Paramètres!$A$1:$I$89,3,0)*VLOOKUP('Données projet'!$B$10,Paramètres!$A$1:$I$89,5,0)</f>
        <v>99.590400000000002</v>
      </c>
      <c r="AK30" s="14">
        <f t="shared" si="35"/>
        <v>26.864392698869324</v>
      </c>
      <c r="AL30" s="22">
        <f t="shared" si="4"/>
        <v>220.24209728386407</v>
      </c>
      <c r="AM30" s="62">
        <f t="shared" si="5"/>
        <v>509.90876395053078</v>
      </c>
      <c r="AN30" s="62">
        <f ca="1">AVERAGE(OFFSET($AM$3,0,0,'Données projet'!$E$10+1,1))-AVERAGE(OFFSET($H$3,0,0,'Données projet'!$E$10+1,1))</f>
        <v>212.11273590951606</v>
      </c>
      <c r="AO30" s="62">
        <f t="shared" si="36"/>
        <v>240.9595690943346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195.90799999999999</v>
      </c>
      <c r="BB30" s="13">
        <f>VLOOKUP(A30,'Données projet'!$A$87:$I$107,9,0)</f>
        <v>17.152999999999992</v>
      </c>
      <c r="BC30" s="13">
        <f t="array" ref="BC30">INDEX(BB:BB,MIN(IF(ISNUMBER(BB30:BB226),ROW(BB30:BB226),"")))</f>
        <v>17.152999999999992</v>
      </c>
      <c r="BD30" s="13">
        <f>IF('Données projet'!$A$88&gt;35,BD29+BC30-BL29,IF(A30&lt;'Données projet'!$A$88,$BA$205^A30,IF(A30='Données projet'!$A$88,'Données projet'!$B$88,BD29+BC30-BL29)))</f>
        <v>195.90800000000002</v>
      </c>
      <c r="BE30" s="14">
        <f>BD30*VLOOKUP('Données projet'!$B$11,Paramètres!$A$1:$I$89,3,0)*VLOOKUP('Données projet'!$B$11,Paramètres!$A$1:$I$89,5,0)</f>
        <v>117.15298400000002</v>
      </c>
      <c r="BF30" s="14">
        <f t="shared" si="37"/>
        <v>31.010054486958683</v>
      </c>
      <c r="BG30" s="22">
        <f t="shared" si="7"/>
        <v>258.05062536478636</v>
      </c>
      <c r="BH30" s="62">
        <f t="shared" si="8"/>
        <v>547.7172920314531</v>
      </c>
      <c r="BI30" s="62">
        <f ca="1">AVERAGE(OFFSET($BH$3,0,0,'Données projet'!$E$11+1,1))-AVERAGE(OFFSET($H$3,0,0,'Données projet'!$E$11+1,1))</f>
        <v>172.49153247238672</v>
      </c>
      <c r="BJ30" s="62">
        <f t="shared" si="38"/>
        <v>301.94982606323254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13.775221717951203</v>
      </c>
      <c r="BQ30" s="23">
        <f>EXP(-LN(2)/25)*BQ29+(1-EXP(-LN(2)/25))/(LN(2)/25)*Calculateur!BL30*Calculateur!BN30*VLOOKUP('Données projet'!$B$11,Paramètres!$A$1:$I$89,3,0)*0.475*44/12</f>
        <v>10.113294994701434</v>
      </c>
      <c r="BR30" s="23">
        <f>EXP(-LN(2)/2)*BR29+(1-EXP(-LN(2)/2))/(LN(2)/2)*BL30*BO30*VLOOKUP('Données projet'!$B$11,Paramètres!$A$1:$I$89,3,0)*0.475*44/12</f>
        <v>4.2930663330335213</v>
      </c>
      <c r="BS30" s="24">
        <f t="shared" si="9"/>
        <v>28.18158304568616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10.8</v>
      </c>
      <c r="BY30" s="13">
        <f>IF('Données projet'!$A$114&gt;35,BY29+BX30-CG29,IF(A30&lt;'Données projet'!$A$114,$BV$205^A30,IF(A30='Données projet'!$A$114,'Données projet'!$B$114,BY29+BX30-CG29)))</f>
        <v>107.6</v>
      </c>
      <c r="BZ30" s="14">
        <f>BY30*VLOOKUP('Données projet'!$B$12,Paramètres!$A$1:$I$89,3,0)*VLOOKUP('Données projet'!$B$12,Paramètres!$A$1:$I$89,5,0)</f>
        <v>61.547200000000004</v>
      </c>
      <c r="CA30" s="14">
        <f t="shared" si="39"/>
        <v>17.558868196136149</v>
      </c>
      <c r="CB30" s="22">
        <f t="shared" si="10"/>
        <v>137.77640210827045</v>
      </c>
      <c r="CC30" s="62">
        <f t="shared" si="11"/>
        <v>427.44306877493716</v>
      </c>
      <c r="CD30" s="62">
        <f ca="1">AVERAGE(OFFSET($CC$3,0,0,'Données projet'!$E$12+1,1))-AVERAGE(OFFSET($H$3,0,0,'Données projet'!$E$12+1,1))</f>
        <v>177.71338645688661</v>
      </c>
      <c r="CE30" s="62">
        <f t="shared" si="40"/>
        <v>153.65872713651345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1.9306003989210565</v>
      </c>
      <c r="CM30" s="23">
        <f>EXP(-LN(2)/2)*CM29+(1-EXP(-LN(2)/2))/(LN(2)/2)*CG30*CJ30*VLOOKUP('Données projet'!$B$12,Paramètres!$A$1:$I$89,3,0)*0.475*44/12</f>
        <v>1.9429106225554158</v>
      </c>
      <c r="CN30" s="24">
        <f t="shared" si="12"/>
        <v>3.8735110214764723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6.6</v>
      </c>
      <c r="CT30" s="13">
        <f>IF('Données projet'!$A$140&gt;35,CT29+CS30-DB29,IF(A30&lt;'Données projet'!$A$140,$CQ$205^A30,IF(A30='Données projet'!$A$140,'Données projet'!$B$140,CT29+CS30-DB29)))</f>
        <v>93.19999999999996</v>
      </c>
      <c r="CU30" s="18">
        <f>CT30*VLOOKUP('Données projet'!$B$13,Paramètres!$A$1:$I$89,3,0)*VLOOKUP('Données projet'!$B$13,Paramètres!$A$1:$I$89,5,0)</f>
        <v>61.064639999999976</v>
      </c>
      <c r="CV30" s="14">
        <f t="shared" si="41"/>
        <v>17.437167249426885</v>
      </c>
      <c r="CW30" s="22">
        <f t="shared" si="13"/>
        <v>136.72398095941844</v>
      </c>
      <c r="CX30" s="62">
        <f t="shared" si="14"/>
        <v>426.39064762608513</v>
      </c>
      <c r="CY30" s="62">
        <f ca="1">AVERAGE(OFFSET($CX$3,0,0,'Données projet'!$E$13+1,1))-AVERAGE(OFFSET($H$3,0,0,'Données projet'!$E$13+1,1))</f>
        <v>118.65321241325523</v>
      </c>
      <c r="CZ30" s="62">
        <f t="shared" si="42"/>
        <v>140.55041555757327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76</v>
      </c>
      <c r="DP30" s="18">
        <f>DO30*VLOOKUP('Données projet'!$B$14,Paramètres!$A$1:$I$89,3,0)*VLOOKUP('Données projet'!$B$14,Paramètres!$A$1:$I$89,5,0)</f>
        <v>77.064000000000007</v>
      </c>
      <c r="DQ30" s="14">
        <f t="shared" si="43"/>
        <v>21.417762186678065</v>
      </c>
      <c r="DR30" s="22">
        <f t="shared" si="16"/>
        <v>171.52240247513097</v>
      </c>
      <c r="DS30" s="62">
        <f t="shared" si="17"/>
        <v>461.18906914179763</v>
      </c>
      <c r="DT30" s="62">
        <f ca="1">AVERAGE(OFFSET($DS$3,0,0,'Données projet'!$E$14+1,1))-AVERAGE(OFFSET($H$3,0,0,'Données projet'!$E$14+1,1))</f>
        <v>328.70784159273131</v>
      </c>
      <c r="DU30" s="62">
        <f t="shared" si="44"/>
        <v>193.18009444354601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40.17311999999999</v>
      </c>
      <c r="P31" s="14">
        <f t="shared" si="33"/>
        <v>12.044520842267836</v>
      </c>
      <c r="Q31" s="22">
        <f t="shared" si="2"/>
        <v>90.945724466949798</v>
      </c>
      <c r="R31" s="62">
        <f t="shared" si="0"/>
        <v>381.83461335583866</v>
      </c>
      <c r="S31" s="62">
        <f ca="1">AVERAGE(OFFSET($R$3,0,0,'Données projet'!$E$9+1,1))-AVERAGE(OFFSET($H$3,0,0,'Données projet'!$E$9+1,1))</f>
        <v>177.70053246230015</v>
      </c>
      <c r="T31" s="62">
        <f t="shared" si="34"/>
        <v>85.631326020763254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</v>
      </c>
      <c r="AI31" s="14">
        <f>IF('Données projet'!$A$62&gt;35,AI30+AH31-AQ30,IF(A31&lt;'Données projet'!$A$62,$AF$205^A31,IF(A31='Données projet'!$A$62,'Données projet'!$B$62,AI30+AH31-AQ30)))</f>
        <v>122</v>
      </c>
      <c r="AJ31" s="14">
        <f>AI31*VLOOKUP('Données projet'!$B$10,Paramètres!$A$1:$I$89,3,0)*VLOOKUP('Données projet'!$B$10,Paramètres!$A$1:$I$89,5,0)</f>
        <v>106.57920000000001</v>
      </c>
      <c r="AK31" s="14">
        <f t="shared" si="35"/>
        <v>28.523541515222938</v>
      </c>
      <c r="AL31" s="22">
        <f t="shared" si="4"/>
        <v>235.30394147234665</v>
      </c>
      <c r="AM31" s="62">
        <f t="shared" si="5"/>
        <v>526.19283036123556</v>
      </c>
      <c r="AN31" s="62">
        <f ca="1">AVERAGE(OFFSET($AM$3,0,0,'Données projet'!$E$10+1,1))-AVERAGE(OFFSET($H$3,0,0,'Données projet'!$E$10+1,1))</f>
        <v>212.11273590951606</v>
      </c>
      <c r="AO31" s="62">
        <f t="shared" si="36"/>
        <v>240.9595690943346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213.4265</v>
      </c>
      <c r="BB31" s="13">
        <f>VLOOKUP(A31,'Données projet'!$A$87:$I$107,9,0)</f>
        <v>17.518500000000017</v>
      </c>
      <c r="BC31" s="13">
        <f t="array" ref="BC31">INDEX(BB:BB,MIN(IF(ISNUMBER(BB31:BB227),ROW(BB31:BB227),"")))</f>
        <v>17.518500000000017</v>
      </c>
      <c r="BD31" s="13">
        <f>IF('Données projet'!$A$88&gt;35,BD30+BC31-BL30,IF(A31&lt;'Données projet'!$A$88,$BA$205^A31,IF(A31='Données projet'!$A$88,'Données projet'!$B$88,BD30+BC31-BL30)))</f>
        <v>213.42650000000003</v>
      </c>
      <c r="BE31" s="14">
        <f>BD31*VLOOKUP('Données projet'!$B$11,Paramètres!$A$1:$I$89,3,0)*VLOOKUP('Données projet'!$B$11,Paramètres!$A$1:$I$89,5,0)</f>
        <v>127.62904700000003</v>
      </c>
      <c r="BF31" s="14">
        <f t="shared" si="37"/>
        <v>33.447916194046705</v>
      </c>
      <c r="BG31" s="22">
        <f t="shared" si="7"/>
        <v>280.5423775629647</v>
      </c>
      <c r="BH31" s="62">
        <f t="shared" si="8"/>
        <v>571.43126645185362</v>
      </c>
      <c r="BI31" s="62">
        <f ca="1">AVERAGE(OFFSET($BH$3,0,0,'Données projet'!$E$11+1,1))-AVERAGE(OFFSET($H$3,0,0,'Données projet'!$E$11+1,1))</f>
        <v>172.49153247238672</v>
      </c>
      <c r="BJ31" s="62">
        <f t="shared" si="38"/>
        <v>301.94982606323254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13.505098022117794</v>
      </c>
      <c r="BQ31" s="23">
        <f>EXP(-LN(2)/25)*BQ30+(1-EXP(-LN(2)/25))/(LN(2)/25)*Calculateur!BL31*Calculateur!BN31*VLOOKUP('Données projet'!$B$11,Paramètres!$A$1:$I$89,3,0)*0.475*44/12</f>
        <v>9.8367464112362537</v>
      </c>
      <c r="BR31" s="23">
        <f>EXP(-LN(2)/2)*BR30+(1-EXP(-LN(2)/2))/(LN(2)/2)*BL31*BO31*VLOOKUP('Données projet'!$B$11,Paramètres!$A$1:$I$89,3,0)*0.475*44/12</f>
        <v>3.0356563161716683</v>
      </c>
      <c r="BS31" s="24">
        <f t="shared" si="9"/>
        <v>26.377500749525716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10.8</v>
      </c>
      <c r="BY31" s="13">
        <f>IF('Données projet'!$A$114&gt;35,BY30+BX31-CG30,IF(A31&lt;'Données projet'!$A$114,$BV$205^A31,IF(A31='Données projet'!$A$114,'Données projet'!$B$114,BY30+BX31-CG30)))</f>
        <v>118.39999999999999</v>
      </c>
      <c r="BZ31" s="14">
        <f>BY31*VLOOKUP('Données projet'!$B$12,Paramètres!$A$1:$I$89,3,0)*VLOOKUP('Données projet'!$B$12,Paramètres!$A$1:$I$89,5,0)</f>
        <v>67.724800000000002</v>
      </c>
      <c r="CA31" s="14">
        <f t="shared" si="39"/>
        <v>19.107363253775425</v>
      </c>
      <c r="CB31" s="22">
        <f t="shared" si="10"/>
        <v>151.23268433365888</v>
      </c>
      <c r="CC31" s="62">
        <f t="shared" si="11"/>
        <v>442.12157322254774</v>
      </c>
      <c r="CD31" s="62">
        <f ca="1">AVERAGE(OFFSET($CC$3,0,0,'Données projet'!$E$12+1,1))-AVERAGE(OFFSET($H$3,0,0,'Données projet'!$E$12+1,1))</f>
        <v>177.71338645688661</v>
      </c>
      <c r="CE31" s="62">
        <f t="shared" si="40"/>
        <v>153.65872713651345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1.8778080294866977</v>
      </c>
      <c r="CM31" s="23">
        <f>EXP(-LN(2)/2)*CM30+(1-EXP(-LN(2)/2))/(LN(2)/2)*CG31*CJ31*VLOOKUP('Données projet'!$B$12,Paramètres!$A$1:$I$89,3,0)*0.475*44/12</f>
        <v>1.3738452764483113</v>
      </c>
      <c r="CN31" s="24">
        <f t="shared" si="12"/>
        <v>3.251653305935009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6.6</v>
      </c>
      <c r="CT31" s="13">
        <f>IF('Données projet'!$A$140&gt;35,CT30+CS31-DB30,IF(A31&lt;'Données projet'!$A$140,$CQ$205^A31,IF(A31='Données projet'!$A$140,'Données projet'!$B$140,CT30+CS31-DB30)))</f>
        <v>99.799999999999955</v>
      </c>
      <c r="CU31" s="18">
        <f>CT31*VLOOKUP('Données projet'!$B$13,Paramètres!$A$1:$I$89,3,0)*VLOOKUP('Données projet'!$B$13,Paramètres!$A$1:$I$89,5,0)</f>
        <v>65.388959999999969</v>
      </c>
      <c r="CV31" s="14">
        <f t="shared" si="41"/>
        <v>18.523872336801272</v>
      </c>
      <c r="CW31" s="22">
        <f t="shared" si="13"/>
        <v>146.14818298659551</v>
      </c>
      <c r="CX31" s="62">
        <f t="shared" si="14"/>
        <v>437.03707187548434</v>
      </c>
      <c r="CY31" s="62">
        <f ca="1">AVERAGE(OFFSET($CX$3,0,0,'Données projet'!$E$13+1,1))-AVERAGE(OFFSET($H$3,0,0,'Données projet'!$E$13+1,1))</f>
        <v>118.65321241325523</v>
      </c>
      <c r="CZ31" s="62">
        <f t="shared" si="42"/>
        <v>140.55041555757327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83</v>
      </c>
      <c r="DP31" s="18">
        <f>DO31*VLOOKUP('Données projet'!$B$14,Paramètres!$A$1:$I$89,3,0)*VLOOKUP('Données projet'!$B$14,Paramètres!$A$1:$I$89,5,0)</f>
        <v>84.162000000000006</v>
      </c>
      <c r="DQ31" s="14">
        <f t="shared" si="43"/>
        <v>23.151791590506594</v>
      </c>
      <c r="DR31" s="22">
        <f t="shared" si="16"/>
        <v>186.90485368679899</v>
      </c>
      <c r="DS31" s="62">
        <f t="shared" si="17"/>
        <v>477.79374257568782</v>
      </c>
      <c r="DT31" s="62">
        <f ca="1">AVERAGE(OFFSET($DS$3,0,0,'Données projet'!$E$14+1,1))-AVERAGE(OFFSET($H$3,0,0,'Données projet'!$E$14+1,1))</f>
        <v>328.70784159273131</v>
      </c>
      <c r="DU31" s="62">
        <f t="shared" si="44"/>
        <v>193.18009444354601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44.516159999999985</v>
      </c>
      <c r="P32" s="14">
        <f t="shared" si="33"/>
        <v>13.188102074986608</v>
      </c>
      <c r="Q32" s="22">
        <f t="shared" si="2"/>
        <v>100.50158978060165</v>
      </c>
      <c r="R32" s="62">
        <f t="shared" si="0"/>
        <v>392.61270089171279</v>
      </c>
      <c r="S32" s="62">
        <f ca="1">AVERAGE(OFFSET($R$3,0,0,'Données projet'!$E$9+1,1))-AVERAGE(OFFSET($H$3,0,0,'Données projet'!$E$9+1,1))</f>
        <v>177.70053246230015</v>
      </c>
      <c r="T32" s="62">
        <f t="shared" si="34"/>
        <v>85.631326020763254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</v>
      </c>
      <c r="AI32" s="14">
        <f>IF('Données projet'!$A$62&gt;35,AI31+AH32-AQ31,IF(A32&lt;'Données projet'!$A$62,$AF$205^A32,IF(A32='Données projet'!$A$62,'Données projet'!$B$62,AI31+AH32-AQ31)))</f>
        <v>130</v>
      </c>
      <c r="AJ32" s="14">
        <f>AI32*VLOOKUP('Données projet'!$B$10,Paramètres!$A$1:$I$89,3,0)*VLOOKUP('Données projet'!$B$10,Paramètres!$A$1:$I$89,5,0)</f>
        <v>113.56800000000003</v>
      </c>
      <c r="AK32" s="14">
        <f t="shared" si="35"/>
        <v>30.17006506205821</v>
      </c>
      <c r="AL32" s="22">
        <f t="shared" si="4"/>
        <v>250.34379664975143</v>
      </c>
      <c r="AM32" s="62">
        <f t="shared" si="5"/>
        <v>542.45490776086262</v>
      </c>
      <c r="AN32" s="62">
        <f ca="1">AVERAGE(OFFSET($AM$3,0,0,'Données projet'!$E$10+1,1))-AVERAGE(OFFSET($H$3,0,0,'Données projet'!$E$10+1,1))</f>
        <v>212.11273590951606</v>
      </c>
      <c r="AO32" s="62">
        <f t="shared" si="36"/>
        <v>240.9595690943346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231.29350000000002</v>
      </c>
      <c r="BB32" s="13">
        <f>VLOOKUP(A32,'Données projet'!$A$87:$I$107,9,0)</f>
        <v>17.867000000000019</v>
      </c>
      <c r="BC32" s="13">
        <f t="array" ref="BC32">INDEX(BB:BB,MIN(IF(ISNUMBER(BB32:BB228),ROW(BB32:BB228),"")))</f>
        <v>17.867000000000019</v>
      </c>
      <c r="BD32" s="13">
        <f>IF('Données projet'!$A$88&gt;35,BD31+BC32-BL31,IF(A32&lt;'Données projet'!$A$88,$BA$205^A32,IF(A32='Données projet'!$A$88,'Données projet'!$B$88,BD31+BC32-BL31)))</f>
        <v>231.29350000000005</v>
      </c>
      <c r="BE32" s="14">
        <f>BD32*VLOOKUP('Données projet'!$B$11,Paramètres!$A$1:$I$89,3,0)*VLOOKUP('Données projet'!$B$11,Paramètres!$A$1:$I$89,5,0)</f>
        <v>138.31351300000003</v>
      </c>
      <c r="BF32" s="14">
        <f t="shared" si="37"/>
        <v>35.910382914607332</v>
      </c>
      <c r="BG32" s="22">
        <f t="shared" si="7"/>
        <v>303.43995205127447</v>
      </c>
      <c r="BH32" s="62">
        <f t="shared" si="8"/>
        <v>595.55106316238562</v>
      </c>
      <c r="BI32" s="62">
        <f ca="1">AVERAGE(OFFSET($BH$3,0,0,'Données projet'!$E$11+1,1))-AVERAGE(OFFSET($H$3,0,0,'Données projet'!$E$11+1,1))</f>
        <v>172.49153247238672</v>
      </c>
      <c r="BJ32" s="62">
        <f t="shared" si="38"/>
        <v>301.94982606323254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13.240271287200493</v>
      </c>
      <c r="BQ32" s="23">
        <f>EXP(-LN(2)/25)*BQ31+(1-EXP(-LN(2)/25))/(LN(2)/25)*Calculateur!BL32*Calculateur!BN32*VLOOKUP('Données projet'!$B$11,Paramètres!$A$1:$I$89,3,0)*0.475*44/12</f>
        <v>9.5677600633289863</v>
      </c>
      <c r="BR32" s="23">
        <f>EXP(-LN(2)/2)*BR31+(1-EXP(-LN(2)/2))/(LN(2)/2)*BL32*BO32*VLOOKUP('Données projet'!$B$11,Paramètres!$A$1:$I$89,3,0)*0.475*44/12</f>
        <v>2.1465331665167611</v>
      </c>
      <c r="BS32" s="24">
        <f t="shared" si="9"/>
        <v>24.95456451704624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10.8</v>
      </c>
      <c r="BY32" s="13">
        <f>IF('Données projet'!$A$114&gt;35,BY31+BX32-CG31,IF(A32&lt;'Données projet'!$A$114,$BV$205^A32,IF(A32='Données projet'!$A$114,'Données projet'!$B$114,BY31+BX32-CG31)))</f>
        <v>129.19999999999999</v>
      </c>
      <c r="BZ32" s="14">
        <f>BY32*VLOOKUP('Données projet'!$B$12,Paramètres!$A$1:$I$89,3,0)*VLOOKUP('Données projet'!$B$12,Paramètres!$A$1:$I$89,5,0)</f>
        <v>73.902399999999986</v>
      </c>
      <c r="CA32" s="14">
        <f t="shared" si="39"/>
        <v>20.639480080340533</v>
      </c>
      <c r="CB32" s="22">
        <f t="shared" si="10"/>
        <v>164.66044113992641</v>
      </c>
      <c r="CC32" s="62">
        <f t="shared" si="11"/>
        <v>456.77155225103752</v>
      </c>
      <c r="CD32" s="62">
        <f ca="1">AVERAGE(OFFSET($CC$3,0,0,'Données projet'!$E$12+1,1))-AVERAGE(OFFSET($H$3,0,0,'Données projet'!$E$12+1,1))</f>
        <v>177.71338645688661</v>
      </c>
      <c r="CE32" s="62">
        <f t="shared" si="40"/>
        <v>153.65872713651345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1.8264592701707514</v>
      </c>
      <c r="CM32" s="23">
        <f>EXP(-LN(2)/2)*CM31+(1-EXP(-LN(2)/2))/(LN(2)/2)*CG32*CJ32*VLOOKUP('Données projet'!$B$12,Paramètres!$A$1:$I$89,3,0)*0.475*44/12</f>
        <v>0.97145531127770801</v>
      </c>
      <c r="CN32" s="24">
        <f t="shared" si="12"/>
        <v>2.7979145814484596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6.6</v>
      </c>
      <c r="CT32" s="13">
        <f>IF('Données projet'!$A$140&gt;35,CT31+CS32-DB31,IF(A32&lt;'Données projet'!$A$140,$CQ$205^A32,IF(A32='Données projet'!$A$140,'Données projet'!$B$140,CT31+CS32-DB31)))</f>
        <v>106.39999999999995</v>
      </c>
      <c r="CU32" s="18">
        <f>CT32*VLOOKUP('Données projet'!$B$13,Paramètres!$A$1:$I$89,3,0)*VLOOKUP('Données projet'!$B$13,Paramètres!$A$1:$I$89,5,0)</f>
        <v>69.713279999999955</v>
      </c>
      <c r="CV32" s="14">
        <f t="shared" si="41"/>
        <v>19.602237890359675</v>
      </c>
      <c r="CW32" s="22">
        <f t="shared" si="13"/>
        <v>155.55786032570967</v>
      </c>
      <c r="CX32" s="62">
        <f t="shared" si="14"/>
        <v>447.66897143682081</v>
      </c>
      <c r="CY32" s="62">
        <f ca="1">AVERAGE(OFFSET($CX$3,0,0,'Données projet'!$E$13+1,1))-AVERAGE(OFFSET($H$3,0,0,'Données projet'!$E$13+1,1))</f>
        <v>118.65321241325523</v>
      </c>
      <c r="CZ32" s="62">
        <f t="shared" si="42"/>
        <v>140.55041555757327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90</v>
      </c>
      <c r="DP32" s="18">
        <f>DO32*VLOOKUP('Données projet'!$B$14,Paramètres!$A$1:$I$89,3,0)*VLOOKUP('Données projet'!$B$14,Paramètres!$A$1:$I$89,5,0)</f>
        <v>91.26</v>
      </c>
      <c r="DQ32" s="14">
        <f t="shared" si="43"/>
        <v>24.868860330902777</v>
      </c>
      <c r="DR32" s="22">
        <f t="shared" si="16"/>
        <v>202.25776507632233</v>
      </c>
      <c r="DS32" s="62">
        <f t="shared" si="17"/>
        <v>494.36887618743344</v>
      </c>
      <c r="DT32" s="62">
        <f ca="1">AVERAGE(OFFSET($DS$3,0,0,'Données projet'!$E$14+1,1))-AVERAGE(OFFSET($H$3,0,0,'Données projet'!$E$14+1,1))</f>
        <v>328.70784159273131</v>
      </c>
      <c r="DU32" s="62">
        <f t="shared" si="44"/>
        <v>193.18009444354601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48.859199999999987</v>
      </c>
      <c r="P33" s="14">
        <f t="shared" si="33"/>
        <v>14.318748507569309</v>
      </c>
      <c r="Q33" s="22">
        <f t="shared" si="2"/>
        <v>110.03492698401652</v>
      </c>
      <c r="R33" s="62">
        <f t="shared" si="0"/>
        <v>403.36826031734984</v>
      </c>
      <c r="S33" s="62">
        <f ca="1">AVERAGE(OFFSET($R$3,0,0,'Données projet'!$E$9+1,1))-AVERAGE(OFFSET($H$3,0,0,'Données projet'!$E$9+1,1))</f>
        <v>177.70053246230015</v>
      </c>
      <c r="T33" s="62">
        <f t="shared" si="34"/>
        <v>85.631326020763254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138</v>
      </c>
      <c r="AG33" s="13">
        <f>VLOOKUP(A33,'Données projet'!$A$61:$I$81,9,0)</f>
        <v>8</v>
      </c>
      <c r="AH33" s="13">
        <f t="array" ref="AH33">INDEX(AG:AG,MIN(IF(ISNUMBER(AG33:AG229),ROW(AG33:AG229),"")))</f>
        <v>8</v>
      </c>
      <c r="AI33" s="14">
        <f>IF('Données projet'!$A$62&gt;35,AI32+AH33-AQ32,IF(A33&lt;'Données projet'!$A$62,$AF$205^A33,IF(A33='Données projet'!$A$62,'Données projet'!$B$62,AI32+AH33-AQ32)))</f>
        <v>138</v>
      </c>
      <c r="AJ33" s="14">
        <f>AI33*VLOOKUP('Données projet'!$B$10,Paramètres!$A$1:$I$89,3,0)*VLOOKUP('Données projet'!$B$10,Paramètres!$A$1:$I$89,5,0)</f>
        <v>120.55680000000001</v>
      </c>
      <c r="AK33" s="14">
        <f t="shared" si="35"/>
        <v>31.804828741198779</v>
      </c>
      <c r="AL33" s="22">
        <f t="shared" si="4"/>
        <v>265.36317005758787</v>
      </c>
      <c r="AM33" s="62">
        <f t="shared" si="5"/>
        <v>558.69650339092118</v>
      </c>
      <c r="AN33" s="62">
        <f ca="1">AVERAGE(OFFSET($AM$3,0,0,'Données projet'!$E$10+1,1))-AVERAGE(OFFSET($H$3,0,0,'Données projet'!$E$10+1,1))</f>
        <v>212.11273590951606</v>
      </c>
      <c r="AO33" s="62">
        <f t="shared" si="36"/>
        <v>240.9595690943346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39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249.203</v>
      </c>
      <c r="BB33" s="13">
        <f>VLOOKUP(A33,'Données projet'!$A$87:$I$107,9,0)</f>
        <v>17.90949999999998</v>
      </c>
      <c r="BC33" s="13">
        <f t="array" ref="BC33">INDEX(BB:BB,MIN(IF(ISNUMBER(BB33:BB229),ROW(BB33:BB229),"")))</f>
        <v>17.90949999999998</v>
      </c>
      <c r="BD33" s="13">
        <f>IF('Données projet'!$A$88&gt;35,BD32+BC33-BL32,IF(A33&lt;'Données projet'!$A$88,$BA$205^A33,IF(A33='Données projet'!$A$88,'Données projet'!$B$88,BD32+BC33-BL32)))</f>
        <v>249.20300000000003</v>
      </c>
      <c r="BE33" s="14">
        <f>BD33*VLOOKUP('Données projet'!$B$11,Paramètres!$A$1:$I$89,3,0)*VLOOKUP('Données projet'!$B$11,Paramètres!$A$1:$I$89,5,0)</f>
        <v>149.02339400000002</v>
      </c>
      <c r="BF33" s="14">
        <f t="shared" si="37"/>
        <v>38.356564101331521</v>
      </c>
      <c r="BG33" s="22">
        <f t="shared" si="7"/>
        <v>326.35342702648575</v>
      </c>
      <c r="BH33" s="62">
        <f t="shared" si="8"/>
        <v>619.68676035981912</v>
      </c>
      <c r="BI33" s="62">
        <f ca="1">AVERAGE(OFFSET($BH$3,0,0,'Données projet'!$E$11+1,1))-AVERAGE(OFFSET($H$3,0,0,'Données projet'!$E$11+1,1))</f>
        <v>172.49153247238672</v>
      </c>
      <c r="BJ33" s="62">
        <f t="shared" si="38"/>
        <v>301.94982606323254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63.6</v>
      </c>
      <c r="BM33" s="17">
        <f>IF(ISNA(VLOOKUP(A33,'Données projet'!$A$87:$I$107,5,0)),0%,VLOOKUP(A33,'Données projet'!$A$87:$I$107,5,0)*VLOOKUP('Données projet'!$B$11,Paramètres!$A$1:$I$89,7,0))</f>
        <v>0.315</v>
      </c>
      <c r="BN33" s="17">
        <f>IF(ISNA(VLOOKUP(A33,'Données projet'!$A$87:$I$107,6,0)),0%,VLOOKUP(A33,'Données projet'!$A$87:$I$107,6,0)*VLOOKUP('Données projet'!$B$11,Paramètres!$A$1:$I$89,7,0))</f>
        <v>9.0000000000000011E-2</v>
      </c>
      <c r="BO33" s="17">
        <f>IF(ISNA(VLOOKUP(A33,'Données projet'!$A$87:$I$107,7,0)),0%,VLOOKUP(A33,'Données projet'!$A$87:$I$107,7,0))</f>
        <v>0.1</v>
      </c>
      <c r="BP33" s="23">
        <f>EXP(-LN(2)/35)*BP32+(1-EXP(-LN(2)/35))/(LN(2)/35)*BL33*BM33*VLOOKUP('Données projet'!$B$11,Paramètres!$A$1:$I$89,3,0)*0.475*44/12</f>
        <v>28.873320238591461</v>
      </c>
      <c r="BQ33" s="23">
        <f>EXP(-LN(2)/25)*BQ32+(1-EXP(-LN(2)/25))/(LN(2)/25)*Calculateur!BL33*Calculateur!BN33*VLOOKUP('Données projet'!$B$11,Paramètres!$A$1:$I$89,3,0)*0.475*44/12</f>
        <v>13.829016889421862</v>
      </c>
      <c r="BR33" s="23">
        <f>EXP(-LN(2)/2)*BR32+(1-EXP(-LN(2)/2))/(LN(2)/2)*BL33*BO33*VLOOKUP('Données projet'!$B$11,Paramètres!$A$1:$I$89,3,0)*0.475*44/12</f>
        <v>5.8240246106222919</v>
      </c>
      <c r="BS33" s="24">
        <f t="shared" si="9"/>
        <v>48.526361738635615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140</v>
      </c>
      <c r="BW33" s="13">
        <f>VLOOKUP(A33,'Données projet'!$A$113:$I$133,9,0)</f>
        <v>10.8</v>
      </c>
      <c r="BX33" s="13">
        <f t="array" ref="BX33">INDEX(BW:BW,MIN(IF(ISNUMBER(BW33:BW229),ROW(BW33:BW229),"")))</f>
        <v>10.8</v>
      </c>
      <c r="BY33" s="13">
        <f>IF('Données projet'!$A$114&gt;35,BY32+BX33-CG32,IF(A33&lt;'Données projet'!$A$114,$BV$205^A33,IF(A33='Données projet'!$A$114,'Données projet'!$B$114,BY32+BX33-CG32)))</f>
        <v>140</v>
      </c>
      <c r="BZ33" s="14">
        <f>BY33*VLOOKUP('Données projet'!$B$12,Paramètres!$A$1:$I$89,3,0)*VLOOKUP('Données projet'!$B$12,Paramètres!$A$1:$I$89,5,0)</f>
        <v>80.08</v>
      </c>
      <c r="CA33" s="14">
        <f t="shared" si="39"/>
        <v>22.156743406564633</v>
      </c>
      <c r="CB33" s="22">
        <f t="shared" si="10"/>
        <v>178.06232809976675</v>
      </c>
      <c r="CC33" s="62">
        <f t="shared" si="11"/>
        <v>471.39566143310003</v>
      </c>
      <c r="CD33" s="62">
        <f ca="1">AVERAGE(OFFSET($CC$3,0,0,'Données projet'!$E$12+1,1))-AVERAGE(OFFSET($H$3,0,0,'Données projet'!$E$12+1,1))</f>
        <v>177.71338645688661</v>
      </c>
      <c r="CE33" s="62">
        <f t="shared" si="40"/>
        <v>153.65872713651345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23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1.7765146453786136</v>
      </c>
      <c r="CM33" s="23">
        <f>EXP(-LN(2)/2)*CM32+(1-EXP(-LN(2)/2))/(LN(2)/2)*CG33*CJ33*VLOOKUP('Données projet'!$B$12,Paramètres!$A$1:$I$89,3,0)*0.475*44/12</f>
        <v>0.68692263822415578</v>
      </c>
      <c r="CN33" s="24">
        <f t="shared" si="12"/>
        <v>2.4634372836027696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113</v>
      </c>
      <c r="CR33" s="13">
        <f>VLOOKUP(A33,'Données projet'!$A$139:$I$159,9,0)</f>
        <v>6.6</v>
      </c>
      <c r="CS33" s="13">
        <f t="array" ref="CS33">INDEX(CR:CR,MIN(IF(ISNUMBER(CR33:CR229),ROW(CR33:CR229),"")))</f>
        <v>6.6</v>
      </c>
      <c r="CT33" s="13">
        <f>IF('Données projet'!$A$140&gt;35,CT32+CS33-DB32,IF(A33&lt;'Données projet'!$A$140,$CQ$205^A33,IF(A33='Données projet'!$A$140,'Données projet'!$B$140,CT32+CS33-DB32)))</f>
        <v>112.99999999999994</v>
      </c>
      <c r="CU33" s="18">
        <f>CT33*VLOOKUP('Données projet'!$B$13,Paramètres!$A$1:$I$89,3,0)*VLOOKUP('Données projet'!$B$13,Paramètres!$A$1:$I$89,5,0)</f>
        <v>74.037599999999955</v>
      </c>
      <c r="CV33" s="14">
        <f t="shared" si="41"/>
        <v>20.672840107651652</v>
      </c>
      <c r="CW33" s="22">
        <f t="shared" si="13"/>
        <v>164.95401652082657</v>
      </c>
      <c r="CX33" s="62">
        <f t="shared" si="14"/>
        <v>458.28734985415986</v>
      </c>
      <c r="CY33" s="62">
        <f ca="1">AVERAGE(OFFSET($CX$3,0,0,'Données projet'!$E$13+1,1))-AVERAGE(OFFSET($H$3,0,0,'Données projet'!$E$13+1,1))</f>
        <v>118.65321241325523</v>
      </c>
      <c r="CZ33" s="62">
        <f t="shared" si="42"/>
        <v>140.55041555757327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97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97</v>
      </c>
      <c r="DP33" s="18">
        <f>DO33*VLOOKUP('Données projet'!$B$14,Paramètres!$A$1:$I$89,3,0)*VLOOKUP('Données projet'!$B$14,Paramètres!$A$1:$I$89,5,0)</f>
        <v>98.358000000000004</v>
      </c>
      <c r="DQ33" s="14">
        <f t="shared" si="43"/>
        <v>26.570437554143126</v>
      </c>
      <c r="DR33" s="22">
        <f t="shared" si="16"/>
        <v>217.58369540679928</v>
      </c>
      <c r="DS33" s="62">
        <f t="shared" si="17"/>
        <v>510.91702874013259</v>
      </c>
      <c r="DT33" s="62">
        <f ca="1">AVERAGE(OFFSET($DS$3,0,0,'Données projet'!$E$14+1,1))-AVERAGE(OFFSET($H$3,0,0,'Données projet'!$E$14+1,1))</f>
        <v>328.70784159273131</v>
      </c>
      <c r="DU33" s="62">
        <f t="shared" si="44"/>
        <v>193.18009444354601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53.383199999999988</v>
      </c>
      <c r="P34" s="14">
        <f t="shared" si="33"/>
        <v>15.484128706113934</v>
      </c>
      <c r="Q34" s="22">
        <f t="shared" si="2"/>
        <v>119.94393082981507</v>
      </c>
      <c r="R34" s="62">
        <f t="shared" si="0"/>
        <v>413.2772641631484</v>
      </c>
      <c r="S34" s="62">
        <f ca="1">AVERAGE(OFFSET($R$3,0,0,'Données projet'!$E$9+1,1))-AVERAGE(OFFSET($H$3,0,0,'Données projet'!$E$9+1,1))</f>
        <v>177.70053246230015</v>
      </c>
      <c r="T34" s="62">
        <f t="shared" si="34"/>
        <v>85.631326020763254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7.2</v>
      </c>
      <c r="AI34" s="14">
        <f>IF('Données projet'!$A$62&gt;35,AI33+AH34-AQ33,IF(A34&lt;'Données projet'!$A$62,$AF$205^A34,IF(A34='Données projet'!$A$62,'Données projet'!$B$62,AI33+AH34-AQ33)))</f>
        <v>106.19999999999999</v>
      </c>
      <c r="AJ34" s="14">
        <f>AI34*VLOOKUP('Données projet'!$B$10,Paramètres!$A$1:$I$89,3,0)*VLOOKUP('Données projet'!$B$10,Paramètres!$A$1:$I$89,5,0)</f>
        <v>92.776319999999998</v>
      </c>
      <c r="AK34" s="14">
        <f t="shared" si="35"/>
        <v>25.233617967655977</v>
      </c>
      <c r="AL34" s="22">
        <f t="shared" si="4"/>
        <v>205.53397529366748</v>
      </c>
      <c r="AM34" s="62">
        <f t="shared" si="5"/>
        <v>498.8673086270008</v>
      </c>
      <c r="AN34" s="62">
        <f ca="1">AVERAGE(OFFSET($AM$3,0,0,'Données projet'!$E$10+1,1))-AVERAGE(OFFSET($H$3,0,0,'Données projet'!$E$10+1,1))</f>
        <v>212.11273590951606</v>
      </c>
      <c r="AO34" s="62">
        <f t="shared" si="36"/>
        <v>240.9595690943346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14.608083333333331</v>
      </c>
      <c r="BD34" s="13">
        <f>IF('Données projet'!$A$88&gt;35,BD33+BC34-BL33,IF(A34&lt;'Données projet'!$A$88,$BA$205^A34,IF(A34='Données projet'!$A$88,'Données projet'!$B$88,BD33+BC34-BL33)))</f>
        <v>200.21108333333339</v>
      </c>
      <c r="BE34" s="14">
        <f>BD34*VLOOKUP('Données projet'!$B$11,Paramètres!$A$1:$I$89,3,0)*VLOOKUP('Données projet'!$B$11,Paramètres!$A$1:$I$89,5,0)</f>
        <v>119.72622783333338</v>
      </c>
      <c r="BF34" s="14">
        <f t="shared" si="37"/>
        <v>31.611137946539483</v>
      </c>
      <c r="BG34" s="22">
        <f t="shared" si="7"/>
        <v>263.57924539994525</v>
      </c>
      <c r="BH34" s="62">
        <f t="shared" si="8"/>
        <v>556.91257873327856</v>
      </c>
      <c r="BI34" s="62">
        <f ca="1">AVERAGE(OFFSET($BH$3,0,0,'Données projet'!$E$11+1,1))-AVERAGE(OFFSET($H$3,0,0,'Données projet'!$E$11+1,1))</f>
        <v>172.49153247238672</v>
      </c>
      <c r="BJ34" s="62">
        <f t="shared" si="38"/>
        <v>301.94982606323254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28.307132039699088</v>
      </c>
      <c r="BQ34" s="23">
        <f>EXP(-LN(2)/25)*BQ33+(1-EXP(-LN(2)/25))/(LN(2)/25)*Calculateur!BL34*Calculateur!BN34*VLOOKUP('Données projet'!$B$11,Paramètres!$A$1:$I$89,3,0)*0.475*44/12</f>
        <v>13.45086169534423</v>
      </c>
      <c r="BR34" s="23">
        <f>EXP(-LN(2)/2)*BR33+(1-EXP(-LN(2)/2))/(LN(2)/2)*BL34*BO34*VLOOKUP('Données projet'!$B$11,Paramètres!$A$1:$I$89,3,0)*0.475*44/12</f>
        <v>4.1182072959683653</v>
      </c>
      <c r="BS34" s="24">
        <f t="shared" si="9"/>
        <v>45.876201031011682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127.80000000000001</v>
      </c>
      <c r="BZ34" s="14">
        <f>BY34*VLOOKUP('Données projet'!$B$12,Paramètres!$A$1:$I$89,3,0)*VLOOKUP('Données projet'!$B$12,Paramètres!$A$1:$I$89,5,0)</f>
        <v>73.101600000000005</v>
      </c>
      <c r="CA34" s="14">
        <f t="shared" si="39"/>
        <v>20.441739914591079</v>
      </c>
      <c r="CB34" s="22">
        <f t="shared" si="10"/>
        <v>162.9213170179128</v>
      </c>
      <c r="CC34" s="62">
        <f t="shared" si="11"/>
        <v>456.25465035124614</v>
      </c>
      <c r="CD34" s="62">
        <f ca="1">AVERAGE(OFFSET($CC$3,0,0,'Données projet'!$E$12+1,1))-AVERAGE(OFFSET($H$3,0,0,'Données projet'!$E$12+1,1))</f>
        <v>177.71338645688661</v>
      </c>
      <c r="CE34" s="62">
        <f t="shared" si="40"/>
        <v>153.65872713651345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1.7279357589778905</v>
      </c>
      <c r="CM34" s="23">
        <f>EXP(-LN(2)/2)*CM33+(1-EXP(-LN(2)/2))/(LN(2)/2)*CG34*CJ34*VLOOKUP('Données projet'!$B$12,Paramètres!$A$1:$I$89,3,0)*0.475*44/12</f>
        <v>0.48572765563885412</v>
      </c>
      <c r="CN34" s="24">
        <f t="shared" si="12"/>
        <v>2.2136634146167449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6.2</v>
      </c>
      <c r="CT34" s="13">
        <f>IF('Données projet'!$A$140&gt;35,CT33+CS34-DB33,IF(A34&lt;'Données projet'!$A$140,$CQ$205^A34,IF(A34='Données projet'!$A$140,'Données projet'!$B$140,CT33+CS34-DB33)))</f>
        <v>119.19999999999995</v>
      </c>
      <c r="CU34" s="18">
        <f>CT34*VLOOKUP('Données projet'!$B$13,Paramètres!$A$1:$I$89,3,0)*VLOOKUP('Données projet'!$B$13,Paramètres!$A$1:$I$89,5,0)</f>
        <v>78.099839999999972</v>
      </c>
      <c r="CV34" s="14">
        <f t="shared" si="41"/>
        <v>21.671937135082647</v>
      </c>
      <c r="CW34" s="22">
        <f t="shared" si="13"/>
        <v>173.76917851026886</v>
      </c>
      <c r="CX34" s="62">
        <f t="shared" si="14"/>
        <v>467.1025118436022</v>
      </c>
      <c r="CY34" s="62">
        <f ca="1">AVERAGE(OFFSET($CX$3,0,0,'Données projet'!$E$13+1,1))-AVERAGE(OFFSET($H$3,0,0,'Données projet'!$E$13+1,1))</f>
        <v>118.65321241325523</v>
      </c>
      <c r="CZ34" s="62">
        <f t="shared" si="42"/>
        <v>140.55041555757327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105</v>
      </c>
      <c r="DP34" s="18">
        <f>DO34*VLOOKUP('Données projet'!$B$14,Paramètres!$A$1:$I$89,3,0)*VLOOKUP('Données projet'!$B$14,Paramètres!$A$1:$I$89,5,0)</f>
        <v>106.47</v>
      </c>
      <c r="DQ34" s="14">
        <f t="shared" si="43"/>
        <v>28.49771681771891</v>
      </c>
      <c r="DR34" s="22">
        <f t="shared" si="16"/>
        <v>235.06877345752704</v>
      </c>
      <c r="DS34" s="62">
        <f t="shared" si="17"/>
        <v>528.40210679086033</v>
      </c>
      <c r="DT34" s="62">
        <f ca="1">AVERAGE(OFFSET($DS$3,0,0,'Données projet'!$E$14+1,1))-AVERAGE(OFFSET($H$3,0,0,'Données projet'!$E$14+1,1))</f>
        <v>328.70784159273131</v>
      </c>
      <c r="DU34" s="62">
        <f t="shared" si="44"/>
        <v>193.18009444354601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57.907199999999989</v>
      </c>
      <c r="P35" s="14">
        <f t="shared" si="33"/>
        <v>16.638055172385986</v>
      </c>
      <c r="Q35" s="22">
        <f t="shared" ref="Q35:Q66" si="53">(O35+P35)*0.475*44/12</f>
        <v>129.83298609190555</v>
      </c>
      <c r="R35" s="62">
        <f t="shared" si="0"/>
        <v>423.16631942523884</v>
      </c>
      <c r="S35" s="62">
        <f ca="1">AVERAGE(OFFSET($R$3,0,0,'Données projet'!$E$9+1,1))-AVERAGE(OFFSET($H$3,0,0,'Données projet'!$E$9+1,1))</f>
        <v>177.70053246230015</v>
      </c>
      <c r="T35" s="62">
        <f t="shared" si="34"/>
        <v>85.631326020763254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7.2</v>
      </c>
      <c r="AI35" s="14">
        <f>IF('Données projet'!$A$62&gt;35,AI34+AH35-AQ34,IF(A35&lt;'Données projet'!$A$62,$AF$205^A35,IF(A35='Données projet'!$A$62,'Données projet'!$B$62,AI34+AH35-AQ34)))</f>
        <v>113.39999999999999</v>
      </c>
      <c r="AJ35" s="14">
        <f>AI35*VLOOKUP('Données projet'!$B$10,Paramètres!$A$1:$I$89,3,0)*VLOOKUP('Données projet'!$B$10,Paramètres!$A$1:$I$89,5,0)</f>
        <v>99.066239999999993</v>
      </c>
      <c r="AK35" s="14">
        <f t="shared" si="35"/>
        <v>26.739420789378705</v>
      </c>
      <c r="AL35" s="22">
        <f t="shared" si="4"/>
        <v>219.11152587483454</v>
      </c>
      <c r="AM35" s="62">
        <f t="shared" si="5"/>
        <v>512.44485920816783</v>
      </c>
      <c r="AN35" s="62">
        <f ca="1">AVERAGE(OFFSET($AM$3,0,0,'Données projet'!$E$10+1,1))-AVERAGE(OFFSET($H$3,0,0,'Données projet'!$E$10+1,1))</f>
        <v>212.11273590951606</v>
      </c>
      <c r="AO35" s="62">
        <f t="shared" si="36"/>
        <v>240.9595690943346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14.608083333333331</v>
      </c>
      <c r="BD35" s="13">
        <f>IF('Données projet'!$A$88&gt;35,BD34+BC35-BL34,IF(A35&lt;'Données projet'!$A$88,$BA$205^A35,IF(A35='Données projet'!$A$88,'Données projet'!$B$88,BD34+BC35-BL34)))</f>
        <v>214.81916666666672</v>
      </c>
      <c r="BE35" s="14">
        <f>BD35*VLOOKUP('Données projet'!$B$11,Paramètres!$A$1:$I$89,3,0)*VLOOKUP('Données projet'!$B$11,Paramètres!$A$1:$I$89,5,0)</f>
        <v>128.46186166666672</v>
      </c>
      <c r="BF35" s="14">
        <f t="shared" si="37"/>
        <v>33.640694894185366</v>
      </c>
      <c r="BG35" s="22">
        <f t="shared" si="7"/>
        <v>282.32861934348404</v>
      </c>
      <c r="BH35" s="62">
        <f t="shared" si="8"/>
        <v>575.66195267681735</v>
      </c>
      <c r="BI35" s="62">
        <f ca="1">AVERAGE(OFFSET($BH$3,0,0,'Données projet'!$E$11+1,1))-AVERAGE(OFFSET($H$3,0,0,'Données projet'!$E$11+1,1))</f>
        <v>172.49153247238672</v>
      </c>
      <c r="BJ35" s="62">
        <f t="shared" si="38"/>
        <v>301.94982606323254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27.752046446046293</v>
      </c>
      <c r="BQ35" s="23">
        <f>EXP(-LN(2)/25)*BQ34+(1-EXP(-LN(2)/25))/(LN(2)/25)*Calculateur!BL35*Calculateur!BN35*VLOOKUP('Données projet'!$B$11,Paramètres!$A$1:$I$89,3,0)*0.475*44/12</f>
        <v>13.083047174934968</v>
      </c>
      <c r="BR35" s="23">
        <f>EXP(-LN(2)/2)*BR34+(1-EXP(-LN(2)/2))/(LN(2)/2)*BL35*BO35*VLOOKUP('Données projet'!$B$11,Paramètres!$A$1:$I$89,3,0)*0.475*44/12</f>
        <v>2.9120123053111469</v>
      </c>
      <c r="BS35" s="24">
        <f t="shared" si="9"/>
        <v>43.747105926292406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138.60000000000002</v>
      </c>
      <c r="BZ35" s="14">
        <f>BY35*VLOOKUP('Données projet'!$B$12,Paramètres!$A$1:$I$89,3,0)*VLOOKUP('Données projet'!$B$12,Paramètres!$A$1:$I$89,5,0)</f>
        <v>79.279200000000017</v>
      </c>
      <c r="CA35" s="14">
        <f t="shared" si="39"/>
        <v>21.960852053344638</v>
      </c>
      <c r="CB35" s="22">
        <f t="shared" si="10"/>
        <v>176.32642399290862</v>
      </c>
      <c r="CC35" s="62">
        <f t="shared" si="11"/>
        <v>469.6597573262419</v>
      </c>
      <c r="CD35" s="62">
        <f ca="1">AVERAGE(OFFSET($CC$3,0,0,'Données projet'!$E$12+1,1))-AVERAGE(OFFSET($H$3,0,0,'Données projet'!$E$12+1,1))</f>
        <v>177.71338645688661</v>
      </c>
      <c r="CE35" s="62">
        <f t="shared" si="40"/>
        <v>153.65872713651345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1.6806852647804478</v>
      </c>
      <c r="CM35" s="23">
        <f>EXP(-LN(2)/2)*CM34+(1-EXP(-LN(2)/2))/(LN(2)/2)*CG35*CJ35*VLOOKUP('Données projet'!$B$12,Paramètres!$A$1:$I$89,3,0)*0.475*44/12</f>
        <v>0.34346131911207795</v>
      </c>
      <c r="CN35" s="24">
        <f t="shared" si="12"/>
        <v>2.0241465838925259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6.2</v>
      </c>
      <c r="CT35" s="13">
        <f>IF('Données projet'!$A$140&gt;35,CT34+CS35-DB34,IF(A35&lt;'Données projet'!$A$140,$CQ$205^A35,IF(A35='Données projet'!$A$140,'Données projet'!$B$140,CT34+CS35-DB34)))</f>
        <v>125.39999999999995</v>
      </c>
      <c r="CU35" s="18">
        <f>CT35*VLOOKUP('Données projet'!$B$13,Paramètres!$A$1:$I$89,3,0)*VLOOKUP('Données projet'!$B$13,Paramètres!$A$1:$I$89,5,0)</f>
        <v>82.162079999999975</v>
      </c>
      <c r="CV35" s="14">
        <f t="shared" si="41"/>
        <v>22.665000669215523</v>
      </c>
      <c r="CW35" s="22">
        <f t="shared" si="13"/>
        <v>182.57383216555033</v>
      </c>
      <c r="CX35" s="62">
        <f t="shared" si="14"/>
        <v>475.90716549888361</v>
      </c>
      <c r="CY35" s="62">
        <f ca="1">AVERAGE(OFFSET($CX$3,0,0,'Données projet'!$E$13+1,1))-AVERAGE(OFFSET($H$3,0,0,'Données projet'!$E$13+1,1))</f>
        <v>118.65321241325523</v>
      </c>
      <c r="CZ35" s="62">
        <f t="shared" si="42"/>
        <v>140.55041555757327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113</v>
      </c>
      <c r="DP35" s="18">
        <f>DO35*VLOOKUP('Données projet'!$B$14,Paramètres!$A$1:$I$89,3,0)*VLOOKUP('Données projet'!$B$14,Paramètres!$A$1:$I$89,5,0)</f>
        <v>114.58200000000001</v>
      </c>
      <c r="DQ35" s="14">
        <f t="shared" si="43"/>
        <v>30.407962048850919</v>
      </c>
      <c r="DR35" s="22">
        <f t="shared" si="16"/>
        <v>252.52418390174873</v>
      </c>
      <c r="DS35" s="62">
        <f t="shared" si="17"/>
        <v>545.85751723508201</v>
      </c>
      <c r="DT35" s="62">
        <f ca="1">AVERAGE(OFFSET($DS$3,0,0,'Données projet'!$E$14+1,1))-AVERAGE(OFFSET($H$3,0,0,'Données projet'!$E$14+1,1))</f>
        <v>328.70784159273131</v>
      </c>
      <c r="DU35" s="62">
        <f t="shared" si="44"/>
        <v>193.18009444354601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62.431199999999983</v>
      </c>
      <c r="P36" s="14">
        <f t="shared" si="33"/>
        <v>17.781524466058684</v>
      </c>
      <c r="Q36" s="22">
        <f t="shared" si="53"/>
        <v>139.70382844505215</v>
      </c>
      <c r="R36" s="62">
        <f t="shared" si="0"/>
        <v>433.03716177838544</v>
      </c>
      <c r="S36" s="62">
        <f ca="1">AVERAGE(OFFSET($R$3,0,0,'Données projet'!$E$9+1,1))-AVERAGE(OFFSET($H$3,0,0,'Données projet'!$E$9+1,1))</f>
        <v>177.70053246230015</v>
      </c>
      <c r="T36" s="62">
        <f t="shared" si="34"/>
        <v>85.631326020763254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7.2</v>
      </c>
      <c r="AI36" s="14">
        <f>IF('Données projet'!$A$62&gt;35,AI35+AH36-AQ35,IF(A36&lt;'Données projet'!$A$62,$AF$205^A36,IF(A36='Données projet'!$A$62,'Données projet'!$B$62,AI35+AH36-AQ35)))</f>
        <v>120.6</v>
      </c>
      <c r="AJ36" s="14">
        <f>AI36*VLOOKUP('Données projet'!$B$10,Paramètres!$A$1:$I$89,3,0)*VLOOKUP('Données projet'!$B$10,Paramètres!$A$1:$I$89,5,0)</f>
        <v>105.35616</v>
      </c>
      <c r="AK36" s="14">
        <f t="shared" si="35"/>
        <v>28.234128165723941</v>
      </c>
      <c r="AL36" s="22">
        <f t="shared" si="4"/>
        <v>232.66975188863583</v>
      </c>
      <c r="AM36" s="62">
        <f t="shared" si="5"/>
        <v>526.00308522196917</v>
      </c>
      <c r="AN36" s="62">
        <f ca="1">AVERAGE(OFFSET($AM$3,0,0,'Données projet'!$E$10+1,1))-AVERAGE(OFFSET($H$3,0,0,'Données projet'!$E$10+1,1))</f>
        <v>212.11273590951606</v>
      </c>
      <c r="AO36" s="62">
        <f t="shared" si="36"/>
        <v>240.9595690943346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14.608083333333331</v>
      </c>
      <c r="BD36" s="13">
        <f>IF('Données projet'!$A$88&gt;35,BD35+BC36-BL35,IF(A36&lt;'Données projet'!$A$88,$BA$205^A36,IF(A36='Données projet'!$A$88,'Données projet'!$B$88,BD35+BC36-BL35)))</f>
        <v>229.42725000000004</v>
      </c>
      <c r="BE36" s="14">
        <f>BD36*VLOOKUP('Données projet'!$B$11,Paramètres!$A$1:$I$89,3,0)*VLOOKUP('Données projet'!$B$11,Paramètres!$A$1:$I$89,5,0)</f>
        <v>137.19749550000003</v>
      </c>
      <c r="BF36" s="14">
        <f t="shared" si="37"/>
        <v>35.654237463233287</v>
      </c>
      <c r="BG36" s="22">
        <f t="shared" si="7"/>
        <v>301.05010157763132</v>
      </c>
      <c r="BH36" s="62">
        <f t="shared" si="8"/>
        <v>594.38343491096464</v>
      </c>
      <c r="BI36" s="62">
        <f ca="1">AVERAGE(OFFSET($BH$3,0,0,'Données projet'!$E$11+1,1))-AVERAGE(OFFSET($H$3,0,0,'Données projet'!$E$11+1,1))</f>
        <v>172.49153247238672</v>
      </c>
      <c r="BJ36" s="62">
        <f t="shared" si="38"/>
        <v>301.94982606323254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27.207845742316248</v>
      </c>
      <c r="BQ36" s="23">
        <f>EXP(-LN(2)/25)*BQ35+(1-EXP(-LN(2)/25))/(LN(2)/25)*Calculateur!BL36*Calculateur!BN36*VLOOKUP('Données projet'!$B$11,Paramètres!$A$1:$I$89,3,0)*0.475*44/12</f>
        <v>12.725290561928823</v>
      </c>
      <c r="BR36" s="23">
        <f>EXP(-LN(2)/2)*BR35+(1-EXP(-LN(2)/2))/(LN(2)/2)*BL36*BO36*VLOOKUP('Données projet'!$B$11,Paramètres!$A$1:$I$89,3,0)*0.475*44/12</f>
        <v>2.0591036479841831</v>
      </c>
      <c r="BS36" s="24">
        <f t="shared" si="9"/>
        <v>41.992239952229248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149.40000000000003</v>
      </c>
      <c r="BZ36" s="14">
        <f>BY36*VLOOKUP('Données projet'!$B$12,Paramètres!$A$1:$I$89,3,0)*VLOOKUP('Données projet'!$B$12,Paramètres!$A$1:$I$89,5,0)</f>
        <v>85.45680000000003</v>
      </c>
      <c r="CA36" s="14">
        <f t="shared" si="39"/>
        <v>23.466233286749581</v>
      </c>
      <c r="CB36" s="22">
        <f t="shared" si="10"/>
        <v>189.70761630775556</v>
      </c>
      <c r="CC36" s="62">
        <f t="shared" si="11"/>
        <v>483.0409496410889</v>
      </c>
      <c r="CD36" s="62">
        <f ca="1">AVERAGE(OFFSET($CC$3,0,0,'Données projet'!$E$12+1,1))-AVERAGE(OFFSET($H$3,0,0,'Données projet'!$E$12+1,1))</f>
        <v>177.71338645688661</v>
      </c>
      <c r="CE36" s="62">
        <f t="shared" si="40"/>
        <v>153.65872713651345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1.6347268378316295</v>
      </c>
      <c r="CM36" s="23">
        <f>EXP(-LN(2)/2)*CM35+(1-EXP(-LN(2)/2))/(LN(2)/2)*CG36*CJ36*VLOOKUP('Données projet'!$B$12,Paramètres!$A$1:$I$89,3,0)*0.475*44/12</f>
        <v>0.24286382781942709</v>
      </c>
      <c r="CN36" s="24">
        <f t="shared" si="12"/>
        <v>1.8775906656510566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6.2</v>
      </c>
      <c r="CT36" s="13">
        <f>IF('Données projet'!$A$140&gt;35,CT35+CS36-DB35,IF(A36&lt;'Données projet'!$A$140,$CQ$205^A36,IF(A36='Données projet'!$A$140,'Données projet'!$B$140,CT35+CS36-DB35)))</f>
        <v>131.59999999999994</v>
      </c>
      <c r="CU36" s="18">
        <f>CT36*VLOOKUP('Données projet'!$B$13,Paramètres!$A$1:$I$89,3,0)*VLOOKUP('Données projet'!$B$13,Paramètres!$A$1:$I$89,5,0)</f>
        <v>86.224319999999963</v>
      </c>
      <c r="CV36" s="14">
        <f t="shared" si="41"/>
        <v>23.652363060428655</v>
      </c>
      <c r="CW36" s="22">
        <f t="shared" si="13"/>
        <v>191.36855633024649</v>
      </c>
      <c r="CX36" s="62">
        <f t="shared" si="14"/>
        <v>484.70188966357978</v>
      </c>
      <c r="CY36" s="62">
        <f ca="1">AVERAGE(OFFSET($CX$3,0,0,'Données projet'!$E$13+1,1))-AVERAGE(OFFSET($H$3,0,0,'Données projet'!$E$13+1,1))</f>
        <v>118.65321241325523</v>
      </c>
      <c r="CZ36" s="62">
        <f t="shared" si="42"/>
        <v>140.55041555757327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121</v>
      </c>
      <c r="DP36" s="18">
        <f>DO36*VLOOKUP('Données projet'!$B$14,Paramètres!$A$1:$I$89,3,0)*VLOOKUP('Données projet'!$B$14,Paramètres!$A$1:$I$89,5,0)</f>
        <v>122.69400000000002</v>
      </c>
      <c r="DQ36" s="14">
        <f t="shared" si="43"/>
        <v>32.302516360650685</v>
      </c>
      <c r="DR36" s="22">
        <f t="shared" si="16"/>
        <v>269.95226599479992</v>
      </c>
      <c r="DS36" s="62">
        <f t="shared" si="17"/>
        <v>563.28559932813323</v>
      </c>
      <c r="DT36" s="62">
        <f ca="1">AVERAGE(OFFSET($DS$3,0,0,'Données projet'!$E$14+1,1))-AVERAGE(OFFSET($H$3,0,0,'Données projet'!$E$14+1,1))</f>
        <v>328.70784159273131</v>
      </c>
      <c r="DU36" s="62">
        <f t="shared" si="44"/>
        <v>193.18009444354601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66.955199999999977</v>
      </c>
      <c r="P37" s="14">
        <f t="shared" si="33"/>
        <v>18.915380530436487</v>
      </c>
      <c r="Q37" s="22">
        <f t="shared" si="53"/>
        <v>149.55792775717683</v>
      </c>
      <c r="R37" s="62">
        <f t="shared" si="0"/>
        <v>442.89126109051017</v>
      </c>
      <c r="S37" s="62">
        <f ca="1">AVERAGE(OFFSET($R$3,0,0,'Données projet'!$E$9+1,1))-AVERAGE(OFFSET($H$3,0,0,'Données projet'!$E$9+1,1))</f>
        <v>177.70053246230015</v>
      </c>
      <c r="T37" s="62">
        <f t="shared" si="34"/>
        <v>85.631326020763254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7.2</v>
      </c>
      <c r="AI37" s="14">
        <f>IF('Données projet'!$A$62&gt;35,AI36+AH37-AQ36,IF(A37&lt;'Données projet'!$A$62,$AF$205^A37,IF(A37='Données projet'!$A$62,'Données projet'!$B$62,AI36+AH37-AQ36)))</f>
        <v>127.8</v>
      </c>
      <c r="AJ37" s="14">
        <f>AI37*VLOOKUP('Données projet'!$B$10,Paramètres!$A$1:$I$89,3,0)*VLOOKUP('Données projet'!$B$10,Paramètres!$A$1:$I$89,5,0)</f>
        <v>111.64608000000003</v>
      </c>
      <c r="AK37" s="14">
        <f t="shared" si="35"/>
        <v>29.718477955114288</v>
      </c>
      <c r="AL37" s="22">
        <f t="shared" si="4"/>
        <v>246.20993843849078</v>
      </c>
      <c r="AM37" s="62">
        <f t="shared" si="5"/>
        <v>539.54327177182404</v>
      </c>
      <c r="AN37" s="62">
        <f ca="1">AVERAGE(OFFSET($AM$3,0,0,'Données projet'!$E$10+1,1))-AVERAGE(OFFSET($H$3,0,0,'Données projet'!$E$10+1,1))</f>
        <v>212.11273590951606</v>
      </c>
      <c r="AO37" s="62">
        <f t="shared" si="36"/>
        <v>240.9595690943346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14.608083333333331</v>
      </c>
      <c r="BD37" s="13">
        <f>IF('Données projet'!$A$88&gt;35,BD36+BC37-BL36,IF(A37&lt;'Données projet'!$A$88,$BA$205^A37,IF(A37='Données projet'!$A$88,'Données projet'!$B$88,BD36+BC37-BL36)))</f>
        <v>244.03533333333337</v>
      </c>
      <c r="BE37" s="14">
        <f>BD37*VLOOKUP('Données projet'!$B$11,Paramètres!$A$1:$I$89,3,0)*VLOOKUP('Données projet'!$B$11,Paramètres!$A$1:$I$89,5,0)</f>
        <v>145.93312933333337</v>
      </c>
      <c r="BF37" s="14">
        <f t="shared" si="37"/>
        <v>37.652901384919694</v>
      </c>
      <c r="BG37" s="22">
        <f t="shared" si="7"/>
        <v>319.74567016762404</v>
      </c>
      <c r="BH37" s="62">
        <f t="shared" si="8"/>
        <v>613.07900350095736</v>
      </c>
      <c r="BI37" s="62">
        <f ca="1">AVERAGE(OFFSET($BH$3,0,0,'Données projet'!$E$11+1,1))-AVERAGE(OFFSET($H$3,0,0,'Données projet'!$E$11+1,1))</f>
        <v>172.49153247238672</v>
      </c>
      <c r="BJ37" s="62">
        <f t="shared" si="38"/>
        <v>301.94982606323254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26.674316482456696</v>
      </c>
      <c r="BQ37" s="23">
        <f>EXP(-LN(2)/25)*BQ36+(1-EXP(-LN(2)/25))/(LN(2)/25)*Calculateur!BL37*Calculateur!BN37*VLOOKUP('Données projet'!$B$11,Paramètres!$A$1:$I$89,3,0)*0.475*44/12</f>
        <v>12.377316822318933</v>
      </c>
      <c r="BR37" s="23">
        <f>EXP(-LN(2)/2)*BR36+(1-EXP(-LN(2)/2))/(LN(2)/2)*BL37*BO37*VLOOKUP('Données projet'!$B$11,Paramètres!$A$1:$I$89,3,0)*0.475*44/12</f>
        <v>1.4560061526555736</v>
      </c>
      <c r="BS37" s="24">
        <f t="shared" si="9"/>
        <v>40.507639457431203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160.20000000000005</v>
      </c>
      <c r="BZ37" s="14">
        <f>BY37*VLOOKUP('Données projet'!$B$12,Paramètres!$A$1:$I$89,3,0)*VLOOKUP('Données projet'!$B$12,Paramètres!$A$1:$I$89,5,0)</f>
        <v>91.634400000000028</v>
      </c>
      <c r="CA37" s="14">
        <f t="shared" si="39"/>
        <v>24.958989094949281</v>
      </c>
      <c r="CB37" s="22">
        <f t="shared" si="10"/>
        <v>203.06681934037002</v>
      </c>
      <c r="CC37" s="62">
        <f t="shared" si="11"/>
        <v>496.40015267370336</v>
      </c>
      <c r="CD37" s="62">
        <f ca="1">AVERAGE(OFFSET($CC$3,0,0,'Données projet'!$E$12+1,1))-AVERAGE(OFFSET($H$3,0,0,'Données projet'!$E$12+1,1))</f>
        <v>177.71338645688661</v>
      </c>
      <c r="CE37" s="62">
        <f t="shared" si="40"/>
        <v>153.65872713651345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1.5900251464845754</v>
      </c>
      <c r="CM37" s="23">
        <f>EXP(-LN(2)/2)*CM36+(1-EXP(-LN(2)/2))/(LN(2)/2)*CG37*CJ37*VLOOKUP('Données projet'!$B$12,Paramètres!$A$1:$I$89,3,0)*0.475*44/12</f>
        <v>0.171730659556039</v>
      </c>
      <c r="CN37" s="24">
        <f t="shared" si="12"/>
        <v>1.7617558060406144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6.2</v>
      </c>
      <c r="CT37" s="13">
        <f>IF('Données projet'!$A$140&gt;35,CT36+CS37-DB36,IF(A37&lt;'Données projet'!$A$140,$CQ$205^A37,IF(A37='Données projet'!$A$140,'Données projet'!$B$140,CT36+CS37-DB36)))</f>
        <v>137.79999999999993</v>
      </c>
      <c r="CU37" s="18">
        <f>CT37*VLOOKUP('Données projet'!$B$13,Paramètres!$A$1:$I$89,3,0)*VLOOKUP('Données projet'!$B$13,Paramètres!$A$1:$I$89,5,0)</f>
        <v>90.286559999999952</v>
      </c>
      <c r="CV37" s="14">
        <f t="shared" si="41"/>
        <v>24.634323573763073</v>
      </c>
      <c r="CW37" s="22">
        <f t="shared" si="13"/>
        <v>200.15387222430391</v>
      </c>
      <c r="CX37" s="62">
        <f t="shared" si="14"/>
        <v>493.48720555763725</v>
      </c>
      <c r="CY37" s="62">
        <f ca="1">AVERAGE(OFFSET($CX$3,0,0,'Données projet'!$E$13+1,1))-AVERAGE(OFFSET($H$3,0,0,'Données projet'!$E$13+1,1))</f>
        <v>118.65321241325523</v>
      </c>
      <c r="CZ37" s="62">
        <f t="shared" si="42"/>
        <v>140.55041555757327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129</v>
      </c>
      <c r="DP37" s="18">
        <f>DO37*VLOOKUP('Données projet'!$B$14,Paramètres!$A$1:$I$89,3,0)*VLOOKUP('Données projet'!$B$14,Paramètres!$A$1:$I$89,5,0)</f>
        <v>130.80600000000001</v>
      </c>
      <c r="DQ37" s="14">
        <f t="shared" si="43"/>
        <v>34.182535218254564</v>
      </c>
      <c r="DR37" s="22">
        <f t="shared" si="16"/>
        <v>287.35503217179337</v>
      </c>
      <c r="DS37" s="62">
        <f t="shared" si="17"/>
        <v>580.68836550512674</v>
      </c>
      <c r="DT37" s="62">
        <f ca="1">AVERAGE(OFFSET($DS$3,0,0,'Données projet'!$E$14+1,1))-AVERAGE(OFFSET($H$3,0,0,'Données projet'!$E$14+1,1))</f>
        <v>328.70784159273131</v>
      </c>
      <c r="DU37" s="62">
        <f t="shared" si="44"/>
        <v>193.18009444354601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71.479199999999977</v>
      </c>
      <c r="P38" s="14">
        <f t="shared" si="33"/>
        <v>20.040346808618612</v>
      </c>
      <c r="Q38" s="22">
        <f t="shared" si="53"/>
        <v>159.39654402501068</v>
      </c>
      <c r="R38" s="62">
        <f t="shared" si="0"/>
        <v>452.72987735834397</v>
      </c>
      <c r="S38" s="62">
        <f ca="1">AVERAGE(OFFSET($R$3,0,0,'Données projet'!$E$9+1,1))-AVERAGE(OFFSET($H$3,0,0,'Données projet'!$E$9+1,1))</f>
        <v>177.70053246230015</v>
      </c>
      <c r="T38" s="62">
        <f t="shared" si="34"/>
        <v>85.631326020763254</v>
      </c>
      <c r="U38" s="16">
        <f>IF(ISNA(VLOOKUP(A38,'Données projet'!$A$35:$I$55,3,0)),0,VLOOKUP(A38,'Données projet'!$A$35:$I$55,3,0))</f>
        <v>1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135</v>
      </c>
      <c r="AG38" s="13">
        <f>VLOOKUP(A38,'Données projet'!$A$61:$I$81,9,0)</f>
        <v>7.2</v>
      </c>
      <c r="AH38" s="13">
        <f t="array" ref="AH38">INDEX(AG:AG,MIN(IF(ISNUMBER(AG38:AG234),ROW(AG38:AG234),"")))</f>
        <v>7.2</v>
      </c>
      <c r="AI38" s="14">
        <f>IF('Données projet'!$A$62&gt;35,AI37+AH38-AQ37,IF(A38&lt;'Données projet'!$A$62,$AF$205^A38,IF(A38='Données projet'!$A$62,'Données projet'!$B$62,AI37+AH38-AQ37)))</f>
        <v>135</v>
      </c>
      <c r="AJ38" s="14">
        <f>AI38*VLOOKUP('Données projet'!$B$10,Paramètres!$A$1:$I$89,3,0)*VLOOKUP('Données projet'!$B$10,Paramètres!$A$1:$I$89,5,0)</f>
        <v>117.93600000000002</v>
      </c>
      <c r="AK38" s="14">
        <f t="shared" si="35"/>
        <v>31.1931201812605</v>
      </c>
      <c r="AL38" s="22">
        <f t="shared" si="4"/>
        <v>259.73321764902875</v>
      </c>
      <c r="AM38" s="62">
        <f t="shared" si="5"/>
        <v>553.06655098236206</v>
      </c>
      <c r="AN38" s="62">
        <f ca="1">AVERAGE(OFFSET($AM$3,0,0,'Données projet'!$E$10+1,1))-AVERAGE(OFFSET($H$3,0,0,'Données projet'!$E$10+1,1))</f>
        <v>212.11273590951606</v>
      </c>
      <c r="AO38" s="62">
        <f t="shared" si="36"/>
        <v>240.9595690943346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14.608083333333331</v>
      </c>
      <c r="BD38" s="13">
        <f>IF('Données projet'!$A$88&gt;35,BD37+BC38-BL37,IF(A38&lt;'Données projet'!$A$88,$BA$205^A38,IF(A38='Données projet'!$A$88,'Données projet'!$B$88,BD37+BC38-BL37)))</f>
        <v>258.64341666666672</v>
      </c>
      <c r="BE38" s="14">
        <f>BD38*VLOOKUP('Données projet'!$B$11,Paramètres!$A$1:$I$89,3,0)*VLOOKUP('Données projet'!$B$11,Paramètres!$A$1:$I$89,5,0)</f>
        <v>154.66876316666671</v>
      </c>
      <c r="BF38" s="14">
        <f t="shared" si="37"/>
        <v>39.637678737553891</v>
      </c>
      <c r="BG38" s="22">
        <f t="shared" si="7"/>
        <v>338.41705298318419</v>
      </c>
      <c r="BH38" s="62">
        <f t="shared" si="8"/>
        <v>631.75038631651751</v>
      </c>
      <c r="BI38" s="62">
        <f ca="1">AVERAGE(OFFSET($BH$3,0,0,'Données projet'!$E$11+1,1))-AVERAGE(OFFSET($H$3,0,0,'Données projet'!$E$11+1,1))</f>
        <v>172.49153247238672</v>
      </c>
      <c r="BJ38" s="62">
        <f t="shared" si="38"/>
        <v>301.94982606323254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26.151249405962272</v>
      </c>
      <c r="BQ38" s="23">
        <f>EXP(-LN(2)/25)*BQ37+(1-EXP(-LN(2)/25))/(LN(2)/25)*Calculateur!BL38*Calculateur!BN38*VLOOKUP('Données projet'!$B$11,Paramètres!$A$1:$I$89,3,0)*0.475*44/12</f>
        <v>12.038858442917819</v>
      </c>
      <c r="BR38" s="23">
        <f>EXP(-LN(2)/2)*BR37+(1-EXP(-LN(2)/2))/(LN(2)/2)*BL38*BO38*VLOOKUP('Données projet'!$B$11,Paramètres!$A$1:$I$89,3,0)*0.475*44/12</f>
        <v>1.0295518239920918</v>
      </c>
      <c r="BS38" s="24">
        <f t="shared" si="9"/>
        <v>39.219659672872183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171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171.00000000000006</v>
      </c>
      <c r="BZ38" s="14">
        <f>BY38*VLOOKUP('Données projet'!$B$12,Paramètres!$A$1:$I$89,3,0)*VLOOKUP('Données projet'!$B$12,Paramètres!$A$1:$I$89,5,0)</f>
        <v>97.81200000000004</v>
      </c>
      <c r="CA38" s="14">
        <f t="shared" si="39"/>
        <v>26.440067470123285</v>
      </c>
      <c r="CB38" s="22">
        <f t="shared" si="10"/>
        <v>216.40568417713143</v>
      </c>
      <c r="CC38" s="62">
        <f t="shared" si="11"/>
        <v>509.73901751046475</v>
      </c>
      <c r="CD38" s="62">
        <f ca="1">AVERAGE(OFFSET($CC$3,0,0,'Données projet'!$E$12+1,1))-AVERAGE(OFFSET($H$3,0,0,'Données projet'!$E$12+1,1))</f>
        <v>177.71338645688661</v>
      </c>
      <c r="CE38" s="62">
        <f t="shared" si="40"/>
        <v>153.65872713651345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1.5465458252381663</v>
      </c>
      <c r="CM38" s="23">
        <f>EXP(-LN(2)/2)*CM37+(1-EXP(-LN(2)/2))/(LN(2)/2)*CG38*CJ38*VLOOKUP('Données projet'!$B$12,Paramètres!$A$1:$I$89,3,0)*0.475*44/12</f>
        <v>0.12143191390971357</v>
      </c>
      <c r="CN38" s="24">
        <f t="shared" si="12"/>
        <v>1.6679777391478798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144</v>
      </c>
      <c r="CR38" s="13">
        <f>VLOOKUP(A38,'Données projet'!$A$139:$I$159,9,0)</f>
        <v>6.2</v>
      </c>
      <c r="CS38" s="13">
        <f t="array" ref="CS38">INDEX(CR:CR,MIN(IF(ISNUMBER(CR38:CR234),ROW(CR38:CR234),"")))</f>
        <v>6.2</v>
      </c>
      <c r="CT38" s="13">
        <f>IF('Données projet'!$A$140&gt;35,CT37+CS38-DB37,IF(A38&lt;'Données projet'!$A$140,$CQ$205^A38,IF(A38='Données projet'!$A$140,'Données projet'!$B$140,CT37+CS38-DB37)))</f>
        <v>143.99999999999991</v>
      </c>
      <c r="CU38" s="18">
        <f>CT38*VLOOKUP('Données projet'!$B$13,Paramètres!$A$1:$I$89,3,0)*VLOOKUP('Données projet'!$B$13,Paramètres!$A$1:$I$89,5,0)</f>
        <v>94.34879999999994</v>
      </c>
      <c r="CV38" s="14">
        <f t="shared" si="41"/>
        <v>25.611153022386439</v>
      </c>
      <c r="CW38" s="22">
        <f t="shared" si="13"/>
        <v>208.93025151398959</v>
      </c>
      <c r="CX38" s="62">
        <f t="shared" si="14"/>
        <v>502.26358484732293</v>
      </c>
      <c r="CY38" s="62">
        <f ca="1">AVERAGE(OFFSET($CX$3,0,0,'Données projet'!$E$13+1,1))-AVERAGE(OFFSET($H$3,0,0,'Données projet'!$E$13+1,1))</f>
        <v>118.65321241325523</v>
      </c>
      <c r="CZ38" s="62">
        <f t="shared" si="42"/>
        <v>140.55041555757327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35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137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137</v>
      </c>
      <c r="DP38" s="18">
        <f>DO38*VLOOKUP('Données projet'!$B$14,Paramètres!$A$1:$I$89,3,0)*VLOOKUP('Données projet'!$B$14,Paramètres!$A$1:$I$89,5,0)</f>
        <v>138.91800000000001</v>
      </c>
      <c r="DQ38" s="14">
        <f t="shared" si="43"/>
        <v>36.049022673886341</v>
      </c>
      <c r="DR38" s="22">
        <f t="shared" si="16"/>
        <v>304.73423115701871</v>
      </c>
      <c r="DS38" s="62">
        <f t="shared" si="17"/>
        <v>598.06756449035197</v>
      </c>
      <c r="DT38" s="62">
        <f ca="1">AVERAGE(OFFSET($DS$3,0,0,'Données projet'!$E$14+1,1))-AVERAGE(OFFSET($H$3,0,0,'Données projet'!$E$14+1,1))</f>
        <v>328.70784159273131</v>
      </c>
      <c r="DU38" s="62">
        <f t="shared" si="44"/>
        <v>193.18009444354601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42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64.602719999999991</v>
      </c>
      <c r="P39" s="14">
        <f t="shared" si="33"/>
        <v>18.326928056848999</v>
      </c>
      <c r="Q39" s="22">
        <f t="shared" si="53"/>
        <v>144.43580369901198</v>
      </c>
      <c r="R39" s="62">
        <f t="shared" si="0"/>
        <v>437.76913703234527</v>
      </c>
      <c r="S39" s="62">
        <f ca="1">AVERAGE(OFFSET($R$3,0,0,'Données projet'!$E$9+1,1))-AVERAGE(OFFSET($H$3,0,0,'Données projet'!$E$9+1,1))</f>
        <v>177.70053246230015</v>
      </c>
      <c r="T39" s="62">
        <f t="shared" si="34"/>
        <v>85.631326020763254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142</v>
      </c>
      <c r="AJ39" s="14">
        <f>AI39*VLOOKUP('Données projet'!$B$10,Paramètres!$A$1:$I$89,3,0)*VLOOKUP('Données projet'!$B$10,Paramètres!$A$1:$I$89,5,0)</f>
        <v>124.05120000000002</v>
      </c>
      <c r="AK39" s="14">
        <f t="shared" si="35"/>
        <v>32.618041559366006</v>
      </c>
      <c r="AL39" s="22">
        <f t="shared" si="4"/>
        <v>272.86559571589578</v>
      </c>
      <c r="AM39" s="62">
        <f t="shared" si="5"/>
        <v>566.19892904922904</v>
      </c>
      <c r="AN39" s="62">
        <f ca="1">AVERAGE(OFFSET($AM$3,0,0,'Données projet'!$E$10+1,1))-AVERAGE(OFFSET($H$3,0,0,'Données projet'!$E$10+1,1))</f>
        <v>212.11273590951606</v>
      </c>
      <c r="AO39" s="62">
        <f t="shared" si="36"/>
        <v>240.9595690943346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14.608083333333331</v>
      </c>
      <c r="BD39" s="13">
        <f>IF('Données projet'!$A$88&gt;35,BD38+BC39-BL38,IF(A39&lt;'Données projet'!$A$88,$BA$205^A39,IF(A39='Données projet'!$A$88,'Données projet'!$B$88,BD38+BC39-BL38)))</f>
        <v>273.25150000000008</v>
      </c>
      <c r="BE39" s="14">
        <f>BD39*VLOOKUP('Données projet'!$B$11,Paramètres!$A$1:$I$89,3,0)*VLOOKUP('Données projet'!$B$11,Paramètres!$A$1:$I$89,5,0)</f>
        <v>163.40439700000005</v>
      </c>
      <c r="BF39" s="14">
        <f t="shared" si="37"/>
        <v>41.60944320552111</v>
      </c>
      <c r="BG39" s="22">
        <f t="shared" si="7"/>
        <v>357.06577169128269</v>
      </c>
      <c r="BH39" s="62">
        <f t="shared" si="8"/>
        <v>650.39910502461601</v>
      </c>
      <c r="BI39" s="62">
        <f ca="1">AVERAGE(OFFSET($BH$3,0,0,'Données projet'!$E$11+1,1))-AVERAGE(OFFSET($H$3,0,0,'Données projet'!$E$11+1,1))</f>
        <v>172.49153247238672</v>
      </c>
      <c r="BJ39" s="62">
        <f t="shared" si="38"/>
        <v>301.94982606323254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25.638439355798489</v>
      </c>
      <c r="BQ39" s="23">
        <f>EXP(-LN(2)/25)*BQ38+(1-EXP(-LN(2)/25))/(LN(2)/25)*Calculateur!BL39*Calculateur!BN39*VLOOKUP('Données projet'!$B$11,Paramètres!$A$1:$I$89,3,0)*0.475*44/12</f>
        <v>11.709655225700182</v>
      </c>
      <c r="BR39" s="23">
        <f>EXP(-LN(2)/2)*BR38+(1-EXP(-LN(2)/2))/(LN(2)/2)*BL39*BO39*VLOOKUP('Données projet'!$B$11,Paramètres!$A$1:$I$89,3,0)*0.475*44/12</f>
        <v>0.72800307632778694</v>
      </c>
      <c r="BS39" s="24">
        <f t="shared" si="9"/>
        <v>38.076097657826459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12.8</v>
      </c>
      <c r="BY39" s="13">
        <f>IF('Données projet'!$A$114&gt;35,BY38+BX39-CG38,IF(A39&lt;'Données projet'!$A$114,$BV$205^A39,IF(A39='Données projet'!$A$114,'Données projet'!$B$114,BY38+BX39-CG38)))</f>
        <v>155.80000000000007</v>
      </c>
      <c r="BZ39" s="14">
        <f>BY39*VLOOKUP('Données projet'!$B$12,Paramètres!$A$1:$I$89,3,0)*VLOOKUP('Données projet'!$B$12,Paramètres!$A$1:$I$89,5,0)</f>
        <v>89.117600000000053</v>
      </c>
      <c r="CA39" s="14">
        <f t="shared" si="39"/>
        <v>24.352289481248235</v>
      </c>
      <c r="CB39" s="22">
        <f t="shared" si="10"/>
        <v>197.62672417984075</v>
      </c>
      <c r="CC39" s="62">
        <f t="shared" si="11"/>
        <v>490.96005751317409</v>
      </c>
      <c r="CD39" s="62">
        <f ca="1">AVERAGE(OFFSET($CC$3,0,0,'Données projet'!$E$12+1,1))-AVERAGE(OFFSET($H$3,0,0,'Données projet'!$E$12+1,1))</f>
        <v>177.71338645688661</v>
      </c>
      <c r="CE39" s="62">
        <f t="shared" si="40"/>
        <v>153.65872713651345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1.5042554483177184</v>
      </c>
      <c r="CM39" s="23">
        <f>EXP(-LN(2)/2)*CM38+(1-EXP(-LN(2)/2))/(LN(2)/2)*CG39*CJ39*VLOOKUP('Données projet'!$B$12,Paramètres!$A$1:$I$89,3,0)*0.475*44/12</f>
        <v>8.5865329778019514E-2</v>
      </c>
      <c r="CN39" s="24">
        <f t="shared" si="12"/>
        <v>1.5901207780957378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</v>
      </c>
      <c r="CT39" s="13">
        <f>IF('Données projet'!$A$140&gt;35,CT38+CS39-DB38,IF(A39&lt;'Données projet'!$A$140,$CQ$205^A39,IF(A39='Données projet'!$A$140,'Données projet'!$B$140,CT38+CS39-DB38)))</f>
        <v>114.99999999999991</v>
      </c>
      <c r="CU39" s="18">
        <f>CT39*VLOOKUP('Données projet'!$B$13,Paramètres!$A$1:$I$89,3,0)*VLOOKUP('Données projet'!$B$13,Paramètres!$A$1:$I$89,5,0)</f>
        <v>75.347999999999942</v>
      </c>
      <c r="CV39" s="14">
        <f t="shared" si="41"/>
        <v>20.995810517717022</v>
      </c>
      <c r="CW39" s="22">
        <f t="shared" si="13"/>
        <v>167.79880331835705</v>
      </c>
      <c r="CX39" s="62">
        <f t="shared" si="14"/>
        <v>461.13213665169036</v>
      </c>
      <c r="CY39" s="62">
        <f ca="1">AVERAGE(OFFSET($CX$3,0,0,'Données projet'!$E$13+1,1))-AVERAGE(OFFSET($H$3,0,0,'Données projet'!$E$13+1,1))</f>
        <v>118.65321241325523</v>
      </c>
      <c r="CZ39" s="62">
        <f t="shared" si="42"/>
        <v>140.55041555757327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103.4</v>
      </c>
      <c r="DP39" s="18">
        <f>DO39*VLOOKUP('Données projet'!$B$14,Paramètres!$A$1:$I$89,3,0)*VLOOKUP('Données projet'!$B$14,Paramètres!$A$1:$I$89,5,0)</f>
        <v>104.84760000000001</v>
      </c>
      <c r="DQ39" s="14">
        <f t="shared" si="43"/>
        <v>28.113670466115643</v>
      </c>
      <c r="DR39" s="22">
        <f t="shared" si="16"/>
        <v>231.57421272848475</v>
      </c>
      <c r="DS39" s="62">
        <f t="shared" si="17"/>
        <v>524.90754606181804</v>
      </c>
      <c r="DT39" s="62">
        <f ca="1">AVERAGE(OFFSET($DS$3,0,0,'Données projet'!$E$14+1,1))-AVERAGE(OFFSET($H$3,0,0,'Données projet'!$E$14+1,1))</f>
        <v>328.70784159273131</v>
      </c>
      <c r="DU39" s="62">
        <f t="shared" si="44"/>
        <v>193.18009444354601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69.488640000000004</v>
      </c>
      <c r="P40" s="14">
        <f t="shared" si="33"/>
        <v>19.546414723012209</v>
      </c>
      <c r="Q40" s="22">
        <f t="shared" si="53"/>
        <v>155.06938697591292</v>
      </c>
      <c r="R40" s="62">
        <f t="shared" si="0"/>
        <v>448.40272030924621</v>
      </c>
      <c r="S40" s="62">
        <f ca="1">AVERAGE(OFFSET($R$3,0,0,'Données projet'!$E$9+1,1))-AVERAGE(OFFSET($H$3,0,0,'Données projet'!$E$9+1,1))</f>
        <v>177.70053246230015</v>
      </c>
      <c r="T40" s="62">
        <f t="shared" si="34"/>
        <v>85.631326020763254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149</v>
      </c>
      <c r="AJ40" s="14">
        <f>AI40*VLOOKUP('Données projet'!$B$10,Paramètres!$A$1:$I$89,3,0)*VLOOKUP('Données projet'!$B$10,Paramètres!$A$1:$I$89,5,0)</f>
        <v>130.16640000000001</v>
      </c>
      <c r="AK40" s="14">
        <f t="shared" si="35"/>
        <v>34.034806623706274</v>
      </c>
      <c r="AL40" s="22">
        <f t="shared" si="4"/>
        <v>285.9837682029551</v>
      </c>
      <c r="AM40" s="62">
        <f t="shared" si="5"/>
        <v>579.31710153628842</v>
      </c>
      <c r="AN40" s="62">
        <f ca="1">AVERAGE(OFFSET($AM$3,0,0,'Données projet'!$E$10+1,1))-AVERAGE(OFFSET($H$3,0,0,'Données projet'!$E$10+1,1))</f>
        <v>212.11273590951606</v>
      </c>
      <c r="AO40" s="62">
        <f t="shared" si="36"/>
        <v>240.9595690943346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14.608083333333331</v>
      </c>
      <c r="BD40" s="13">
        <f>IF('Données projet'!$A$88&gt;35,BD39+BC40-BL39,IF(A40&lt;'Données projet'!$A$88,$BA$205^A40,IF(A40='Données projet'!$A$88,'Données projet'!$B$88,BD39+BC40-BL39)))</f>
        <v>287.85958333333343</v>
      </c>
      <c r="BE40" s="14">
        <f>BD40*VLOOKUP('Données projet'!$B$11,Paramètres!$A$1:$I$89,3,0)*VLOOKUP('Données projet'!$B$11,Paramètres!$A$1:$I$89,5,0)</f>
        <v>172.14003083333338</v>
      </c>
      <c r="BF40" s="14">
        <f t="shared" si="37"/>
        <v>43.568969782584112</v>
      </c>
      <c r="BG40" s="22">
        <f t="shared" si="7"/>
        <v>375.69317607272296</v>
      </c>
      <c r="BH40" s="62">
        <f t="shared" si="8"/>
        <v>669.02650940605622</v>
      </c>
      <c r="BI40" s="62">
        <f ca="1">AVERAGE(OFFSET($BH$3,0,0,'Données projet'!$E$11+1,1))-AVERAGE(OFFSET($H$3,0,0,'Données projet'!$E$11+1,1))</f>
        <v>172.49153247238672</v>
      </c>
      <c r="BJ40" s="62">
        <f t="shared" si="38"/>
        <v>301.94982606323254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25.135685197935175</v>
      </c>
      <c r="BQ40" s="23">
        <f>EXP(-LN(2)/25)*BQ39+(1-EXP(-LN(2)/25))/(LN(2)/25)*Calculateur!BL40*Calculateur!BN40*VLOOKUP('Données projet'!$B$11,Paramètres!$A$1:$I$89,3,0)*0.475*44/12</f>
        <v>11.389454087769405</v>
      </c>
      <c r="BR40" s="23">
        <f>EXP(-LN(2)/2)*BR39+(1-EXP(-LN(2)/2))/(LN(2)/2)*BL40*BO40*VLOOKUP('Données projet'!$B$11,Paramètres!$A$1:$I$89,3,0)*0.475*44/12</f>
        <v>0.51477591199604589</v>
      </c>
      <c r="BS40" s="24">
        <f t="shared" si="9"/>
        <v>37.03991519770063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12.8</v>
      </c>
      <c r="BY40" s="13">
        <f>IF('Données projet'!$A$114&gt;35,BY39+BX40-CG39,IF(A40&lt;'Données projet'!$A$114,$BV$205^A40,IF(A40='Données projet'!$A$114,'Données projet'!$B$114,BY39+BX40-CG39)))</f>
        <v>168.60000000000008</v>
      </c>
      <c r="BZ40" s="14">
        <f>BY40*VLOOKUP('Données projet'!$B$12,Paramètres!$A$1:$I$89,3,0)*VLOOKUP('Données projet'!$B$12,Paramètres!$A$1:$I$89,5,0)</f>
        <v>96.439200000000056</v>
      </c>
      <c r="CA40" s="14">
        <f t="shared" si="39"/>
        <v>26.111904277671179</v>
      </c>
      <c r="CB40" s="22">
        <f t="shared" si="10"/>
        <v>213.44317328361072</v>
      </c>
      <c r="CC40" s="62">
        <f t="shared" si="11"/>
        <v>506.77650661694406</v>
      </c>
      <c r="CD40" s="62">
        <f ca="1">AVERAGE(OFFSET($CC$3,0,0,'Données projet'!$E$12+1,1))-AVERAGE(OFFSET($H$3,0,0,'Données projet'!$E$12+1,1))</f>
        <v>177.71338645688661</v>
      </c>
      <c r="CE40" s="62">
        <f t="shared" si="40"/>
        <v>153.65872713651345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1.4631215039781145</v>
      </c>
      <c r="CM40" s="23">
        <f>EXP(-LN(2)/2)*CM39+(1-EXP(-LN(2)/2))/(LN(2)/2)*CG40*CJ40*VLOOKUP('Données projet'!$B$12,Paramètres!$A$1:$I$89,3,0)*0.475*44/12</f>
        <v>6.0715956954856792E-2</v>
      </c>
      <c r="CN40" s="24">
        <f t="shared" si="12"/>
        <v>1.5238374609329712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</v>
      </c>
      <c r="CT40" s="13">
        <f>IF('Données projet'!$A$140&gt;35,CT39+CS40-DB39,IF(A40&lt;'Données projet'!$A$140,$CQ$205^A40,IF(A40='Données projet'!$A$140,'Données projet'!$B$140,CT39+CS40-DB39)))</f>
        <v>120.99999999999991</v>
      </c>
      <c r="CU40" s="18">
        <f>CT40*VLOOKUP('Données projet'!$B$13,Paramètres!$A$1:$I$89,3,0)*VLOOKUP('Données projet'!$B$13,Paramètres!$A$1:$I$89,5,0)</f>
        <v>79.279199999999946</v>
      </c>
      <c r="CV40" s="14">
        <f t="shared" si="41"/>
        <v>21.960852053344627</v>
      </c>
      <c r="CW40" s="22">
        <f t="shared" si="13"/>
        <v>176.32642399290845</v>
      </c>
      <c r="CX40" s="62">
        <f t="shared" si="14"/>
        <v>469.65975732624179</v>
      </c>
      <c r="CY40" s="62">
        <f ca="1">AVERAGE(OFFSET($CX$3,0,0,'Données projet'!$E$13+1,1))-AVERAGE(OFFSET($H$3,0,0,'Données projet'!$E$13+1,1))</f>
        <v>118.65321241325523</v>
      </c>
      <c r="CZ40" s="62">
        <f t="shared" si="42"/>
        <v>140.55041555757327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111.80000000000001</v>
      </c>
      <c r="DP40" s="18">
        <f>DO40*VLOOKUP('Données projet'!$B$14,Paramètres!$A$1:$I$89,3,0)*VLOOKUP('Données projet'!$B$14,Paramètres!$A$1:$I$89,5,0)</f>
        <v>113.36520000000003</v>
      </c>
      <c r="DQ40" s="14">
        <f t="shared" si="43"/>
        <v>30.122456058687614</v>
      </c>
      <c r="DR40" s="22">
        <f t="shared" si="16"/>
        <v>249.9076676355476</v>
      </c>
      <c r="DS40" s="62">
        <f t="shared" si="17"/>
        <v>543.24100096888094</v>
      </c>
      <c r="DT40" s="62">
        <f ca="1">AVERAGE(OFFSET($DS$3,0,0,'Données projet'!$E$14+1,1))-AVERAGE(OFFSET($H$3,0,0,'Données projet'!$E$14+1,1))</f>
        <v>328.70784159273131</v>
      </c>
      <c r="DU40" s="62">
        <f t="shared" si="44"/>
        <v>193.18009444354601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74.374559999999988</v>
      </c>
      <c r="P41" s="14">
        <f t="shared" si="33"/>
        <v>20.755952735382312</v>
      </c>
      <c r="Q41" s="22">
        <f t="shared" si="53"/>
        <v>165.68564301412417</v>
      </c>
      <c r="R41" s="62">
        <f t="shared" si="0"/>
        <v>459.01897634745751</v>
      </c>
      <c r="S41" s="62">
        <f ca="1">AVERAGE(OFFSET($R$3,0,0,'Données projet'!$E$9+1,1))-AVERAGE(OFFSET($H$3,0,0,'Données projet'!$E$9+1,1))</f>
        <v>177.70053246230015</v>
      </c>
      <c r="T41" s="62">
        <f t="shared" si="34"/>
        <v>85.631326020763254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156</v>
      </c>
      <c r="AJ41" s="14">
        <f>AI41*VLOOKUP('Données projet'!$B$10,Paramètres!$A$1:$I$89,3,0)*VLOOKUP('Données projet'!$B$10,Paramètres!$A$1:$I$89,5,0)</f>
        <v>136.28160000000003</v>
      </c>
      <c r="AK41" s="14">
        <f t="shared" si="35"/>
        <v>35.443842312892279</v>
      </c>
      <c r="AL41" s="22">
        <f t="shared" si="4"/>
        <v>299.08847869495412</v>
      </c>
      <c r="AM41" s="62">
        <f t="shared" si="5"/>
        <v>592.42181202828738</v>
      </c>
      <c r="AN41" s="62">
        <f ca="1">AVERAGE(OFFSET($AM$3,0,0,'Données projet'!$E$10+1,1))-AVERAGE(OFFSET($H$3,0,0,'Données projet'!$E$10+1,1))</f>
        <v>212.11273590951606</v>
      </c>
      <c r="AO41" s="62">
        <f t="shared" si="36"/>
        <v>240.9595690943346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14.608083333333331</v>
      </c>
      <c r="BD41" s="13">
        <f>IF('Données projet'!$A$88&gt;35,BD40+BC41-BL40,IF(A41&lt;'Données projet'!$A$88,$BA$205^A41,IF(A41='Données projet'!$A$88,'Données projet'!$B$88,BD40+BC41-BL40)))</f>
        <v>302.46766666666679</v>
      </c>
      <c r="BE41" s="14">
        <f>BD41*VLOOKUP('Données projet'!$B$11,Paramètres!$A$1:$I$89,3,0)*VLOOKUP('Données projet'!$B$11,Paramètres!$A$1:$I$89,5,0)</f>
        <v>180.87566466666675</v>
      </c>
      <c r="BF41" s="14">
        <f t="shared" si="37"/>
        <v>45.51695036185253</v>
      </c>
      <c r="BG41" s="22">
        <f t="shared" si="7"/>
        <v>394.30047117467115</v>
      </c>
      <c r="BH41" s="62">
        <f t="shared" si="8"/>
        <v>687.63380450800446</v>
      </c>
      <c r="BI41" s="62">
        <f ca="1">AVERAGE(OFFSET($BH$3,0,0,'Données projet'!$E$11+1,1))-AVERAGE(OFFSET($H$3,0,0,'Données projet'!$E$11+1,1))</f>
        <v>172.49153247238672</v>
      </c>
      <c r="BJ41" s="62">
        <f t="shared" si="38"/>
        <v>301.94982606323254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24.642789742457801</v>
      </c>
      <c r="BQ41" s="23">
        <f>EXP(-LN(2)/25)*BQ40+(1-EXP(-LN(2)/25))/(LN(2)/25)*Calculateur!BL41*Calculateur!BN41*VLOOKUP('Données projet'!$B$11,Paramètres!$A$1:$I$89,3,0)*0.475*44/12</f>
        <v>11.078008866793992</v>
      </c>
      <c r="BR41" s="23">
        <f>EXP(-LN(2)/2)*BR40+(1-EXP(-LN(2)/2))/(LN(2)/2)*BL41*BO41*VLOOKUP('Données projet'!$B$11,Paramètres!$A$1:$I$89,3,0)*0.475*44/12</f>
        <v>0.36400153816389347</v>
      </c>
      <c r="BS41" s="24">
        <f t="shared" si="9"/>
        <v>36.084800147415685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12.8</v>
      </c>
      <c r="BY41" s="13">
        <f>IF('Données projet'!$A$114&gt;35,BY40+BX41-CG40,IF(A41&lt;'Données projet'!$A$114,$BV$205^A41,IF(A41='Données projet'!$A$114,'Données projet'!$B$114,BY40+BX41-CG40)))</f>
        <v>181.40000000000009</v>
      </c>
      <c r="BZ41" s="14">
        <f>BY41*VLOOKUP('Données projet'!$B$12,Paramètres!$A$1:$I$89,3,0)*VLOOKUP('Données projet'!$B$12,Paramètres!$A$1:$I$89,5,0)</f>
        <v>103.76080000000006</v>
      </c>
      <c r="CA41" s="14">
        <f t="shared" si="39"/>
        <v>27.856022138389424</v>
      </c>
      <c r="CB41" s="22">
        <f t="shared" si="10"/>
        <v>229.23263189102838</v>
      </c>
      <c r="CC41" s="62">
        <f t="shared" si="11"/>
        <v>522.56596522436166</v>
      </c>
      <c r="CD41" s="62">
        <f ca="1">AVERAGE(OFFSET($CC$3,0,0,'Données projet'!$E$12+1,1))-AVERAGE(OFFSET($H$3,0,0,'Données projet'!$E$12+1,1))</f>
        <v>177.71338645688661</v>
      </c>
      <c r="CE41" s="62">
        <f t="shared" si="40"/>
        <v>153.65872713651345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1.4231123695096171</v>
      </c>
      <c r="CM41" s="23">
        <f>EXP(-LN(2)/2)*CM40+(1-EXP(-LN(2)/2))/(LN(2)/2)*CG41*CJ41*VLOOKUP('Données projet'!$B$12,Paramètres!$A$1:$I$89,3,0)*0.475*44/12</f>
        <v>4.2932664889009764E-2</v>
      </c>
      <c r="CN41" s="24">
        <f t="shared" si="12"/>
        <v>1.4660450343986269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</v>
      </c>
      <c r="CT41" s="13">
        <f>IF('Données projet'!$A$140&gt;35,CT40+CS41-DB40,IF(A41&lt;'Données projet'!$A$140,$CQ$205^A41,IF(A41='Données projet'!$A$140,'Données projet'!$B$140,CT40+CS41-DB40)))</f>
        <v>126.99999999999991</v>
      </c>
      <c r="CU41" s="18">
        <f>CT41*VLOOKUP('Données projet'!$B$13,Paramètres!$A$1:$I$89,3,0)*VLOOKUP('Données projet'!$B$13,Paramètres!$A$1:$I$89,5,0)</f>
        <v>83.210399999999936</v>
      </c>
      <c r="CV41" s="14">
        <f t="shared" si="41"/>
        <v>22.920337105048574</v>
      </c>
      <c r="CW41" s="22">
        <f t="shared" si="13"/>
        <v>184.84436712462616</v>
      </c>
      <c r="CX41" s="62">
        <f t="shared" si="14"/>
        <v>478.17770045795947</v>
      </c>
      <c r="CY41" s="62">
        <f ca="1">AVERAGE(OFFSET($CX$3,0,0,'Données projet'!$E$13+1,1))-AVERAGE(OFFSET($H$3,0,0,'Données projet'!$E$13+1,1))</f>
        <v>118.65321241325523</v>
      </c>
      <c r="CZ41" s="62">
        <f t="shared" si="42"/>
        <v>140.55041555757327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120.20000000000002</v>
      </c>
      <c r="DP41" s="18">
        <f>DO41*VLOOKUP('Données projet'!$B$14,Paramètres!$A$1:$I$89,3,0)*VLOOKUP('Données projet'!$B$14,Paramètres!$A$1:$I$89,5,0)</f>
        <v>121.88280000000002</v>
      </c>
      <c r="DQ41" s="14">
        <f t="shared" si="43"/>
        <v>32.113732800054677</v>
      </c>
      <c r="DR41" s="22">
        <f t="shared" si="16"/>
        <v>268.21062796009522</v>
      </c>
      <c r="DS41" s="62">
        <f t="shared" si="17"/>
        <v>561.54396129342854</v>
      </c>
      <c r="DT41" s="62">
        <f ca="1">AVERAGE(OFFSET($DS$3,0,0,'Données projet'!$E$14+1,1))-AVERAGE(OFFSET($H$3,0,0,'Données projet'!$E$14+1,1))</f>
        <v>328.70784159273131</v>
      </c>
      <c r="DU41" s="62">
        <f t="shared" si="44"/>
        <v>193.18009444354601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79.260480000000001</v>
      </c>
      <c r="P42" s="14">
        <f t="shared" si="33"/>
        <v>21.956270028417133</v>
      </c>
      <c r="Q42" s="22">
        <f t="shared" si="53"/>
        <v>176.28583963282651</v>
      </c>
      <c r="R42" s="62">
        <f t="shared" si="0"/>
        <v>469.61917296615979</v>
      </c>
      <c r="S42" s="62">
        <f ca="1">AVERAGE(OFFSET($R$3,0,0,'Données projet'!$E$9+1,1))-AVERAGE(OFFSET($H$3,0,0,'Données projet'!$E$9+1,1))</f>
        <v>177.70053246230015</v>
      </c>
      <c r="T42" s="62">
        <f t="shared" si="34"/>
        <v>85.631326020763254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163</v>
      </c>
      <c r="AJ42" s="14">
        <f>AI42*VLOOKUP('Données projet'!$B$10,Paramètres!$A$1:$I$89,3,0)*VLOOKUP('Données projet'!$B$10,Paramètres!$A$1:$I$89,5,0)</f>
        <v>142.39680000000004</v>
      </c>
      <c r="AK42" s="14">
        <f t="shared" si="35"/>
        <v>36.845535084476985</v>
      </c>
      <c r="AL42" s="22">
        <f t="shared" si="4"/>
        <v>312.18040027213078</v>
      </c>
      <c r="AM42" s="62">
        <f t="shared" si="5"/>
        <v>605.51373360546404</v>
      </c>
      <c r="AN42" s="62">
        <f ca="1">AVERAGE(OFFSET($AM$3,0,0,'Données projet'!$E$10+1,1))-AVERAGE(OFFSET($H$3,0,0,'Données projet'!$E$10+1,1))</f>
        <v>212.11273590951606</v>
      </c>
      <c r="AO42" s="62">
        <f t="shared" si="36"/>
        <v>240.9595690943346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14.608083333333331</v>
      </c>
      <c r="BD42" s="13">
        <f>IF('Données projet'!$A$88&gt;35,BD41+BC42-BL41,IF(A42&lt;'Données projet'!$A$88,$BA$205^A42,IF(A42='Données projet'!$A$88,'Données projet'!$B$88,BD41+BC42-BL41)))</f>
        <v>317.07575000000014</v>
      </c>
      <c r="BE42" s="14">
        <f>BD42*VLOOKUP('Données projet'!$B$11,Paramètres!$A$1:$I$89,3,0)*VLOOKUP('Données projet'!$B$11,Paramètres!$A$1:$I$89,5,0)</f>
        <v>189.61129850000009</v>
      </c>
      <c r="BF42" s="14">
        <f t="shared" si="37"/>
        <v>47.45400622859654</v>
      </c>
      <c r="BG42" s="22">
        <f t="shared" si="7"/>
        <v>412.88873906897243</v>
      </c>
      <c r="BH42" s="62">
        <f t="shared" si="8"/>
        <v>706.22207240230568</v>
      </c>
      <c r="BI42" s="62">
        <f ca="1">AVERAGE(OFFSET($BH$3,0,0,'Données projet'!$E$11+1,1))-AVERAGE(OFFSET($H$3,0,0,'Données projet'!$E$11+1,1))</f>
        <v>172.49153247238672</v>
      </c>
      <c r="BJ42" s="62">
        <f t="shared" si="38"/>
        <v>301.94982606323254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24.159559666225796</v>
      </c>
      <c r="BQ42" s="23">
        <f>EXP(-LN(2)/25)*BQ41+(1-EXP(-LN(2)/25))/(LN(2)/25)*Calculateur!BL42*Calculateur!BN42*VLOOKUP('Données projet'!$B$11,Paramètres!$A$1:$I$89,3,0)*0.475*44/12</f>
        <v>10.775080131764343</v>
      </c>
      <c r="BR42" s="23">
        <f>EXP(-LN(2)/2)*BR41+(1-EXP(-LN(2)/2))/(LN(2)/2)*BL42*BO42*VLOOKUP('Données projet'!$B$11,Paramètres!$A$1:$I$89,3,0)*0.475*44/12</f>
        <v>0.25738795599802294</v>
      </c>
      <c r="BS42" s="24">
        <f t="shared" si="9"/>
        <v>35.192027753988157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12.8</v>
      </c>
      <c r="BY42" s="13">
        <f>IF('Données projet'!$A$114&gt;35,BY41+BX42-CG41,IF(A42&lt;'Données projet'!$A$114,$BV$205^A42,IF(A42='Données projet'!$A$114,'Données projet'!$B$114,BY41+BX42-CG41)))</f>
        <v>194.2000000000001</v>
      </c>
      <c r="BZ42" s="14">
        <f>BY42*VLOOKUP('Données projet'!$B$12,Paramètres!$A$1:$I$89,3,0)*VLOOKUP('Données projet'!$B$12,Paramètres!$A$1:$I$89,5,0)</f>
        <v>111.08240000000006</v>
      </c>
      <c r="CA42" s="14">
        <f t="shared" si="39"/>
        <v>29.585860939025359</v>
      </c>
      <c r="CB42" s="22">
        <f t="shared" si="10"/>
        <v>244.99722113546932</v>
      </c>
      <c r="CC42" s="62">
        <f t="shared" si="11"/>
        <v>538.33055446880257</v>
      </c>
      <c r="CD42" s="62">
        <f ca="1">AVERAGE(OFFSET($CC$3,0,0,'Données projet'!$E$12+1,1))-AVERAGE(OFFSET($H$3,0,0,'Données projet'!$E$12+1,1))</f>
        <v>177.71338645688661</v>
      </c>
      <c r="CE42" s="62">
        <f t="shared" si="40"/>
        <v>153.65872713651345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1.3841972869271497</v>
      </c>
      <c r="CM42" s="23">
        <f>EXP(-LN(2)/2)*CM41+(1-EXP(-LN(2)/2))/(LN(2)/2)*CG42*CJ42*VLOOKUP('Données projet'!$B$12,Paramètres!$A$1:$I$89,3,0)*0.475*44/12</f>
        <v>3.03579784774284E-2</v>
      </c>
      <c r="CN42" s="24">
        <f t="shared" si="12"/>
        <v>1.4145552654045781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</v>
      </c>
      <c r="CT42" s="13">
        <f>IF('Données projet'!$A$140&gt;35,CT41+CS42-DB41,IF(A42&lt;'Données projet'!$A$140,$CQ$205^A42,IF(A42='Données projet'!$A$140,'Données projet'!$B$140,CT41+CS42-DB41)))</f>
        <v>132.99999999999991</v>
      </c>
      <c r="CU42" s="18">
        <f>CT42*VLOOKUP('Données projet'!$B$13,Paramètres!$A$1:$I$89,3,0)*VLOOKUP('Données projet'!$B$13,Paramètres!$A$1:$I$89,5,0)</f>
        <v>87.14159999999994</v>
      </c>
      <c r="CV42" s="14">
        <f t="shared" si="41"/>
        <v>23.874558158360944</v>
      </c>
      <c r="CW42" s="22">
        <f t="shared" si="13"/>
        <v>193.35314212581184</v>
      </c>
      <c r="CX42" s="62">
        <f t="shared" si="14"/>
        <v>486.68647545914519</v>
      </c>
      <c r="CY42" s="62">
        <f ca="1">AVERAGE(OFFSET($CX$3,0,0,'Données projet'!$E$13+1,1))-AVERAGE(OFFSET($H$3,0,0,'Données projet'!$E$13+1,1))</f>
        <v>118.65321241325523</v>
      </c>
      <c r="CZ42" s="62">
        <f t="shared" si="42"/>
        <v>140.55041555757327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128.60000000000002</v>
      </c>
      <c r="DP42" s="18">
        <f>DO42*VLOOKUP('Données projet'!$B$14,Paramètres!$A$1:$I$89,3,0)*VLOOKUP('Données projet'!$B$14,Paramètres!$A$1:$I$89,5,0)</f>
        <v>130.40040000000002</v>
      </c>
      <c r="DQ42" s="14">
        <f t="shared" si="43"/>
        <v>34.088863450406919</v>
      </c>
      <c r="DR42" s="22">
        <f t="shared" si="16"/>
        <v>286.48546717612544</v>
      </c>
      <c r="DS42" s="62">
        <f t="shared" si="17"/>
        <v>579.8188005094587</v>
      </c>
      <c r="DT42" s="62">
        <f ca="1">AVERAGE(OFFSET($DS$3,0,0,'Données projet'!$E$14+1,1))-AVERAGE(OFFSET($H$3,0,0,'Données projet'!$E$14+1,1))</f>
        <v>328.70784159273131</v>
      </c>
      <c r="DU42" s="62">
        <f t="shared" si="44"/>
        <v>193.18009444354601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84.146400000000014</v>
      </c>
      <c r="P43" s="14">
        <f t="shared" si="33"/>
        <v>23.14799971956144</v>
      </c>
      <c r="Q43" s="22">
        <f t="shared" si="53"/>
        <v>186.87107951156952</v>
      </c>
      <c r="R43" s="62">
        <f t="shared" si="0"/>
        <v>480.20441284490283</v>
      </c>
      <c r="S43" s="62">
        <f ca="1">AVERAGE(OFFSET($R$3,0,0,'Données projet'!$E$9+1,1))-AVERAGE(OFFSET($H$3,0,0,'Données projet'!$E$9+1,1))</f>
        <v>177.70053246230015</v>
      </c>
      <c r="T43" s="62">
        <f t="shared" si="34"/>
        <v>85.631326020763254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170</v>
      </c>
      <c r="AJ43" s="14">
        <f>AI43*VLOOKUP('Données projet'!$B$10,Paramètres!$A$1:$I$89,3,0)*VLOOKUP('Données projet'!$B$10,Paramètres!$A$1:$I$89,5,0)</f>
        <v>148.512</v>
      </c>
      <c r="AK43" s="14">
        <f t="shared" si="35"/>
        <v>38.240236326053513</v>
      </c>
      <c r="AL43" s="22">
        <f t="shared" si="4"/>
        <v>325.26014493454323</v>
      </c>
      <c r="AM43" s="62">
        <f t="shared" si="5"/>
        <v>618.59347826787655</v>
      </c>
      <c r="AN43" s="62">
        <f ca="1">AVERAGE(OFFSET($AM$3,0,0,'Données projet'!$E$10+1,1))-AVERAGE(OFFSET($H$3,0,0,'Données projet'!$E$10+1,1))</f>
        <v>212.11273590951606</v>
      </c>
      <c r="AO43" s="62">
        <f t="shared" si="36"/>
        <v>240.9595690943346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40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14.608083333333331</v>
      </c>
      <c r="BD43" s="13">
        <f>IF('Données projet'!$A$88&gt;35,BD42+BC43-BL42,IF(A43&lt;'Données projet'!$A$88,$BA$205^A43,IF(A43='Données projet'!$A$88,'Données projet'!$B$88,BD42+BC43-BL42)))</f>
        <v>331.6838333333335</v>
      </c>
      <c r="BE43" s="14">
        <f>BD43*VLOOKUP('Données projet'!$B$11,Paramètres!$A$1:$I$89,3,0)*VLOOKUP('Données projet'!$B$11,Paramètres!$A$1:$I$89,5,0)</f>
        <v>198.34693233333343</v>
      </c>
      <c r="BF43" s="14">
        <f t="shared" si="37"/>
        <v>49.380698185701242</v>
      </c>
      <c r="BG43" s="22">
        <f t="shared" si="7"/>
        <v>431.45895648731874</v>
      </c>
      <c r="BH43" s="62">
        <f t="shared" si="8"/>
        <v>724.79228982065206</v>
      </c>
      <c r="BI43" s="62">
        <f ca="1">AVERAGE(OFFSET($BH$3,0,0,'Données projet'!$E$11+1,1))-AVERAGE(OFFSET($H$3,0,0,'Données projet'!$E$11+1,1))</f>
        <v>172.49153247238672</v>
      </c>
      <c r="BJ43" s="62">
        <f t="shared" si="38"/>
        <v>301.94982606323254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23.685805437047456</v>
      </c>
      <c r="BQ43" s="23">
        <f>EXP(-LN(2)/25)*BQ42+(1-EXP(-LN(2)/25))/(LN(2)/25)*Calculateur!BL43*Calculateur!BN43*VLOOKUP('Données projet'!$B$11,Paramètres!$A$1:$I$89,3,0)*0.475*44/12</f>
        <v>10.480434998924409</v>
      </c>
      <c r="BR43" s="23">
        <f>EXP(-LN(2)/2)*BR42+(1-EXP(-LN(2)/2))/(LN(2)/2)*BL43*BO43*VLOOKUP('Données projet'!$B$11,Paramètres!$A$1:$I$89,3,0)*0.475*44/12</f>
        <v>0.18200076908194673</v>
      </c>
      <c r="BS43" s="24">
        <f t="shared" si="9"/>
        <v>34.34824120505381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207</v>
      </c>
      <c r="BW43" s="13">
        <f>VLOOKUP(A43,'Données projet'!$A$113:$I$133,9,0)</f>
        <v>12.8</v>
      </c>
      <c r="BX43" s="13">
        <f t="array" ref="BX43">INDEX(BW:BW,MIN(IF(ISNUMBER(BW43:BW239),ROW(BW43:BW239),"")))</f>
        <v>12.8</v>
      </c>
      <c r="BY43" s="13">
        <f>IF('Données projet'!$A$114&gt;35,BY42+BX43-CG42,IF(A43&lt;'Données projet'!$A$114,$BV$205^A43,IF(A43='Données projet'!$A$114,'Données projet'!$B$114,BY42+BX43-CG42)))</f>
        <v>207.00000000000011</v>
      </c>
      <c r="BZ43" s="14">
        <f>BY43*VLOOKUP('Données projet'!$B$12,Paramètres!$A$1:$I$89,3,0)*VLOOKUP('Données projet'!$B$12,Paramètres!$A$1:$I$89,5,0)</f>
        <v>118.40400000000008</v>
      </c>
      <c r="CA43" s="14">
        <f t="shared" si="39"/>
        <v>31.302468930496421</v>
      </c>
      <c r="CB43" s="22">
        <f t="shared" si="10"/>
        <v>260.73876672061471</v>
      </c>
      <c r="CC43" s="62">
        <f t="shared" si="11"/>
        <v>554.07210005394802</v>
      </c>
      <c r="CD43" s="62">
        <f ca="1">AVERAGE(OFFSET($CC$3,0,0,'Données projet'!$E$12+1,1))-AVERAGE(OFFSET($H$3,0,0,'Données projet'!$E$12+1,1))</f>
        <v>177.71338645688661</v>
      </c>
      <c r="CE43" s="62">
        <f t="shared" si="40"/>
        <v>153.65872713651345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37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1.3463463393243551</v>
      </c>
      <c r="CM43" s="23">
        <f>EXP(-LN(2)/2)*CM42+(1-EXP(-LN(2)/2))/(LN(2)/2)*CG43*CJ43*VLOOKUP('Données projet'!$B$12,Paramètres!$A$1:$I$89,3,0)*0.475*44/12</f>
        <v>2.1466332444504885E-2</v>
      </c>
      <c r="CN43" s="24">
        <f t="shared" si="12"/>
        <v>1.3678126717688599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139</v>
      </c>
      <c r="CR43" s="13">
        <f>VLOOKUP(A43,'Données projet'!$A$139:$I$159,9,0)</f>
        <v>6</v>
      </c>
      <c r="CS43" s="13">
        <f t="array" ref="CS43">INDEX(CR:CR,MIN(IF(ISNUMBER(CR43:CR239),ROW(CR43:CR239),"")))</f>
        <v>6</v>
      </c>
      <c r="CT43" s="13">
        <f>IF('Données projet'!$A$140&gt;35,CT42+CS43-DB42,IF(A43&lt;'Données projet'!$A$140,$CQ$205^A43,IF(A43='Données projet'!$A$140,'Données projet'!$B$140,CT42+CS43-DB42)))</f>
        <v>138.99999999999991</v>
      </c>
      <c r="CU43" s="18">
        <f>CT43*VLOOKUP('Données projet'!$B$13,Paramètres!$A$1:$I$89,3,0)*VLOOKUP('Données projet'!$B$13,Paramètres!$A$1:$I$89,5,0)</f>
        <v>91.072799999999944</v>
      </c>
      <c r="CV43" s="14">
        <f t="shared" si="41"/>
        <v>24.823779817332358</v>
      </c>
      <c r="CW43" s="22">
        <f t="shared" si="13"/>
        <v>201.85320984852044</v>
      </c>
      <c r="CX43" s="62">
        <f t="shared" si="14"/>
        <v>495.18654318185372</v>
      </c>
      <c r="CY43" s="62">
        <f ca="1">AVERAGE(OFFSET($CX$3,0,0,'Données projet'!$E$13+1,1))-AVERAGE(OFFSET($H$3,0,0,'Données projet'!$E$13+1,1))</f>
        <v>118.65321241325523</v>
      </c>
      <c r="CZ43" s="62">
        <f t="shared" si="42"/>
        <v>140.55041555757327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137.00000000000003</v>
      </c>
      <c r="DP43" s="18">
        <f>DO43*VLOOKUP('Données projet'!$B$14,Paramètres!$A$1:$I$89,3,0)*VLOOKUP('Données projet'!$B$14,Paramètres!$A$1:$I$89,5,0)</f>
        <v>138.91800000000003</v>
      </c>
      <c r="DQ43" s="14">
        <f t="shared" si="43"/>
        <v>36.049022673886341</v>
      </c>
      <c r="DR43" s="22">
        <f t="shared" si="16"/>
        <v>304.73423115701877</v>
      </c>
      <c r="DS43" s="62">
        <f t="shared" si="17"/>
        <v>598.06756449035208</v>
      </c>
      <c r="DT43" s="62">
        <f ca="1">AVERAGE(OFFSET($DS$3,0,0,'Données projet'!$E$14+1,1))-AVERAGE(OFFSET($H$3,0,0,'Données projet'!$E$14+1,1))</f>
        <v>328.70784159273131</v>
      </c>
      <c r="DU43" s="62">
        <f t="shared" si="44"/>
        <v>193.18009444354601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98.600000000000009</v>
      </c>
      <c r="O44" s="14">
        <f>N44*VLOOKUP('Données projet'!$B$9,Paramètres!$A$1:$I$89,3,0)*VLOOKUP('Données projet'!$B$9,Paramètres!$A$1:$I$89,5,0)</f>
        <v>89.213280000000012</v>
      </c>
      <c r="P44" s="14">
        <f t="shared" si="33"/>
        <v>24.375390230293569</v>
      </c>
      <c r="Q44" s="22">
        <f t="shared" si="53"/>
        <v>197.83360065109466</v>
      </c>
      <c r="R44" s="62">
        <f t="shared" si="0"/>
        <v>491.16693398442794</v>
      </c>
      <c r="S44" s="62">
        <f ca="1">AVERAGE(OFFSET($R$3,0,0,'Données projet'!$E$9+1,1))-AVERAGE(OFFSET($H$3,0,0,'Données projet'!$E$9+1,1))</f>
        <v>177.70053246230015</v>
      </c>
      <c r="T44" s="62">
        <f t="shared" si="34"/>
        <v>85.631326020763254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6.4</v>
      </c>
      <c r="AI44" s="14">
        <f>IF('Données projet'!$A$62&gt;35,AI43+AH44-AQ43,IF(A44&lt;'Données projet'!$A$62,$AF$205^A44,IF(A44='Données projet'!$A$62,'Données projet'!$B$62,AI43+AH44-AQ43)))</f>
        <v>136.4</v>
      </c>
      <c r="AJ44" s="14">
        <f>AI44*VLOOKUP('Données projet'!$B$10,Paramètres!$A$1:$I$89,3,0)*VLOOKUP('Données projet'!$B$10,Paramètres!$A$1:$I$89,5,0)</f>
        <v>119.15904000000003</v>
      </c>
      <c r="AK44" s="14">
        <f t="shared" si="35"/>
        <v>31.478778976043767</v>
      </c>
      <c r="AL44" s="22">
        <f t="shared" si="4"/>
        <v>262.36086804994295</v>
      </c>
      <c r="AM44" s="62">
        <f t="shared" si="5"/>
        <v>555.69420138327632</v>
      </c>
      <c r="AN44" s="62">
        <f ca="1">AVERAGE(OFFSET($AM$3,0,0,'Données projet'!$E$10+1,1))-AVERAGE(OFFSET($H$3,0,0,'Données projet'!$E$10+1,1))</f>
        <v>212.11273590951606</v>
      </c>
      <c r="AO44" s="62">
        <f t="shared" si="36"/>
        <v>240.9595690943346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14.608083333333331</v>
      </c>
      <c r="BD44" s="13">
        <f>IF('Données projet'!$A$88&gt;35,BD43+BC44-BL43,IF(A44&lt;'Données projet'!$A$88,$BA$205^A44,IF(A44='Données projet'!$A$88,'Données projet'!$B$88,BD43+BC44-BL43)))</f>
        <v>346.29191666666685</v>
      </c>
      <c r="BE44" s="14">
        <f>BD44*VLOOKUP('Données projet'!$B$11,Paramètres!$A$1:$I$89,3,0)*VLOOKUP('Données projet'!$B$11,Paramètres!$A$1:$I$89,5,0)</f>
        <v>207.08256616666679</v>
      </c>
      <c r="BF44" s="14">
        <f t="shared" si="37"/>
        <v>51.297534844975047</v>
      </c>
      <c r="BG44" s="22">
        <f t="shared" si="7"/>
        <v>450.01200926194286</v>
      </c>
      <c r="BH44" s="62">
        <f t="shared" si="8"/>
        <v>743.34534259527618</v>
      </c>
      <c r="BI44" s="62">
        <f ca="1">AVERAGE(OFFSET($BH$3,0,0,'Données projet'!$E$11+1,1))-AVERAGE(OFFSET($H$3,0,0,'Données projet'!$E$11+1,1))</f>
        <v>172.49153247238672</v>
      </c>
      <c r="BJ44" s="62">
        <f t="shared" si="38"/>
        <v>301.94982606323254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23.221341239341758</v>
      </c>
      <c r="BQ44" s="23">
        <f>EXP(-LN(2)/25)*BQ43+(1-EXP(-LN(2)/25))/(LN(2)/25)*Calculateur!BL44*Calculateur!BN44*VLOOKUP('Données projet'!$B$11,Paramètres!$A$1:$I$89,3,0)*0.475*44/12</f>
        <v>10.193846952736697</v>
      </c>
      <c r="BR44" s="23">
        <f>EXP(-LN(2)/2)*BR43+(1-EXP(-LN(2)/2))/(LN(2)/2)*BL44*BO44*VLOOKUP('Données projet'!$B$11,Paramètres!$A$1:$I$89,3,0)*0.475*44/12</f>
        <v>0.12869397799901147</v>
      </c>
      <c r="BS44" s="24">
        <f t="shared" si="9"/>
        <v>33.543882170077467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11.6</v>
      </c>
      <c r="BY44" s="13">
        <f>IF('Données projet'!$A$114&gt;35,BY43+BX44-CG43,IF(A44&lt;'Données projet'!$A$114,$BV$205^A44,IF(A44='Données projet'!$A$114,'Données projet'!$B$114,BY43+BX44-CG43)))</f>
        <v>181.60000000000011</v>
      </c>
      <c r="BZ44" s="14">
        <f>BY44*VLOOKUP('Données projet'!$B$12,Paramètres!$A$1:$I$89,3,0)*VLOOKUP('Données projet'!$B$12,Paramètres!$A$1:$I$89,5,0)</f>
        <v>103.87520000000008</v>
      </c>
      <c r="CA44" s="14">
        <f t="shared" si="39"/>
        <v>27.88315775295947</v>
      </c>
      <c r="CB44" s="22">
        <f t="shared" si="10"/>
        <v>229.47913975307119</v>
      </c>
      <c r="CC44" s="62">
        <f t="shared" si="11"/>
        <v>522.81247308640445</v>
      </c>
      <c r="CD44" s="62">
        <f ca="1">AVERAGE(OFFSET($CC$3,0,0,'Données projet'!$E$12+1,1))-AVERAGE(OFFSET($H$3,0,0,'Données projet'!$E$12+1,1))</f>
        <v>177.71338645688661</v>
      </c>
      <c r="CE44" s="62">
        <f t="shared" si="40"/>
        <v>153.65872713651345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1.3095304278742537</v>
      </c>
      <c r="CM44" s="23">
        <f>EXP(-LN(2)/2)*CM43+(1-EXP(-LN(2)/2))/(LN(2)/2)*CG44*CJ44*VLOOKUP('Données projet'!$B$12,Paramètres!$A$1:$I$89,3,0)*0.475*44/12</f>
        <v>1.5178989238714203E-2</v>
      </c>
      <c r="CN44" s="24">
        <f t="shared" si="12"/>
        <v>1.3247094171129679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144.59999999999991</v>
      </c>
      <c r="CU44" s="18">
        <f>CT44*VLOOKUP('Données projet'!$B$13,Paramètres!$A$1:$I$89,3,0)*VLOOKUP('Données projet'!$B$13,Paramètres!$A$1:$I$89,5,0)</f>
        <v>94.741919999999936</v>
      </c>
      <c r="CV44" s="14">
        <f t="shared" si="41"/>
        <v>25.7054219203964</v>
      </c>
      <c r="CW44" s="22">
        <f t="shared" si="13"/>
        <v>209.77912051135695</v>
      </c>
      <c r="CX44" s="62">
        <f t="shared" si="14"/>
        <v>503.11245384469026</v>
      </c>
      <c r="CY44" s="62">
        <f ca="1">AVERAGE(OFFSET($CX$3,0,0,'Données projet'!$E$13+1,1))-AVERAGE(OFFSET($H$3,0,0,'Données projet'!$E$13+1,1))</f>
        <v>118.65321241325523</v>
      </c>
      <c r="CZ44" s="62">
        <f t="shared" si="42"/>
        <v>140.55041555757327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145.40000000000003</v>
      </c>
      <c r="DP44" s="18">
        <f>DO44*VLOOKUP('Données projet'!$B$14,Paramètres!$A$1:$I$89,3,0)*VLOOKUP('Données projet'!$B$14,Paramètres!$A$1:$I$89,5,0)</f>
        <v>147.43560000000002</v>
      </c>
      <c r="DQ44" s="14">
        <f t="shared" si="43"/>
        <v>37.99523294834102</v>
      </c>
      <c r="DR44" s="22">
        <f t="shared" si="16"/>
        <v>322.95870071836066</v>
      </c>
      <c r="DS44" s="62">
        <f t="shared" si="17"/>
        <v>616.29203405169392</v>
      </c>
      <c r="DT44" s="62">
        <f ca="1">AVERAGE(OFFSET($DS$3,0,0,'Données projet'!$E$14+1,1))-AVERAGE(OFFSET($H$3,0,0,'Données projet'!$E$14+1,1))</f>
        <v>328.70784159273131</v>
      </c>
      <c r="DU44" s="62">
        <f t="shared" si="44"/>
        <v>193.18009444354601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104.2</v>
      </c>
      <c r="O45" s="14">
        <f>N45*VLOOKUP('Données projet'!$B$9,Paramètres!$A$1:$I$89,3,0)*VLOOKUP('Données projet'!$B$9,Paramètres!$A$1:$I$89,5,0)</f>
        <v>94.280160000000009</v>
      </c>
      <c r="P45" s="14">
        <f t="shared" si="33"/>
        <v>25.594688689992932</v>
      </c>
      <c r="Q45" s="22">
        <f t="shared" si="53"/>
        <v>208.78202813507104</v>
      </c>
      <c r="R45" s="62">
        <f t="shared" si="0"/>
        <v>502.11536146840433</v>
      </c>
      <c r="S45" s="62">
        <f ca="1">AVERAGE(OFFSET($R$3,0,0,'Données projet'!$E$9+1,1))-AVERAGE(OFFSET($H$3,0,0,'Données projet'!$E$9+1,1))</f>
        <v>177.70053246230015</v>
      </c>
      <c r="T45" s="62">
        <f t="shared" si="34"/>
        <v>85.631326020763254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6.4</v>
      </c>
      <c r="AI45" s="14">
        <f>IF('Données projet'!$A$62&gt;35,AI44+AH45-AQ44,IF(A45&lt;'Données projet'!$A$62,$AF$205^A45,IF(A45='Données projet'!$A$62,'Données projet'!$B$62,AI44+AH45-AQ44)))</f>
        <v>142.80000000000001</v>
      </c>
      <c r="AJ45" s="14">
        <f>AI45*VLOOKUP('Données projet'!$B$10,Paramètres!$A$1:$I$89,3,0)*VLOOKUP('Données projet'!$B$10,Paramètres!$A$1:$I$89,5,0)</f>
        <v>124.75008000000003</v>
      </c>
      <c r="AK45" s="14">
        <f t="shared" si="35"/>
        <v>32.780361960132396</v>
      </c>
      <c r="AL45" s="22">
        <f t="shared" si="4"/>
        <v>274.36551974723062</v>
      </c>
      <c r="AM45" s="62">
        <f t="shared" si="5"/>
        <v>567.69885308056394</v>
      </c>
      <c r="AN45" s="62">
        <f ca="1">AVERAGE(OFFSET($AM$3,0,0,'Données projet'!$E$10+1,1))-AVERAGE(OFFSET($H$3,0,0,'Données projet'!$E$10+1,1))</f>
        <v>212.11273590951606</v>
      </c>
      <c r="AO45" s="62">
        <f t="shared" si="36"/>
        <v>240.9595690943346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360.9</v>
      </c>
      <c r="BB45" s="13">
        <f>VLOOKUP(A45,'Données projet'!$A$87:$I$107,9,0)</f>
        <v>14.608083333333331</v>
      </c>
      <c r="BC45" s="13">
        <f t="array" ref="BC45">INDEX(BB:BB,MIN(IF(ISNUMBER(BB45:BB241),ROW(BB45:BB241),"")))</f>
        <v>14.608083333333331</v>
      </c>
      <c r="BD45" s="13">
        <f>IF('Données projet'!$A$88&gt;35,BD44+BC45-BL44,IF(A45&lt;'Données projet'!$A$88,$BA$205^A45,IF(A45='Données projet'!$A$88,'Données projet'!$B$88,BD44+BC45-BL44)))</f>
        <v>360.9000000000002</v>
      </c>
      <c r="BE45" s="14">
        <f>BD45*VLOOKUP('Données projet'!$B$11,Paramètres!$A$1:$I$89,3,0)*VLOOKUP('Données projet'!$B$11,Paramètres!$A$1:$I$89,5,0)</f>
        <v>215.81820000000013</v>
      </c>
      <c r="BF45" s="14">
        <f t="shared" si="37"/>
        <v>53.204979479968564</v>
      </c>
      <c r="BG45" s="22">
        <f t="shared" si="7"/>
        <v>468.54870426094544</v>
      </c>
      <c r="BH45" s="62">
        <f t="shared" si="8"/>
        <v>761.8820375942787</v>
      </c>
      <c r="BI45" s="62">
        <f ca="1">AVERAGE(OFFSET($BH$3,0,0,'Données projet'!$E$11+1,1))-AVERAGE(OFFSET($H$3,0,0,'Données projet'!$E$11+1,1))</f>
        <v>172.49153247238672</v>
      </c>
      <c r="BJ45" s="62">
        <f t="shared" si="38"/>
        <v>301.94982606323254</v>
      </c>
      <c r="BK45" s="16">
        <f>IF(ISNA(VLOOKUP(A45,'Données projet'!$A$87:$I$107,3,0)),0,VLOOKUP(A45,'Données projet'!$A$87:$I$107,3,0))</f>
        <v>5</v>
      </c>
      <c r="BL45" s="16">
        <f>IF(ISNA(VLOOKUP(A45,'Données projet'!$A$87:$I$107,4,0)),0,VLOOKUP(A45,'Données projet'!$A$87:$I$107,4,0))</f>
        <v>360.9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22.76598490125788</v>
      </c>
      <c r="BQ45" s="23">
        <f>EXP(-LN(2)/25)*BQ44+(1-EXP(-LN(2)/25))/(LN(2)/25)*Calculateur!BL45*Calculateur!BN45*VLOOKUP('Données projet'!$B$11,Paramètres!$A$1:$I$89,3,0)*0.475*44/12</f>
        <v>9.9150956717429999</v>
      </c>
      <c r="BR45" s="23">
        <f>EXP(-LN(2)/2)*BR44+(1-EXP(-LN(2)/2))/(LN(2)/2)*BL45*BO45*VLOOKUP('Données projet'!$B$11,Paramètres!$A$1:$I$89,3,0)*0.475*44/12</f>
        <v>9.1000384540973367E-2</v>
      </c>
      <c r="BS45" s="24">
        <f t="shared" si="9"/>
        <v>32.77208095754186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11.6</v>
      </c>
      <c r="BY45" s="13">
        <f>IF('Données projet'!$A$114&gt;35,BY44+BX45-CG44,IF(A45&lt;'Données projet'!$A$114,$BV$205^A45,IF(A45='Données projet'!$A$114,'Données projet'!$B$114,BY44+BX45-CG44)))</f>
        <v>193.2000000000001</v>
      </c>
      <c r="BZ45" s="14">
        <f>BY45*VLOOKUP('Données projet'!$B$12,Paramètres!$A$1:$I$89,3,0)*VLOOKUP('Données projet'!$B$12,Paramètres!$A$1:$I$89,5,0)</f>
        <v>110.51040000000008</v>
      </c>
      <c r="CA45" s="14">
        <f t="shared" si="39"/>
        <v>29.451206375056412</v>
      </c>
      <c r="CB45" s="22">
        <f t="shared" si="10"/>
        <v>243.76646443655667</v>
      </c>
      <c r="CC45" s="62">
        <f t="shared" si="11"/>
        <v>537.09979776988996</v>
      </c>
      <c r="CD45" s="62">
        <f ca="1">AVERAGE(OFFSET($CC$3,0,0,'Données projet'!$E$12+1,1))-AVERAGE(OFFSET($H$3,0,0,'Données projet'!$E$12+1,1))</f>
        <v>177.71338645688661</v>
      </c>
      <c r="CE45" s="62">
        <f t="shared" si="40"/>
        <v>153.65872713651345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1.2737212494588199</v>
      </c>
      <c r="CM45" s="23">
        <f>EXP(-LN(2)/2)*CM44+(1-EXP(-LN(2)/2))/(LN(2)/2)*CG45*CJ45*VLOOKUP('Données projet'!$B$12,Paramètres!$A$1:$I$89,3,0)*0.475*44/12</f>
        <v>1.0733166222252444E-2</v>
      </c>
      <c r="CN45" s="24">
        <f t="shared" si="12"/>
        <v>1.2844544156810724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150.1999999999999</v>
      </c>
      <c r="CU45" s="18">
        <f>CT45*VLOOKUP('Données projet'!$B$13,Paramètres!$A$1:$I$89,3,0)*VLOOKUP('Données projet'!$B$13,Paramètres!$A$1:$I$89,5,0)</f>
        <v>98.411039999999943</v>
      </c>
      <c r="CV45" s="14">
        <f t="shared" si="41"/>
        <v>26.583097580562715</v>
      </c>
      <c r="CW45" s="22">
        <f t="shared" si="13"/>
        <v>217.69812295281329</v>
      </c>
      <c r="CX45" s="62">
        <f t="shared" si="14"/>
        <v>511.03145628614664</v>
      </c>
      <c r="CY45" s="62">
        <f ca="1">AVERAGE(OFFSET($CX$3,0,0,'Données projet'!$E$13+1,1))-AVERAGE(OFFSET($H$3,0,0,'Données projet'!$E$13+1,1))</f>
        <v>118.65321241325523</v>
      </c>
      <c r="CZ45" s="62">
        <f t="shared" si="42"/>
        <v>140.55041555757327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153.80000000000004</v>
      </c>
      <c r="DP45" s="18">
        <f>DO45*VLOOKUP('Données projet'!$B$14,Paramètres!$A$1:$I$89,3,0)*VLOOKUP('Données projet'!$B$14,Paramètres!$A$1:$I$89,5,0)</f>
        <v>155.95320000000004</v>
      </c>
      <c r="DQ45" s="14">
        <f t="shared" si="43"/>
        <v>39.928391937903875</v>
      </c>
      <c r="DR45" s="22">
        <f t="shared" si="16"/>
        <v>341.16043929184929</v>
      </c>
      <c r="DS45" s="62">
        <f t="shared" si="17"/>
        <v>634.4937726251826</v>
      </c>
      <c r="DT45" s="62">
        <f ca="1">AVERAGE(OFFSET($DS$3,0,0,'Données projet'!$E$14+1,1))-AVERAGE(OFFSET($H$3,0,0,'Données projet'!$E$14+1,1))</f>
        <v>328.70784159273131</v>
      </c>
      <c r="DU45" s="62">
        <f t="shared" si="44"/>
        <v>193.18009444354601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109.8</v>
      </c>
      <c r="O46" s="14">
        <f>N46*VLOOKUP('Données projet'!$B$9,Paramètres!$A$1:$I$89,3,0)*VLOOKUP('Données projet'!$B$9,Paramètres!$A$1:$I$89,5,0)</f>
        <v>99.347039999999993</v>
      </c>
      <c r="P46" s="14">
        <f t="shared" si="33"/>
        <v>26.806379572460035</v>
      </c>
      <c r="Q46" s="22">
        <f t="shared" si="53"/>
        <v>219.71720575536787</v>
      </c>
      <c r="R46" s="62">
        <f t="shared" si="0"/>
        <v>513.05053908870116</v>
      </c>
      <c r="S46" s="62">
        <f ca="1">AVERAGE(OFFSET($R$3,0,0,'Données projet'!$E$9+1,1))-AVERAGE(OFFSET($H$3,0,0,'Données projet'!$E$9+1,1))</f>
        <v>177.70053246230015</v>
      </c>
      <c r="T46" s="62">
        <f t="shared" si="34"/>
        <v>85.631326020763254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6.4</v>
      </c>
      <c r="AI46" s="14">
        <f>IF('Données projet'!$A$62&gt;35,AI45+AH46-AQ45,IF(A46&lt;'Données projet'!$A$62,$AF$205^A46,IF(A46='Données projet'!$A$62,'Données projet'!$B$62,AI45+AH46-AQ45)))</f>
        <v>149.20000000000002</v>
      </c>
      <c r="AJ46" s="14">
        <f>AI46*VLOOKUP('Données projet'!$B$10,Paramètres!$A$1:$I$89,3,0)*VLOOKUP('Données projet'!$B$10,Paramètres!$A$1:$I$89,5,0)</f>
        <v>130.34112000000005</v>
      </c>
      <c r="AK46" s="14">
        <f t="shared" si="35"/>
        <v>34.075170122989917</v>
      </c>
      <c r="AL46" s="22">
        <f t="shared" si="4"/>
        <v>286.35837196420749</v>
      </c>
      <c r="AM46" s="62">
        <f t="shared" si="5"/>
        <v>579.69170529754081</v>
      </c>
      <c r="AN46" s="62">
        <f ca="1">AVERAGE(OFFSET($AM$3,0,0,'Données projet'!$E$10+1,1))-AVERAGE(OFFSET($H$3,0,0,'Données projet'!$E$10+1,1))</f>
        <v>212.11273590951606</v>
      </c>
      <c r="AO46" s="62">
        <f t="shared" si="36"/>
        <v>240.9595690943346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2.2737367544323206E-13</v>
      </c>
      <c r="BE46" s="14">
        <f>BD46*VLOOKUP('Données projet'!$B$11,Paramètres!$A$1:$I$89,3,0)*VLOOKUP('Données projet'!$B$11,Paramètres!$A$1:$I$89,5,0)</f>
        <v>1.3596945791505279E-13</v>
      </c>
      <c r="BF46" s="14">
        <f t="shared" si="37"/>
        <v>1.9708830566360721E-12</v>
      </c>
      <c r="BG46" s="22">
        <f t="shared" si="7"/>
        <v>3.669434796176543E-12</v>
      </c>
      <c r="BH46" s="62">
        <f t="shared" si="8"/>
        <v>293.33333333333701</v>
      </c>
      <c r="BI46" s="62">
        <f ca="1">AVERAGE(OFFSET($BH$3,0,0,'Données projet'!$E$11+1,1))-AVERAGE(OFFSET($H$3,0,0,'Données projet'!$E$11+1,1))</f>
        <v>172.49153247238672</v>
      </c>
      <c r="BJ46" s="62">
        <f t="shared" si="38"/>
        <v>301.94982606323254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22.319557823223885</v>
      </c>
      <c r="BQ46" s="23">
        <f>EXP(-LN(2)/25)*BQ45+(1-EXP(-LN(2)/25))/(LN(2)/25)*Calculateur!BL46*Calculateur!BN46*VLOOKUP('Données projet'!$B$11,Paramètres!$A$1:$I$89,3,0)*0.475*44/12</f>
        <v>9.6439668591869676</v>
      </c>
      <c r="BR46" s="23">
        <f>EXP(-LN(2)/2)*BR45+(1-EXP(-LN(2)/2))/(LN(2)/2)*BL46*BO46*VLOOKUP('Données projet'!$B$11,Paramètres!$A$1:$I$89,3,0)*0.475*44/12</f>
        <v>6.4346988999505736E-2</v>
      </c>
      <c r="BS46" s="24">
        <f t="shared" si="9"/>
        <v>32.02787167141036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11.6</v>
      </c>
      <c r="BY46" s="13">
        <f>IF('Données projet'!$A$114&gt;35,BY45+BX46-CG45,IF(A46&lt;'Données projet'!$A$114,$BV$205^A46,IF(A46='Données projet'!$A$114,'Données projet'!$B$114,BY45+BX46-CG45)))</f>
        <v>204.8000000000001</v>
      </c>
      <c r="BZ46" s="14">
        <f>BY46*VLOOKUP('Données projet'!$B$12,Paramètres!$A$1:$I$89,3,0)*VLOOKUP('Données projet'!$B$12,Paramètres!$A$1:$I$89,5,0)</f>
        <v>117.14560000000006</v>
      </c>
      <c r="CA46" s="14">
        <f t="shared" si="39"/>
        <v>31.008327463794476</v>
      </c>
      <c r="CB46" s="22">
        <f t="shared" si="10"/>
        <v>258.0347569994421</v>
      </c>
      <c r="CC46" s="62">
        <f t="shared" si="11"/>
        <v>551.36809033277541</v>
      </c>
      <c r="CD46" s="62">
        <f ca="1">AVERAGE(OFFSET($CC$3,0,0,'Données projet'!$E$12+1,1))-AVERAGE(OFFSET($H$3,0,0,'Données projet'!$E$12+1,1))</f>
        <v>177.71338645688661</v>
      </c>
      <c r="CE46" s="62">
        <f t="shared" si="40"/>
        <v>153.65872713651345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1.2388912749102792</v>
      </c>
      <c r="CM46" s="23">
        <f>EXP(-LN(2)/2)*CM45+(1-EXP(-LN(2)/2))/(LN(2)/2)*CG46*CJ46*VLOOKUP('Données projet'!$B$12,Paramètres!$A$1:$I$89,3,0)*0.475*44/12</f>
        <v>7.5894946193571025E-3</v>
      </c>
      <c r="CN46" s="24">
        <f t="shared" si="12"/>
        <v>1.2464807695296363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155.7999999999999</v>
      </c>
      <c r="CU46" s="18">
        <f>CT46*VLOOKUP('Données projet'!$B$13,Paramètres!$A$1:$I$89,3,0)*VLOOKUP('Données projet'!$B$13,Paramètres!$A$1:$I$89,5,0)</f>
        <v>102.08015999999992</v>
      </c>
      <c r="CV46" s="14">
        <f t="shared" si="41"/>
        <v>27.456971614793169</v>
      </c>
      <c r="CW46" s="22">
        <f t="shared" si="13"/>
        <v>225.61050422909793</v>
      </c>
      <c r="CX46" s="62">
        <f t="shared" si="14"/>
        <v>518.94383756243121</v>
      </c>
      <c r="CY46" s="62">
        <f ca="1">AVERAGE(OFFSET($CX$3,0,0,'Données projet'!$E$13+1,1))-AVERAGE(OFFSET($H$3,0,0,'Données projet'!$E$13+1,1))</f>
        <v>118.65321241325523</v>
      </c>
      <c r="CZ46" s="62">
        <f t="shared" si="42"/>
        <v>140.55041555757327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162.20000000000005</v>
      </c>
      <c r="DP46" s="18">
        <f>DO46*VLOOKUP('Données projet'!$B$14,Paramètres!$A$1:$I$89,3,0)*VLOOKUP('Données projet'!$B$14,Paramètres!$A$1:$I$89,5,0)</f>
        <v>164.47080000000005</v>
      </c>
      <c r="DQ46" s="14">
        <f t="shared" si="43"/>
        <v>41.849293714451377</v>
      </c>
      <c r="DR46" s="22">
        <f t="shared" si="16"/>
        <v>359.34082988600289</v>
      </c>
      <c r="DS46" s="62">
        <f t="shared" si="17"/>
        <v>652.67416321933615</v>
      </c>
      <c r="DT46" s="62">
        <f ca="1">AVERAGE(OFFSET($DS$3,0,0,'Données projet'!$E$14+1,1))-AVERAGE(OFFSET($H$3,0,0,'Données projet'!$E$14+1,1))</f>
        <v>328.70784159273131</v>
      </c>
      <c r="DU46" s="62">
        <f t="shared" si="44"/>
        <v>193.18009444354601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115.39999999999999</v>
      </c>
      <c r="O47" s="14">
        <f>N47*VLOOKUP('Données projet'!$B$9,Paramètres!$A$1:$I$89,3,0)*VLOOKUP('Données projet'!$B$9,Paramètres!$A$1:$I$89,5,0)</f>
        <v>104.41391999999999</v>
      </c>
      <c r="P47" s="14">
        <f t="shared" si="33"/>
        <v>28.010895142032854</v>
      </c>
      <c r="Q47" s="22">
        <f t="shared" si="53"/>
        <v>230.63988637237389</v>
      </c>
      <c r="R47" s="62">
        <f t="shared" si="0"/>
        <v>523.97321970570715</v>
      </c>
      <c r="S47" s="62">
        <f ca="1">AVERAGE(OFFSET($R$3,0,0,'Données projet'!$E$9+1,1))-AVERAGE(OFFSET($H$3,0,0,'Données projet'!$E$9+1,1))</f>
        <v>177.70053246230015</v>
      </c>
      <c r="T47" s="62">
        <f t="shared" si="34"/>
        <v>85.631326020763254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6.4</v>
      </c>
      <c r="AI47" s="14">
        <f>IF('Données projet'!$A$62&gt;35,AI46+AH47-AQ46,IF(A47&lt;'Données projet'!$A$62,$AF$205^A47,IF(A47='Données projet'!$A$62,'Données projet'!$B$62,AI46+AH47-AQ46)))</f>
        <v>155.60000000000002</v>
      </c>
      <c r="AJ47" s="14">
        <f>AI47*VLOOKUP('Données projet'!$B$10,Paramètres!$A$1:$I$89,3,0)*VLOOKUP('Données projet'!$B$10,Paramètres!$A$1:$I$89,5,0)</f>
        <v>135.93216000000004</v>
      </c>
      <c r="AK47" s="14">
        <f t="shared" si="35"/>
        <v>35.36352729450968</v>
      </c>
      <c r="AL47" s="22">
        <f t="shared" si="4"/>
        <v>298.33998870460442</v>
      </c>
      <c r="AM47" s="62">
        <f t="shared" si="5"/>
        <v>591.67332203793774</v>
      </c>
      <c r="AN47" s="62">
        <f ca="1">AVERAGE(OFFSET($AM$3,0,0,'Données projet'!$E$10+1,1))-AVERAGE(OFFSET($H$3,0,0,'Données projet'!$E$10+1,1))</f>
        <v>212.11273590951606</v>
      </c>
      <c r="AO47" s="62">
        <f t="shared" si="36"/>
        <v>240.9595690943346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2.2737367544323206E-13</v>
      </c>
      <c r="BE47" s="14">
        <f>BD47*VLOOKUP('Données projet'!$B$11,Paramètres!$A$1:$I$89,3,0)*VLOOKUP('Données projet'!$B$11,Paramètres!$A$1:$I$89,5,0)</f>
        <v>1.3596945791505279E-13</v>
      </c>
      <c r="BF47" s="14">
        <f t="shared" si="37"/>
        <v>1.9708830566360721E-12</v>
      </c>
      <c r="BG47" s="22">
        <f t="shared" si="7"/>
        <v>3.669434796176543E-12</v>
      </c>
      <c r="BH47" s="62">
        <f t="shared" si="8"/>
        <v>293.33333333333701</v>
      </c>
      <c r="BI47" s="62">
        <f ca="1">AVERAGE(OFFSET($BH$3,0,0,'Données projet'!$E$11+1,1))-AVERAGE(OFFSET($H$3,0,0,'Données projet'!$E$11+1,1))</f>
        <v>172.49153247238672</v>
      </c>
      <c r="BJ47" s="62">
        <f t="shared" si="38"/>
        <v>301.94982606323254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21.881884907896506</v>
      </c>
      <c r="BQ47" s="23">
        <f>EXP(-LN(2)/25)*BQ46+(1-EXP(-LN(2)/25))/(LN(2)/25)*Calculateur!BL47*Calculateur!BN47*VLOOKUP('Données projet'!$B$11,Paramètres!$A$1:$I$89,3,0)*0.475*44/12</f>
        <v>9.3802520782683239</v>
      </c>
      <c r="BR47" s="23">
        <f>EXP(-LN(2)/2)*BR46+(1-EXP(-LN(2)/2))/(LN(2)/2)*BL47*BO47*VLOOKUP('Données projet'!$B$11,Paramètres!$A$1:$I$89,3,0)*0.475*44/12</f>
        <v>4.5500192270486683E-2</v>
      </c>
      <c r="BS47" s="24">
        <f t="shared" si="9"/>
        <v>31.307637178435318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11.6</v>
      </c>
      <c r="BY47" s="13">
        <f>IF('Données projet'!$A$114&gt;35,BY46+BX47-CG46,IF(A47&lt;'Données projet'!$A$114,$BV$205^A47,IF(A47='Données projet'!$A$114,'Données projet'!$B$114,BY46+BX47-CG46)))</f>
        <v>216.40000000000009</v>
      </c>
      <c r="BZ47" s="14">
        <f>BY47*VLOOKUP('Données projet'!$B$12,Paramètres!$A$1:$I$89,3,0)*VLOOKUP('Données projet'!$B$12,Paramètres!$A$1:$I$89,5,0)</f>
        <v>123.78080000000006</v>
      </c>
      <c r="CA47" s="14">
        <f t="shared" si="39"/>
        <v>32.555210491234583</v>
      </c>
      <c r="CB47" s="22">
        <f t="shared" si="10"/>
        <v>272.28521827223369</v>
      </c>
      <c r="CC47" s="62">
        <f t="shared" si="11"/>
        <v>565.61855160556706</v>
      </c>
      <c r="CD47" s="62">
        <f ca="1">AVERAGE(OFFSET($CC$3,0,0,'Données projet'!$E$12+1,1))-AVERAGE(OFFSET($H$3,0,0,'Données projet'!$E$12+1,1))</f>
        <v>177.71338645688661</v>
      </c>
      <c r="CE47" s="62">
        <f t="shared" si="40"/>
        <v>153.65872713651345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1.2050137278473969</v>
      </c>
      <c r="CM47" s="23">
        <f>EXP(-LN(2)/2)*CM46+(1-EXP(-LN(2)/2))/(LN(2)/2)*CG47*CJ47*VLOOKUP('Données projet'!$B$12,Paramètres!$A$1:$I$89,3,0)*0.475*44/12</f>
        <v>5.3665831111262231E-3</v>
      </c>
      <c r="CN47" s="24">
        <f t="shared" si="12"/>
        <v>1.2103803109585232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161.39999999999989</v>
      </c>
      <c r="CU47" s="18">
        <f>CT47*VLOOKUP('Données projet'!$B$13,Paramètres!$A$1:$I$89,3,0)*VLOOKUP('Données projet'!$B$13,Paramètres!$A$1:$I$89,5,0)</f>
        <v>105.74927999999993</v>
      </c>
      <c r="CV47" s="14">
        <f t="shared" si="41"/>
        <v>28.327196320252849</v>
      </c>
      <c r="CW47" s="22">
        <f t="shared" si="13"/>
        <v>233.51652959110689</v>
      </c>
      <c r="CX47" s="62">
        <f t="shared" si="14"/>
        <v>526.84986292444023</v>
      </c>
      <c r="CY47" s="62">
        <f ca="1">AVERAGE(OFFSET($CX$3,0,0,'Données projet'!$E$13+1,1))-AVERAGE(OFFSET($H$3,0,0,'Données projet'!$E$13+1,1))</f>
        <v>118.65321241325523</v>
      </c>
      <c r="CZ47" s="62">
        <f t="shared" si="42"/>
        <v>140.55041555757327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170.60000000000005</v>
      </c>
      <c r="DP47" s="18">
        <f>DO47*VLOOKUP('Données projet'!$B$14,Paramètres!$A$1:$I$89,3,0)*VLOOKUP('Données projet'!$B$14,Paramètres!$A$1:$I$89,5,0)</f>
        <v>172.98840000000007</v>
      </c>
      <c r="DQ47" s="14">
        <f t="shared" si="43"/>
        <v>43.758645457754092</v>
      </c>
      <c r="DR47" s="22">
        <f t="shared" si="16"/>
        <v>377.50110417225511</v>
      </c>
      <c r="DS47" s="62">
        <f t="shared" si="17"/>
        <v>670.83443750558843</v>
      </c>
      <c r="DT47" s="62">
        <f ca="1">AVERAGE(OFFSET($DS$3,0,0,'Données projet'!$E$14+1,1))-AVERAGE(OFFSET($H$3,0,0,'Données projet'!$E$14+1,1))</f>
        <v>328.70784159273131</v>
      </c>
      <c r="DU47" s="62">
        <f t="shared" si="44"/>
        <v>193.18009444354601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121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120.99999999999999</v>
      </c>
      <c r="O48" s="14">
        <f>N48*VLOOKUP('Données projet'!$B$9,Paramètres!$A$1:$I$89,3,0)*VLOOKUP('Données projet'!$B$9,Paramètres!$A$1:$I$89,5,0)</f>
        <v>109.48079999999999</v>
      </c>
      <c r="P48" s="14">
        <f t="shared" si="33"/>
        <v>29.208623339903898</v>
      </c>
      <c r="Q48" s="22">
        <f t="shared" si="53"/>
        <v>241.5507456503326</v>
      </c>
      <c r="R48" s="62">
        <f t="shared" si="0"/>
        <v>534.88407898366586</v>
      </c>
      <c r="S48" s="62">
        <f ca="1">AVERAGE(OFFSET($R$3,0,0,'Données projet'!$E$9+1,1))-AVERAGE(OFFSET($H$3,0,0,'Données projet'!$E$9+1,1))</f>
        <v>177.70053246230015</v>
      </c>
      <c r="T48" s="62">
        <f t="shared" si="34"/>
        <v>85.631326020763254</v>
      </c>
      <c r="U48" s="16">
        <f>IF(ISNA(VLOOKUP(A48,'Données projet'!$A$35:$I$55,3,0)),0,VLOOKUP(A48,'Données projet'!$A$35:$I$55,3,0))</f>
        <v>2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162</v>
      </c>
      <c r="AG48" s="13">
        <f>VLOOKUP(A48,'Données projet'!$A$61:$I$81,9,0)</f>
        <v>6.4</v>
      </c>
      <c r="AH48" s="13">
        <f t="array" ref="AH48">INDEX(AG:AG,MIN(IF(ISNUMBER(AG48:AG244),ROW(AG48:AG244),"")))</f>
        <v>6.4</v>
      </c>
      <c r="AI48" s="14">
        <f>IF('Données projet'!$A$62&gt;35,AI47+AH48-AQ47,IF(A48&lt;'Données projet'!$A$62,$AF$205^A48,IF(A48='Données projet'!$A$62,'Données projet'!$B$62,AI47+AH48-AQ47)))</f>
        <v>162.00000000000003</v>
      </c>
      <c r="AJ48" s="14">
        <f>AI48*VLOOKUP('Données projet'!$B$10,Paramètres!$A$1:$I$89,3,0)*VLOOKUP('Données projet'!$B$10,Paramètres!$A$1:$I$89,5,0)</f>
        <v>141.52320000000006</v>
      </c>
      <c r="AK48" s="14">
        <f t="shared" si="35"/>
        <v>36.645729158274158</v>
      </c>
      <c r="AL48" s="22">
        <f t="shared" si="4"/>
        <v>310.31088495066086</v>
      </c>
      <c r="AM48" s="62">
        <f t="shared" si="5"/>
        <v>603.64421828399418</v>
      </c>
      <c r="AN48" s="62">
        <f ca="1">AVERAGE(OFFSET($AM$3,0,0,'Données projet'!$E$10+1,1))-AVERAGE(OFFSET($H$3,0,0,'Données projet'!$E$10+1,1))</f>
        <v>212.11273590951606</v>
      </c>
      <c r="AO48" s="62">
        <f t="shared" si="36"/>
        <v>240.9595690943346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2.2737367544323206E-13</v>
      </c>
      <c r="BE48" s="14">
        <f>BD48*VLOOKUP('Données projet'!$B$11,Paramètres!$A$1:$I$89,3,0)*VLOOKUP('Données projet'!$B$11,Paramètres!$A$1:$I$89,5,0)</f>
        <v>1.3596945791505279E-13</v>
      </c>
      <c r="BF48" s="14">
        <f t="shared" si="37"/>
        <v>1.9708830566360721E-12</v>
      </c>
      <c r="BG48" s="22">
        <f t="shared" si="7"/>
        <v>3.669434796176543E-12</v>
      </c>
      <c r="BH48" s="62">
        <f t="shared" si="8"/>
        <v>293.33333333333701</v>
      </c>
      <c r="BI48" s="62">
        <f ca="1">AVERAGE(OFFSET($BH$3,0,0,'Données projet'!$E$11+1,1))-AVERAGE(OFFSET($H$3,0,0,'Données projet'!$E$11+1,1))</f>
        <v>172.49153247238672</v>
      </c>
      <c r="BJ48" s="62">
        <f t="shared" si="38"/>
        <v>301.94982606323254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21.452794491484578</v>
      </c>
      <c r="BQ48" s="23">
        <f>EXP(-LN(2)/25)*BQ47+(1-EXP(-LN(2)/25))/(LN(2)/25)*Calculateur!BL48*Calculateur!BN48*VLOOKUP('Données projet'!$B$11,Paramètres!$A$1:$I$89,3,0)*0.475*44/12</f>
        <v>9.1237485919020589</v>
      </c>
      <c r="BR48" s="23">
        <f>EXP(-LN(2)/2)*BR47+(1-EXP(-LN(2)/2))/(LN(2)/2)*BL48*BO48*VLOOKUP('Données projet'!$B$11,Paramètres!$A$1:$I$89,3,0)*0.475*44/12</f>
        <v>3.2173494499752868E-2</v>
      </c>
      <c r="BS48" s="24">
        <f t="shared" si="9"/>
        <v>30.608716577886391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11.6</v>
      </c>
      <c r="BY48" s="13">
        <f>IF('Données projet'!$A$114&gt;35,BY47+BX48-CG47,IF(A48&lt;'Données projet'!$A$114,$BV$205^A48,IF(A48='Données projet'!$A$114,'Données projet'!$B$114,BY47+BX48-CG47)))</f>
        <v>228.00000000000009</v>
      </c>
      <c r="BZ48" s="14">
        <f>BY48*VLOOKUP('Données projet'!$B$12,Paramètres!$A$1:$I$89,3,0)*VLOOKUP('Données projet'!$B$12,Paramètres!$A$1:$I$89,5,0)</f>
        <v>130.41600000000005</v>
      </c>
      <c r="CA48" s="14">
        <f t="shared" si="39"/>
        <v>34.092466837179941</v>
      </c>
      <c r="CB48" s="22">
        <f t="shared" si="10"/>
        <v>286.51891307475512</v>
      </c>
      <c r="CC48" s="62">
        <f t="shared" si="11"/>
        <v>579.85224640808838</v>
      </c>
      <c r="CD48" s="62">
        <f ca="1">AVERAGE(OFFSET($CC$3,0,0,'Données projet'!$E$12+1,1))-AVERAGE(OFFSET($H$3,0,0,'Données projet'!$E$12+1,1))</f>
        <v>177.71338645688661</v>
      </c>
      <c r="CE48" s="62">
        <f t="shared" si="40"/>
        <v>153.65872713651345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1.172062564090492</v>
      </c>
      <c r="CM48" s="23">
        <f>EXP(-LN(2)/2)*CM47+(1-EXP(-LN(2)/2))/(LN(2)/2)*CG48*CJ48*VLOOKUP('Données projet'!$B$12,Paramètres!$A$1:$I$89,3,0)*0.475*44/12</f>
        <v>3.7947473096785521E-3</v>
      </c>
      <c r="CN48" s="24">
        <f t="shared" si="12"/>
        <v>1.1758573114001707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167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166.99999999999989</v>
      </c>
      <c r="CU48" s="18">
        <f>CT48*VLOOKUP('Données projet'!$B$13,Paramètres!$A$1:$I$89,3,0)*VLOOKUP('Données projet'!$B$13,Paramètres!$A$1:$I$89,5,0)</f>
        <v>109.41839999999992</v>
      </c>
      <c r="CV48" s="14">
        <f t="shared" si="41"/>
        <v>29.193912826430939</v>
      </c>
      <c r="CW48" s="22">
        <f t="shared" si="13"/>
        <v>241.41644483936707</v>
      </c>
      <c r="CX48" s="62">
        <f t="shared" si="14"/>
        <v>534.74977817270042</v>
      </c>
      <c r="CY48" s="62">
        <f ca="1">AVERAGE(OFFSET($CX$3,0,0,'Données projet'!$E$13+1,1))-AVERAGE(OFFSET($H$3,0,0,'Données projet'!$E$13+1,1))</f>
        <v>118.65321241325523</v>
      </c>
      <c r="CZ48" s="62">
        <f t="shared" si="42"/>
        <v>140.55041555757327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38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179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179.00000000000006</v>
      </c>
      <c r="DP48" s="18">
        <f>DO48*VLOOKUP('Données projet'!$B$14,Paramètres!$A$1:$I$89,3,0)*VLOOKUP('Données projet'!$B$14,Paramètres!$A$1:$I$89,5,0)</f>
        <v>181.50600000000006</v>
      </c>
      <c r="DQ48" s="14">
        <f t="shared" si="43"/>
        <v>45.657080773122978</v>
      </c>
      <c r="DR48" s="22">
        <f t="shared" si="16"/>
        <v>395.64236567985591</v>
      </c>
      <c r="DS48" s="62">
        <f t="shared" si="17"/>
        <v>688.97569901318923</v>
      </c>
      <c r="DT48" s="62">
        <f ca="1">AVERAGE(OFFSET($DS$3,0,0,'Données projet'!$E$14+1,1))-AVERAGE(OFFSET($H$3,0,0,'Données projet'!$E$14+1,1))</f>
        <v>328.70784159273131</v>
      </c>
      <c r="DU48" s="62">
        <f t="shared" si="44"/>
        <v>193.18009444354601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42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98.59999999999998</v>
      </c>
      <c r="O49" s="14">
        <f>N49*VLOOKUP('Données projet'!$B$9,Paramètres!$A$1:$I$89,3,0)*VLOOKUP('Données projet'!$B$9,Paramètres!$A$1:$I$89,5,0)</f>
        <v>89.213279999999969</v>
      </c>
      <c r="P49" s="14">
        <f t="shared" si="33"/>
        <v>24.375390230293544</v>
      </c>
      <c r="Q49" s="22">
        <f t="shared" si="53"/>
        <v>197.83360065109454</v>
      </c>
      <c r="R49" s="62">
        <f t="shared" si="0"/>
        <v>491.16693398442783</v>
      </c>
      <c r="S49" s="62">
        <f ca="1">AVERAGE(OFFSET($R$3,0,0,'Données projet'!$E$9+1,1))-AVERAGE(OFFSET($H$3,0,0,'Données projet'!$E$9+1,1))</f>
        <v>177.70053246230015</v>
      </c>
      <c r="T49" s="62">
        <f t="shared" si="34"/>
        <v>85.631326020763254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</v>
      </c>
      <c r="AI49" s="14">
        <f>IF('Données projet'!$A$62&gt;35,AI48+AH49-AQ48,IF(A49&lt;'Données projet'!$A$62,$AF$205^A49,IF(A49='Données projet'!$A$62,'Données projet'!$B$62,AI48+AH49-AQ48)))</f>
        <v>168.00000000000003</v>
      </c>
      <c r="AJ49" s="14">
        <f>AI49*VLOOKUP('Données projet'!$B$10,Paramètres!$A$1:$I$89,3,0)*VLOOKUP('Données projet'!$B$10,Paramètres!$A$1:$I$89,5,0)</f>
        <v>146.76480000000004</v>
      </c>
      <c r="AK49" s="14">
        <f t="shared" si="35"/>
        <v>37.842444439956665</v>
      </c>
      <c r="AL49" s="22">
        <f t="shared" si="4"/>
        <v>321.52428406625791</v>
      </c>
      <c r="AM49" s="62">
        <f t="shared" si="5"/>
        <v>614.85761739959116</v>
      </c>
      <c r="AN49" s="62">
        <f ca="1">AVERAGE(OFFSET($AM$3,0,0,'Données projet'!$E$10+1,1))-AVERAGE(OFFSET($H$3,0,0,'Données projet'!$E$10+1,1))</f>
        <v>212.11273590951606</v>
      </c>
      <c r="AO49" s="62">
        <f t="shared" si="36"/>
        <v>240.9595690943346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2.2737367544323206E-13</v>
      </c>
      <c r="BE49" s="14">
        <f>BD49*VLOOKUP('Données projet'!$B$11,Paramètres!$A$1:$I$89,3,0)*VLOOKUP('Données projet'!$B$11,Paramètres!$A$1:$I$89,5,0)</f>
        <v>1.3596945791505279E-13</v>
      </c>
      <c r="BF49" s="14">
        <f t="shared" si="37"/>
        <v>1.9708830566360721E-12</v>
      </c>
      <c r="BG49" s="22">
        <f t="shared" si="7"/>
        <v>3.669434796176543E-12</v>
      </c>
      <c r="BH49" s="62">
        <f t="shared" si="8"/>
        <v>293.33333333333701</v>
      </c>
      <c r="BI49" s="62">
        <f ca="1">AVERAGE(OFFSET($BH$3,0,0,'Données projet'!$E$11+1,1))-AVERAGE(OFFSET($H$3,0,0,'Données projet'!$E$11+1,1))</f>
        <v>172.49153247238672</v>
      </c>
      <c r="BJ49" s="62">
        <f t="shared" si="38"/>
        <v>301.94982606323254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21.032118276419176</v>
      </c>
      <c r="BQ49" s="23">
        <f>EXP(-LN(2)/25)*BQ48+(1-EXP(-LN(2)/25))/(LN(2)/25)*Calculateur!BL49*Calculateur!BN49*VLOOKUP('Données projet'!$B$11,Paramètres!$A$1:$I$89,3,0)*0.475*44/12</f>
        <v>8.8742592068594117</v>
      </c>
      <c r="BR49" s="23">
        <f>EXP(-LN(2)/2)*BR48+(1-EXP(-LN(2)/2))/(LN(2)/2)*BL49*BO49*VLOOKUP('Données projet'!$B$11,Paramètres!$A$1:$I$89,3,0)*0.475*44/12</f>
        <v>2.2750096135243342E-2</v>
      </c>
      <c r="BS49" s="24">
        <f t="shared" si="9"/>
        <v>29.929127579413834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11.6</v>
      </c>
      <c r="BY49" s="13">
        <f>IF('Données projet'!$A$114&gt;35,BY48+BX49-CG48,IF(A49&lt;'Données projet'!$A$114,$BV$205^A49,IF(A49='Données projet'!$A$114,'Données projet'!$B$114,BY48+BX49-CG48)))</f>
        <v>239.60000000000008</v>
      </c>
      <c r="BZ49" s="14">
        <f>BY49*VLOOKUP('Données projet'!$B$12,Paramètres!$A$1:$I$89,3,0)*VLOOKUP('Données projet'!$B$12,Paramètres!$A$1:$I$89,5,0)</f>
        <v>137.05120000000005</v>
      </c>
      <c r="CA49" s="14">
        <f t="shared" si="39"/>
        <v>35.620642156874403</v>
      </c>
      <c r="CB49" s="22">
        <f t="shared" si="10"/>
        <v>300.73679175655633</v>
      </c>
      <c r="CC49" s="62">
        <f t="shared" si="11"/>
        <v>594.07012508988964</v>
      </c>
      <c r="CD49" s="62">
        <f ca="1">AVERAGE(OFFSET($CC$3,0,0,'Données projet'!$E$12+1,1))-AVERAGE(OFFSET($H$3,0,0,'Données projet'!$E$12+1,1))</f>
        <v>177.71338645688661</v>
      </c>
      <c r="CE49" s="62">
        <f t="shared" si="40"/>
        <v>153.65872713651345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1.1400124516393462</v>
      </c>
      <c r="CM49" s="23">
        <f>EXP(-LN(2)/2)*CM48+(1-EXP(-LN(2)/2))/(LN(2)/2)*CG49*CJ49*VLOOKUP('Données projet'!$B$12,Paramètres!$A$1:$I$89,3,0)*0.475*44/12</f>
        <v>2.683291555563112E-3</v>
      </c>
      <c r="CN49" s="24">
        <f t="shared" si="12"/>
        <v>1.1426957431949092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</v>
      </c>
      <c r="CT49" s="13">
        <f>IF('Données projet'!$A$140&gt;35,CT48+CS49-DB48,IF(A49&lt;'Données projet'!$A$140,$CQ$205^A49,IF(A49='Données projet'!$A$140,'Données projet'!$B$140,CT48+CS49-DB48)))</f>
        <v>133.99999999999989</v>
      </c>
      <c r="CU49" s="18">
        <f>CT49*VLOOKUP('Données projet'!$B$13,Paramètres!$A$1:$I$89,3,0)*VLOOKUP('Données projet'!$B$13,Paramètres!$A$1:$I$89,5,0)</f>
        <v>87.796799999999934</v>
      </c>
      <c r="CV49" s="14">
        <f t="shared" si="41"/>
        <v>24.033102173590805</v>
      </c>
      <c r="CW49" s="22">
        <f t="shared" si="13"/>
        <v>194.77041295233721</v>
      </c>
      <c r="CX49" s="62">
        <f t="shared" si="14"/>
        <v>488.10374628567052</v>
      </c>
      <c r="CY49" s="62">
        <f ca="1">AVERAGE(OFFSET($CX$3,0,0,'Données projet'!$E$13+1,1))-AVERAGE(OFFSET($H$3,0,0,'Données projet'!$E$13+1,1))</f>
        <v>118.65321241325523</v>
      </c>
      <c r="CZ49" s="62">
        <f t="shared" si="42"/>
        <v>140.55041555757327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145.20000000000005</v>
      </c>
      <c r="DP49" s="18">
        <f>DO49*VLOOKUP('Données projet'!$B$14,Paramètres!$A$1:$I$89,3,0)*VLOOKUP('Données projet'!$B$14,Paramètres!$A$1:$I$89,5,0)</f>
        <v>147.23280000000005</v>
      </c>
      <c r="DQ49" s="14">
        <f t="shared" si="43"/>
        <v>37.949049623906205</v>
      </c>
      <c r="DR49" s="22">
        <f t="shared" si="16"/>
        <v>322.52505476163668</v>
      </c>
      <c r="DS49" s="62">
        <f t="shared" si="17"/>
        <v>615.85838809497</v>
      </c>
      <c r="DT49" s="62">
        <f ca="1">AVERAGE(OFFSET($DS$3,0,0,'Données projet'!$E$14+1,1))-AVERAGE(OFFSET($H$3,0,0,'Données projet'!$E$14+1,1))</f>
        <v>328.70784159273131</v>
      </c>
      <c r="DU49" s="62">
        <f t="shared" si="44"/>
        <v>193.18009444354601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104.19999999999997</v>
      </c>
      <c r="O50" s="14">
        <f>N50*VLOOKUP('Données projet'!$B$9,Paramètres!$A$1:$I$89,3,0)*VLOOKUP('Données projet'!$B$9,Paramètres!$A$1:$I$89,5,0)</f>
        <v>94.280159999999967</v>
      </c>
      <c r="P50" s="14">
        <f t="shared" si="33"/>
        <v>25.594688689992932</v>
      </c>
      <c r="Q50" s="22">
        <f t="shared" si="53"/>
        <v>208.78202813507096</v>
      </c>
      <c r="R50" s="62">
        <f t="shared" si="0"/>
        <v>502.11536146840427</v>
      </c>
      <c r="S50" s="62">
        <f ca="1">AVERAGE(OFFSET($R$3,0,0,'Données projet'!$E$9+1,1))-AVERAGE(OFFSET($H$3,0,0,'Données projet'!$E$9+1,1))</f>
        <v>177.70053246230015</v>
      </c>
      <c r="T50" s="62">
        <f t="shared" si="34"/>
        <v>85.631326020763254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</v>
      </c>
      <c r="AI50" s="14">
        <f>IF('Données projet'!$A$62&gt;35,AI49+AH50-AQ49,IF(A50&lt;'Données projet'!$A$62,$AF$205^A50,IF(A50='Données projet'!$A$62,'Données projet'!$B$62,AI49+AH50-AQ49)))</f>
        <v>174.00000000000003</v>
      </c>
      <c r="AJ50" s="14">
        <f>AI50*VLOOKUP('Données projet'!$B$10,Paramètres!$A$1:$I$89,3,0)*VLOOKUP('Données projet'!$B$10,Paramètres!$A$1:$I$89,5,0)</f>
        <v>152.00640000000004</v>
      </c>
      <c r="AK50" s="14">
        <f t="shared" si="35"/>
        <v>39.034194016561486</v>
      </c>
      <c r="AL50" s="22">
        <f t="shared" si="4"/>
        <v>332.72903457884462</v>
      </c>
      <c r="AM50" s="62">
        <f t="shared" si="5"/>
        <v>626.06236791217793</v>
      </c>
      <c r="AN50" s="62">
        <f ca="1">AVERAGE(OFFSET($AM$3,0,0,'Données projet'!$E$10+1,1))-AVERAGE(OFFSET($H$3,0,0,'Données projet'!$E$10+1,1))</f>
        <v>212.11273590951606</v>
      </c>
      <c r="AO50" s="62">
        <f t="shared" si="36"/>
        <v>240.9595690943346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2.2737367544323206E-13</v>
      </c>
      <c r="BE50" s="14">
        <f>BD50*VLOOKUP('Données projet'!$B$11,Paramètres!$A$1:$I$89,3,0)*VLOOKUP('Données projet'!$B$11,Paramètres!$A$1:$I$89,5,0)</f>
        <v>1.3596945791505279E-13</v>
      </c>
      <c r="BF50" s="14">
        <f t="shared" si="37"/>
        <v>1.9708830566360721E-12</v>
      </c>
      <c r="BG50" s="22">
        <f t="shared" si="7"/>
        <v>3.669434796176543E-12</v>
      </c>
      <c r="BH50" s="62">
        <f t="shared" si="8"/>
        <v>293.33333333333701</v>
      </c>
      <c r="BI50" s="62">
        <f ca="1">AVERAGE(OFFSET($BH$3,0,0,'Données projet'!$E$11+1,1))-AVERAGE(OFFSET($H$3,0,0,'Données projet'!$E$11+1,1))</f>
        <v>172.49153247238672</v>
      </c>
      <c r="BJ50" s="62">
        <f t="shared" si="38"/>
        <v>301.94982606323254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20.619691265344052</v>
      </c>
      <c r="BQ50" s="23">
        <f>EXP(-LN(2)/25)*BQ49+(1-EXP(-LN(2)/25))/(LN(2)/25)*Calculateur!BL50*Calculateur!BN50*VLOOKUP('Données projet'!$B$11,Paramètres!$A$1:$I$89,3,0)*0.475*44/12</f>
        <v>8.6315921221708312</v>
      </c>
      <c r="BR50" s="23">
        <f>EXP(-LN(2)/2)*BR49+(1-EXP(-LN(2)/2))/(LN(2)/2)*BL50*BO50*VLOOKUP('Données projet'!$B$11,Paramètres!$A$1:$I$89,3,0)*0.475*44/12</f>
        <v>1.6086747249876434E-2</v>
      </c>
      <c r="BS50" s="24">
        <f t="shared" si="9"/>
        <v>29.267370134764757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11.6</v>
      </c>
      <c r="BY50" s="13">
        <f>IF('Données projet'!$A$114&gt;35,BY49+BX50-CG49,IF(A50&lt;'Données projet'!$A$114,$BV$205^A50,IF(A50='Données projet'!$A$114,'Données projet'!$B$114,BY49+BX50-CG49)))</f>
        <v>251.20000000000007</v>
      </c>
      <c r="BZ50" s="14">
        <f>BY50*VLOOKUP('Données projet'!$B$12,Paramètres!$A$1:$I$89,3,0)*VLOOKUP('Données projet'!$B$12,Paramètres!$A$1:$I$89,5,0)</f>
        <v>143.68640000000005</v>
      </c>
      <c r="CA50" s="14">
        <f t="shared" si="39"/>
        <v>37.140226285695888</v>
      </c>
      <c r="CB50" s="22">
        <f t="shared" si="10"/>
        <v>314.93970744758707</v>
      </c>
      <c r="CC50" s="62">
        <f t="shared" si="11"/>
        <v>608.27304078092038</v>
      </c>
      <c r="CD50" s="62">
        <f ca="1">AVERAGE(OFFSET($CC$3,0,0,'Données projet'!$E$12+1,1))-AVERAGE(OFFSET($H$3,0,0,'Données projet'!$E$12+1,1))</f>
        <v>177.71338645688661</v>
      </c>
      <c r="CE50" s="62">
        <f t="shared" si="40"/>
        <v>153.65872713651345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1.1088387511986189</v>
      </c>
      <c r="CM50" s="23">
        <f>EXP(-LN(2)/2)*CM49+(1-EXP(-LN(2)/2))/(LN(2)/2)*CG50*CJ50*VLOOKUP('Données projet'!$B$12,Paramètres!$A$1:$I$89,3,0)*0.475*44/12</f>
        <v>1.8973736548392763E-3</v>
      </c>
      <c r="CN50" s="24">
        <f t="shared" si="12"/>
        <v>1.1107361248534582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</v>
      </c>
      <c r="CT50" s="13">
        <f>IF('Données projet'!$A$140&gt;35,CT49+CS50-DB49,IF(A50&lt;'Données projet'!$A$140,$CQ$205^A50,IF(A50='Données projet'!$A$140,'Données projet'!$B$140,CT49+CS50-DB49)))</f>
        <v>138.99999999999989</v>
      </c>
      <c r="CU50" s="18">
        <f>CT50*VLOOKUP('Données projet'!$B$13,Paramètres!$A$1:$I$89,3,0)*VLOOKUP('Données projet'!$B$13,Paramètres!$A$1:$I$89,5,0)</f>
        <v>91.07279999999993</v>
      </c>
      <c r="CV50" s="14">
        <f t="shared" si="41"/>
        <v>24.823779817332358</v>
      </c>
      <c r="CW50" s="22">
        <f t="shared" si="13"/>
        <v>201.85320984852038</v>
      </c>
      <c r="CX50" s="62">
        <f t="shared" si="14"/>
        <v>495.18654318185372</v>
      </c>
      <c r="CY50" s="62">
        <f ca="1">AVERAGE(OFFSET($CX$3,0,0,'Données projet'!$E$13+1,1))-AVERAGE(OFFSET($H$3,0,0,'Données projet'!$E$13+1,1))</f>
        <v>118.65321241325523</v>
      </c>
      <c r="CZ50" s="62">
        <f t="shared" si="42"/>
        <v>140.55041555757327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153.40000000000003</v>
      </c>
      <c r="DP50" s="18">
        <f>DO50*VLOOKUP('Données projet'!$B$14,Paramètres!$A$1:$I$89,3,0)*VLOOKUP('Données projet'!$B$14,Paramètres!$A$1:$I$89,5,0)</f>
        <v>155.54760000000005</v>
      </c>
      <c r="DQ50" s="14">
        <f t="shared" si="43"/>
        <v>39.836620617816237</v>
      </c>
      <c r="DR50" s="22">
        <f t="shared" si="16"/>
        <v>340.29418424269664</v>
      </c>
      <c r="DS50" s="62">
        <f t="shared" si="17"/>
        <v>633.62751757602996</v>
      </c>
      <c r="DT50" s="62">
        <f ca="1">AVERAGE(OFFSET($DS$3,0,0,'Données projet'!$E$14+1,1))-AVERAGE(OFFSET($H$3,0,0,'Données projet'!$E$14+1,1))</f>
        <v>328.70784159273131</v>
      </c>
      <c r="DU50" s="62">
        <f t="shared" si="44"/>
        <v>193.18009444354601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109.79999999999997</v>
      </c>
      <c r="O51" s="14">
        <f>N51*VLOOKUP('Données projet'!$B$9,Paramètres!$A$1:$I$89,3,0)*VLOOKUP('Données projet'!$B$9,Paramètres!$A$1:$I$89,5,0)</f>
        <v>99.347039999999964</v>
      </c>
      <c r="P51" s="14">
        <f t="shared" si="33"/>
        <v>26.806379572460035</v>
      </c>
      <c r="Q51" s="22">
        <f t="shared" si="53"/>
        <v>219.71720575536781</v>
      </c>
      <c r="R51" s="62">
        <f t="shared" si="0"/>
        <v>513.05053908870116</v>
      </c>
      <c r="S51" s="62">
        <f ca="1">AVERAGE(OFFSET($R$3,0,0,'Données projet'!$E$9+1,1))-AVERAGE(OFFSET($H$3,0,0,'Données projet'!$E$9+1,1))</f>
        <v>177.70053246230015</v>
      </c>
      <c r="T51" s="62">
        <f t="shared" si="34"/>
        <v>85.631326020763254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</v>
      </c>
      <c r="AI51" s="14">
        <f>IF('Données projet'!$A$62&gt;35,AI50+AH51-AQ50,IF(A51&lt;'Données projet'!$A$62,$AF$205^A51,IF(A51='Données projet'!$A$62,'Données projet'!$B$62,AI50+AH51-AQ50)))</f>
        <v>180.00000000000003</v>
      </c>
      <c r="AJ51" s="14">
        <f>AI51*VLOOKUP('Données projet'!$B$10,Paramètres!$A$1:$I$89,3,0)*VLOOKUP('Données projet'!$B$10,Paramètres!$A$1:$I$89,5,0)</f>
        <v>157.24800000000005</v>
      </c>
      <c r="AK51" s="14">
        <f t="shared" si="35"/>
        <v>40.221168744348645</v>
      </c>
      <c r="AL51" s="22">
        <f t="shared" si="4"/>
        <v>343.92546889640727</v>
      </c>
      <c r="AM51" s="62">
        <f t="shared" si="5"/>
        <v>637.25880222974058</v>
      </c>
      <c r="AN51" s="62">
        <f ca="1">AVERAGE(OFFSET($AM$3,0,0,'Données projet'!$E$10+1,1))-AVERAGE(OFFSET($H$3,0,0,'Données projet'!$E$10+1,1))</f>
        <v>212.11273590951606</v>
      </c>
      <c r="AO51" s="62">
        <f t="shared" si="36"/>
        <v>240.9595690943346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2.2737367544323206E-13</v>
      </c>
      <c r="BE51" s="14">
        <f>BD51*VLOOKUP('Données projet'!$B$11,Paramètres!$A$1:$I$89,3,0)*VLOOKUP('Données projet'!$B$11,Paramètres!$A$1:$I$89,5,0)</f>
        <v>1.3596945791505279E-13</v>
      </c>
      <c r="BF51" s="14">
        <f t="shared" si="37"/>
        <v>1.9708830566360721E-12</v>
      </c>
      <c r="BG51" s="22">
        <f t="shared" si="7"/>
        <v>3.669434796176543E-12</v>
      </c>
      <c r="BH51" s="62">
        <f t="shared" si="8"/>
        <v>293.33333333333701</v>
      </c>
      <c r="BI51" s="62">
        <f ca="1">AVERAGE(OFFSET($BH$3,0,0,'Données projet'!$E$11+1,1))-AVERAGE(OFFSET($H$3,0,0,'Données projet'!$E$11+1,1))</f>
        <v>172.49153247238672</v>
      </c>
      <c r="BJ51" s="62">
        <f t="shared" si="38"/>
        <v>301.94982606323254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20.215351696400475</v>
      </c>
      <c r="BQ51" s="23">
        <f>EXP(-LN(2)/25)*BQ50+(1-EXP(-LN(2)/25))/(LN(2)/25)*Calculateur!BL51*Calculateur!BN51*VLOOKUP('Données projet'!$B$11,Paramètres!$A$1:$I$89,3,0)*0.475*44/12</f>
        <v>8.3955607816743676</v>
      </c>
      <c r="BR51" s="23">
        <f>EXP(-LN(2)/2)*BR50+(1-EXP(-LN(2)/2))/(LN(2)/2)*BL51*BO51*VLOOKUP('Données projet'!$B$11,Paramètres!$A$1:$I$89,3,0)*0.475*44/12</f>
        <v>1.1375048067621671E-2</v>
      </c>
      <c r="BS51" s="24">
        <f t="shared" si="9"/>
        <v>28.622287526142465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11.6</v>
      </c>
      <c r="BY51" s="13">
        <f>IF('Données projet'!$A$114&gt;35,BY50+BX51-CG50,IF(A51&lt;'Données projet'!$A$114,$BV$205^A51,IF(A51='Données projet'!$A$114,'Données projet'!$B$114,BY50+BX51-CG50)))</f>
        <v>262.80000000000007</v>
      </c>
      <c r="BZ51" s="14">
        <f>BY51*VLOOKUP('Données projet'!$B$12,Paramètres!$A$1:$I$89,3,0)*VLOOKUP('Données projet'!$B$12,Paramètres!$A$1:$I$89,5,0)</f>
        <v>150.32160000000005</v>
      </c>
      <c r="CA51" s="14">
        <f t="shared" si="39"/>
        <v>38.651661262565312</v>
      </c>
      <c r="CB51" s="22">
        <f t="shared" si="10"/>
        <v>329.12843003230131</v>
      </c>
      <c r="CC51" s="62">
        <f t="shared" si="11"/>
        <v>622.46176336563462</v>
      </c>
      <c r="CD51" s="62">
        <f ca="1">AVERAGE(OFFSET($CC$3,0,0,'Données projet'!$E$12+1,1))-AVERAGE(OFFSET($H$3,0,0,'Données projet'!$E$12+1,1))</f>
        <v>177.71338645688661</v>
      </c>
      <c r="CE51" s="62">
        <f t="shared" si="40"/>
        <v>153.65872713651345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1.0785174972357969</v>
      </c>
      <c r="CM51" s="23">
        <f>EXP(-LN(2)/2)*CM50+(1-EXP(-LN(2)/2))/(LN(2)/2)*CG51*CJ51*VLOOKUP('Données projet'!$B$12,Paramètres!$A$1:$I$89,3,0)*0.475*44/12</f>
        <v>1.3416457777815562E-3</v>
      </c>
      <c r="CN51" s="24">
        <f t="shared" si="12"/>
        <v>1.0798591430135784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</v>
      </c>
      <c r="CT51" s="13">
        <f>IF('Données projet'!$A$140&gt;35,CT50+CS51-DB50,IF(A51&lt;'Données projet'!$A$140,$CQ$205^A51,IF(A51='Données projet'!$A$140,'Données projet'!$B$140,CT50+CS51-DB50)))</f>
        <v>143.99999999999989</v>
      </c>
      <c r="CU51" s="18">
        <f>CT51*VLOOKUP('Données projet'!$B$13,Paramètres!$A$1:$I$89,3,0)*VLOOKUP('Données projet'!$B$13,Paramètres!$A$1:$I$89,5,0)</f>
        <v>94.348799999999926</v>
      </c>
      <c r="CV51" s="14">
        <f t="shared" si="41"/>
        <v>25.611153022386439</v>
      </c>
      <c r="CW51" s="22">
        <f t="shared" si="13"/>
        <v>208.93025151398959</v>
      </c>
      <c r="CX51" s="62">
        <f t="shared" si="14"/>
        <v>502.26358484732293</v>
      </c>
      <c r="CY51" s="62">
        <f ca="1">AVERAGE(OFFSET($CX$3,0,0,'Données projet'!$E$13+1,1))-AVERAGE(OFFSET($H$3,0,0,'Données projet'!$E$13+1,1))</f>
        <v>118.65321241325523</v>
      </c>
      <c r="CZ51" s="62">
        <f t="shared" si="42"/>
        <v>140.55041555757327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161.60000000000002</v>
      </c>
      <c r="DP51" s="18">
        <f>DO51*VLOOKUP('Données projet'!$B$14,Paramètres!$A$1:$I$89,3,0)*VLOOKUP('Données projet'!$B$14,Paramètres!$A$1:$I$89,5,0)</f>
        <v>163.86240000000004</v>
      </c>
      <c r="DQ51" s="14">
        <f t="shared" si="43"/>
        <v>41.712477409029084</v>
      </c>
      <c r="DR51" s="22">
        <f t="shared" si="16"/>
        <v>358.0429114873923</v>
      </c>
      <c r="DS51" s="62">
        <f t="shared" si="17"/>
        <v>651.37624482072556</v>
      </c>
      <c r="DT51" s="62">
        <f ca="1">AVERAGE(OFFSET($DS$3,0,0,'Données projet'!$E$14+1,1))-AVERAGE(OFFSET($H$3,0,0,'Données projet'!$E$14+1,1))</f>
        <v>328.70784159273131</v>
      </c>
      <c r="DU51" s="62">
        <f t="shared" si="44"/>
        <v>193.18009444354601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115.39999999999996</v>
      </c>
      <c r="O52" s="14">
        <f>N52*VLOOKUP('Données projet'!$B$9,Paramètres!$A$1:$I$89,3,0)*VLOOKUP('Données projet'!$B$9,Paramètres!$A$1:$I$89,5,0)</f>
        <v>104.41391999999996</v>
      </c>
      <c r="P52" s="14">
        <f t="shared" si="33"/>
        <v>28.010895142032854</v>
      </c>
      <c r="Q52" s="22">
        <f t="shared" si="53"/>
        <v>230.63988637237381</v>
      </c>
      <c r="R52" s="62">
        <f t="shared" si="0"/>
        <v>523.97321970570715</v>
      </c>
      <c r="S52" s="62">
        <f ca="1">AVERAGE(OFFSET($R$3,0,0,'Données projet'!$E$9+1,1))-AVERAGE(OFFSET($H$3,0,0,'Données projet'!$E$9+1,1))</f>
        <v>177.70053246230015</v>
      </c>
      <c r="T52" s="62">
        <f t="shared" si="34"/>
        <v>85.631326020763254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</v>
      </c>
      <c r="AI52" s="14">
        <f>IF('Données projet'!$A$62&gt;35,AI51+AH52-AQ51,IF(A52&lt;'Données projet'!$A$62,$AF$205^A52,IF(A52='Données projet'!$A$62,'Données projet'!$B$62,AI51+AH52-AQ51)))</f>
        <v>186.00000000000003</v>
      </c>
      <c r="AJ52" s="14">
        <f>AI52*VLOOKUP('Données projet'!$B$10,Paramètres!$A$1:$I$89,3,0)*VLOOKUP('Données projet'!$B$10,Paramètres!$A$1:$I$89,5,0)</f>
        <v>162.48960000000005</v>
      </c>
      <c r="AK52" s="14">
        <f t="shared" si="35"/>
        <v>41.403546033820696</v>
      </c>
      <c r="AL52" s="22">
        <f t="shared" si="4"/>
        <v>355.11389600890448</v>
      </c>
      <c r="AM52" s="62">
        <f t="shared" si="5"/>
        <v>648.44722934223773</v>
      </c>
      <c r="AN52" s="62">
        <f ca="1">AVERAGE(OFFSET($AM$3,0,0,'Données projet'!$E$10+1,1))-AVERAGE(OFFSET($H$3,0,0,'Données projet'!$E$10+1,1))</f>
        <v>212.11273590951606</v>
      </c>
      <c r="AO52" s="62">
        <f t="shared" si="36"/>
        <v>240.9595690943346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2.2737367544323206E-13</v>
      </c>
      <c r="BE52" s="14">
        <f>BD52*VLOOKUP('Données projet'!$B$11,Paramètres!$A$1:$I$89,3,0)*VLOOKUP('Données projet'!$B$11,Paramètres!$A$1:$I$89,5,0)</f>
        <v>1.3596945791505279E-13</v>
      </c>
      <c r="BF52" s="14">
        <f t="shared" si="37"/>
        <v>1.9708830566360721E-12</v>
      </c>
      <c r="BG52" s="22">
        <f t="shared" si="7"/>
        <v>3.669434796176543E-12</v>
      </c>
      <c r="BH52" s="62">
        <f t="shared" si="8"/>
        <v>293.33333333333701</v>
      </c>
      <c r="BI52" s="62">
        <f ca="1">AVERAGE(OFFSET($BH$3,0,0,'Données projet'!$E$11+1,1))-AVERAGE(OFFSET($H$3,0,0,'Données projet'!$E$11+1,1))</f>
        <v>172.49153247238672</v>
      </c>
      <c r="BJ52" s="62">
        <f t="shared" si="38"/>
        <v>301.94982606323254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19.818940979781097</v>
      </c>
      <c r="BQ52" s="23">
        <f>EXP(-LN(2)/25)*BQ51+(1-EXP(-LN(2)/25))/(LN(2)/25)*Calculateur!BL52*Calculateur!BN52*VLOOKUP('Données projet'!$B$11,Paramètres!$A$1:$I$89,3,0)*0.475*44/12</f>
        <v>8.1659837305961283</v>
      </c>
      <c r="BR52" s="23">
        <f>EXP(-LN(2)/2)*BR51+(1-EXP(-LN(2)/2))/(LN(2)/2)*BL52*BO52*VLOOKUP('Données projet'!$B$11,Paramètres!$A$1:$I$89,3,0)*0.475*44/12</f>
        <v>8.043373624938217E-3</v>
      </c>
      <c r="BS52" s="24">
        <f t="shared" si="9"/>
        <v>27.992968084002165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11.6</v>
      </c>
      <c r="BY52" s="13">
        <f>IF('Données projet'!$A$114&gt;35,BY51+BX52-CG51,IF(A52&lt;'Données projet'!$A$114,$BV$205^A52,IF(A52='Données projet'!$A$114,'Données projet'!$B$114,BY51+BX52-CG51)))</f>
        <v>274.40000000000009</v>
      </c>
      <c r="BZ52" s="14">
        <f>BY52*VLOOKUP('Données projet'!$B$12,Paramètres!$A$1:$I$89,3,0)*VLOOKUP('Données projet'!$B$12,Paramètres!$A$1:$I$89,5,0)</f>
        <v>156.95680000000007</v>
      </c>
      <c r="CA52" s="14">
        <f t="shared" si="39"/>
        <v>40.155347896746875</v>
      </c>
      <c r="CB52" s="22">
        <f t="shared" si="10"/>
        <v>343.30365758683416</v>
      </c>
      <c r="CC52" s="62">
        <f t="shared" si="11"/>
        <v>636.63699092016748</v>
      </c>
      <c r="CD52" s="62">
        <f ca="1">AVERAGE(OFFSET($CC$3,0,0,'Données projet'!$E$12+1,1))-AVERAGE(OFFSET($H$3,0,0,'Données projet'!$E$12+1,1))</f>
        <v>177.71338645688661</v>
      </c>
      <c r="CE52" s="62">
        <f t="shared" si="40"/>
        <v>153.65872713651345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1.0490253795571138</v>
      </c>
      <c r="CM52" s="23">
        <f>EXP(-LN(2)/2)*CM51+(1-EXP(-LN(2)/2))/(LN(2)/2)*CG52*CJ52*VLOOKUP('Données projet'!$B$12,Paramètres!$A$1:$I$89,3,0)*0.475*44/12</f>
        <v>9.4868682741963825E-4</v>
      </c>
      <c r="CN52" s="24">
        <f t="shared" si="12"/>
        <v>1.0499740663845334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</v>
      </c>
      <c r="CT52" s="13">
        <f>IF('Données projet'!$A$140&gt;35,CT51+CS52-DB51,IF(A52&lt;'Données projet'!$A$140,$CQ$205^A52,IF(A52='Données projet'!$A$140,'Données projet'!$B$140,CT51+CS52-DB51)))</f>
        <v>148.99999999999989</v>
      </c>
      <c r="CU52" s="18">
        <f>CT52*VLOOKUP('Données projet'!$B$13,Paramètres!$A$1:$I$89,3,0)*VLOOKUP('Données projet'!$B$13,Paramètres!$A$1:$I$89,5,0)</f>
        <v>97.624799999999922</v>
      </c>
      <c r="CV52" s="14">
        <f t="shared" si="41"/>
        <v>26.395349675372131</v>
      </c>
      <c r="CW52" s="22">
        <f t="shared" si="13"/>
        <v>216.00176068460632</v>
      </c>
      <c r="CX52" s="62">
        <f t="shared" si="14"/>
        <v>509.33509401793964</v>
      </c>
      <c r="CY52" s="62">
        <f ca="1">AVERAGE(OFFSET($CX$3,0,0,'Données projet'!$E$13+1,1))-AVERAGE(OFFSET($H$3,0,0,'Données projet'!$E$13+1,1))</f>
        <v>118.65321241325523</v>
      </c>
      <c r="CZ52" s="62">
        <f t="shared" si="42"/>
        <v>140.55041555757327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169.8</v>
      </c>
      <c r="DP52" s="18">
        <f>DO52*VLOOKUP('Données projet'!$B$14,Paramètres!$A$1:$I$89,3,0)*VLOOKUP('Données projet'!$B$14,Paramètres!$A$1:$I$89,5,0)</f>
        <v>172.1772</v>
      </c>
      <c r="DQ52" s="14">
        <f t="shared" si="43"/>
        <v>43.577282221917017</v>
      </c>
      <c r="DR52" s="22">
        <f t="shared" si="16"/>
        <v>375.77238986983883</v>
      </c>
      <c r="DS52" s="62">
        <f t="shared" si="17"/>
        <v>669.10572320317215</v>
      </c>
      <c r="DT52" s="62">
        <f ca="1">AVERAGE(OFFSET($DS$3,0,0,'Données projet'!$E$14+1,1))-AVERAGE(OFFSET($H$3,0,0,'Données projet'!$E$14+1,1))</f>
        <v>328.70784159273131</v>
      </c>
      <c r="DU52" s="62">
        <f t="shared" si="44"/>
        <v>193.18009444354601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120.99999999999996</v>
      </c>
      <c r="O53" s="14">
        <f>N53*VLOOKUP('Données projet'!$B$9,Paramètres!$A$1:$I$89,3,0)*VLOOKUP('Données projet'!$B$9,Paramètres!$A$1:$I$89,5,0)</f>
        <v>109.48079999999995</v>
      </c>
      <c r="P53" s="14">
        <f t="shared" si="33"/>
        <v>29.208623339903898</v>
      </c>
      <c r="Q53" s="22">
        <f t="shared" si="53"/>
        <v>241.55074565033252</v>
      </c>
      <c r="R53" s="62">
        <f t="shared" si="0"/>
        <v>534.88407898366586</v>
      </c>
      <c r="S53" s="62">
        <f ca="1">AVERAGE(OFFSET($R$3,0,0,'Données projet'!$E$9+1,1))-AVERAGE(OFFSET($H$3,0,0,'Données projet'!$E$9+1,1))</f>
        <v>177.70053246230015</v>
      </c>
      <c r="T53" s="62">
        <f t="shared" si="34"/>
        <v>85.631326020763254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192</v>
      </c>
      <c r="AG53" s="13">
        <f>VLOOKUP(A53,'Données projet'!$A$61:$I$81,9,0)</f>
        <v>6</v>
      </c>
      <c r="AH53" s="13">
        <f t="array" ref="AH53">INDEX(AG:AG,MIN(IF(ISNUMBER(AG53:AG249),ROW(AG53:AG249),"")))</f>
        <v>6</v>
      </c>
      <c r="AI53" s="14">
        <f>IF('Données projet'!$A$62&gt;35,AI52+AH53-AQ52,IF(A53&lt;'Données projet'!$A$62,$AF$205^A53,IF(A53='Données projet'!$A$62,'Données projet'!$B$62,AI52+AH53-AQ52)))</f>
        <v>192.00000000000003</v>
      </c>
      <c r="AJ53" s="14">
        <f>AI53*VLOOKUP('Données projet'!$B$10,Paramètres!$A$1:$I$89,3,0)*VLOOKUP('Données projet'!$B$10,Paramètres!$A$1:$I$89,5,0)</f>
        <v>167.73120000000006</v>
      </c>
      <c r="AK53" s="14">
        <f t="shared" si="35"/>
        <v>42.581491199832655</v>
      </c>
      <c r="AL53" s="22">
        <f t="shared" si="4"/>
        <v>366.29460383970871</v>
      </c>
      <c r="AM53" s="62">
        <f t="shared" si="5"/>
        <v>659.62793717304203</v>
      </c>
      <c r="AN53" s="62">
        <f ca="1">AVERAGE(OFFSET($AM$3,0,0,'Données projet'!$E$10+1,1))-AVERAGE(OFFSET($H$3,0,0,'Données projet'!$E$10+1,1))</f>
        <v>212.11273590951606</v>
      </c>
      <c r="AO53" s="62">
        <f t="shared" si="36"/>
        <v>240.9595690943346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2.2737367544323206E-13</v>
      </c>
      <c r="BE53" s="14">
        <f>BD53*VLOOKUP('Données projet'!$B$11,Paramètres!$A$1:$I$89,3,0)*VLOOKUP('Données projet'!$B$11,Paramètres!$A$1:$I$89,5,0)</f>
        <v>1.3596945791505279E-13</v>
      </c>
      <c r="BF53" s="14">
        <f t="shared" si="37"/>
        <v>1.9708830566360721E-12</v>
      </c>
      <c r="BG53" s="22">
        <f t="shared" si="7"/>
        <v>3.669434796176543E-12</v>
      </c>
      <c r="BH53" s="62">
        <f t="shared" si="8"/>
        <v>293.33333333333701</v>
      </c>
      <c r="BI53" s="62">
        <f ca="1">AVERAGE(OFFSET($BH$3,0,0,'Données projet'!$E$11+1,1))-AVERAGE(OFFSET($H$3,0,0,'Données projet'!$E$11+1,1))</f>
        <v>172.49153247238672</v>
      </c>
      <c r="BJ53" s="62">
        <f t="shared" si="38"/>
        <v>301.94982606323254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19.430303635527959</v>
      </c>
      <c r="BQ53" s="23">
        <f>EXP(-LN(2)/25)*BQ52+(1-EXP(-LN(2)/25))/(LN(2)/25)*Calculateur!BL53*Calculateur!BN53*VLOOKUP('Données projet'!$B$11,Paramètres!$A$1:$I$89,3,0)*0.475*44/12</f>
        <v>7.9426844760525563</v>
      </c>
      <c r="BR53" s="23">
        <f>EXP(-LN(2)/2)*BR52+(1-EXP(-LN(2)/2))/(LN(2)/2)*BL53*BO53*VLOOKUP('Données projet'!$B$11,Paramètres!$A$1:$I$89,3,0)*0.475*44/12</f>
        <v>5.6875240338108354E-3</v>
      </c>
      <c r="BS53" s="24">
        <f t="shared" si="9"/>
        <v>27.378675635614325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286</v>
      </c>
      <c r="BW53" s="13">
        <f>VLOOKUP(A53,'Données projet'!$A$113:$I$133,9,0)</f>
        <v>11.6</v>
      </c>
      <c r="BX53" s="13">
        <f t="array" ref="BX53">INDEX(BW:BW,MIN(IF(ISNUMBER(BW53:BW249),ROW(BW53:BW249),"")))</f>
        <v>11.6</v>
      </c>
      <c r="BY53" s="13">
        <f>IF('Données projet'!$A$114&gt;35,BY52+BX53-CG52,IF(A53&lt;'Données projet'!$A$114,$BV$205^A53,IF(A53='Données projet'!$A$114,'Données projet'!$B$114,BY52+BX53-CG52)))</f>
        <v>286.00000000000011</v>
      </c>
      <c r="BZ53" s="14">
        <f>BY53*VLOOKUP('Données projet'!$B$12,Paramètres!$A$1:$I$89,3,0)*VLOOKUP('Données projet'!$B$12,Paramètres!$A$1:$I$89,5,0)</f>
        <v>163.59200000000007</v>
      </c>
      <c r="CA53" s="14">
        <f t="shared" si="39"/>
        <v>41.651651192923794</v>
      </c>
      <c r="CB53" s="22">
        <f t="shared" si="10"/>
        <v>357.46602582767576</v>
      </c>
      <c r="CC53" s="62">
        <f t="shared" si="11"/>
        <v>650.79935916100908</v>
      </c>
      <c r="CD53" s="62">
        <f ca="1">AVERAGE(OFFSET($CC$3,0,0,'Données projet'!$E$12+1,1))-AVERAGE(OFFSET($H$3,0,0,'Données projet'!$E$12+1,1))</f>
        <v>177.71338645688661</v>
      </c>
      <c r="CE53" s="62">
        <f t="shared" si="40"/>
        <v>153.65872713651345</v>
      </c>
      <c r="CF53" s="16">
        <f>IF(ISNA(VLOOKUP(A53,'Données projet'!$A$113:$I$133,3,0)),0,VLOOKUP(A53,'Données projet'!$A$113:$I$133,3,0))</f>
        <v>5</v>
      </c>
      <c r="CG53" s="16">
        <f>IF(ISNA(VLOOKUP(A53,'Données projet'!$A$113:$I$133,4,0)),0,VLOOKUP(A53,'Données projet'!$A$113:$I$133,4,0))</f>
        <v>65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1.0203397253872775</v>
      </c>
      <c r="CM53" s="23">
        <f>EXP(-LN(2)/2)*CM52+(1-EXP(-LN(2)/2))/(LN(2)/2)*CG53*CJ53*VLOOKUP('Données projet'!$B$12,Paramètres!$A$1:$I$89,3,0)*0.475*44/12</f>
        <v>6.7082288889077821E-4</v>
      </c>
      <c r="CN53" s="24">
        <f t="shared" si="12"/>
        <v>1.0210105482761682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154</v>
      </c>
      <c r="CR53" s="13">
        <f>VLOOKUP(A53,'Données projet'!$A$139:$I$159,9,0)</f>
        <v>5</v>
      </c>
      <c r="CS53" s="13">
        <f t="array" ref="CS53">INDEX(CR:CR,MIN(IF(ISNUMBER(CR53:CR249),ROW(CR53:CR249),"")))</f>
        <v>5</v>
      </c>
      <c r="CT53" s="13">
        <f>IF('Données projet'!$A$140&gt;35,CT52+CS53-DB52,IF(A53&lt;'Données projet'!$A$140,$CQ$205^A53,IF(A53='Données projet'!$A$140,'Données projet'!$B$140,CT52+CS53-DB52)))</f>
        <v>153.99999999999989</v>
      </c>
      <c r="CU53" s="18">
        <f>CT53*VLOOKUP('Données projet'!$B$13,Paramètres!$A$1:$I$89,3,0)*VLOOKUP('Données projet'!$B$13,Paramètres!$A$1:$I$89,5,0)</f>
        <v>100.90079999999992</v>
      </c>
      <c r="CV53" s="14">
        <f t="shared" si="41"/>
        <v>27.176488592921515</v>
      </c>
      <c r="CW53" s="22">
        <f t="shared" si="13"/>
        <v>223.06794429933814</v>
      </c>
      <c r="CX53" s="62">
        <f t="shared" si="14"/>
        <v>516.40127763267151</v>
      </c>
      <c r="CY53" s="62">
        <f ca="1">AVERAGE(OFFSET($CX$3,0,0,'Données projet'!$E$13+1,1))-AVERAGE(OFFSET($H$3,0,0,'Données projet'!$E$13+1,1))</f>
        <v>118.65321241325523</v>
      </c>
      <c r="CZ53" s="62">
        <f t="shared" si="42"/>
        <v>140.55041555757327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178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178</v>
      </c>
      <c r="DP53" s="18">
        <f>DO53*VLOOKUP('Données projet'!$B$14,Paramètres!$A$1:$I$89,3,0)*VLOOKUP('Données projet'!$B$14,Paramètres!$A$1:$I$89,5,0)</f>
        <v>180.49200000000002</v>
      </c>
      <c r="DQ53" s="14">
        <f t="shared" si="43"/>
        <v>45.431629706642653</v>
      </c>
      <c r="DR53" s="22">
        <f t="shared" si="16"/>
        <v>393.4836550724026</v>
      </c>
      <c r="DS53" s="62">
        <f t="shared" si="17"/>
        <v>686.81698840573586</v>
      </c>
      <c r="DT53" s="62">
        <f ca="1">AVERAGE(OFFSET($DS$3,0,0,'Données projet'!$E$14+1,1))-AVERAGE(OFFSET($H$3,0,0,'Données projet'!$E$14+1,1))</f>
        <v>328.70784159273131</v>
      </c>
      <c r="DU53" s="62">
        <f t="shared" si="44"/>
        <v>193.18009444354601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126.59999999999995</v>
      </c>
      <c r="O54" s="14">
        <f>N54*VLOOKUP('Données projet'!$B$9,Paramètres!$A$1:$I$89,3,0)*VLOOKUP('Données projet'!$B$9,Paramètres!$A$1:$I$89,5,0)</f>
        <v>114.54767999999996</v>
      </c>
      <c r="P54" s="14">
        <f t="shared" si="33"/>
        <v>30.399914169186722</v>
      </c>
      <c r="Q54" s="22">
        <f t="shared" si="53"/>
        <v>252.45039317800016</v>
      </c>
      <c r="R54" s="62">
        <f t="shared" si="0"/>
        <v>545.7837265113335</v>
      </c>
      <c r="S54" s="62">
        <f ca="1">AVERAGE(OFFSET($R$3,0,0,'Données projet'!$E$9+1,1))-AVERAGE(OFFSET($H$3,0,0,'Données projet'!$E$9+1,1))</f>
        <v>177.70053246230015</v>
      </c>
      <c r="T54" s="62">
        <f t="shared" si="34"/>
        <v>85.631326020763254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5.2</v>
      </c>
      <c r="AI54" s="14">
        <f>IF('Données projet'!$A$62&gt;35,AI53+AH54-AQ53,IF(A54&lt;'Données projet'!$A$62,$AF$205^A54,IF(A54='Données projet'!$A$62,'Données projet'!$B$62,AI53+AH54-AQ53)))</f>
        <v>160.20000000000002</v>
      </c>
      <c r="AJ54" s="14">
        <f>AI54*VLOOKUP('Données projet'!$B$10,Paramètres!$A$1:$I$89,3,0)*VLOOKUP('Données projet'!$B$10,Paramètres!$A$1:$I$89,5,0)</f>
        <v>139.95072000000002</v>
      </c>
      <c r="AK54" s="14">
        <f t="shared" si="35"/>
        <v>36.285715907711918</v>
      </c>
      <c r="AL54" s="22">
        <f t="shared" si="4"/>
        <v>306.94512587259828</v>
      </c>
      <c r="AM54" s="62">
        <f t="shared" si="5"/>
        <v>600.27845920593154</v>
      </c>
      <c r="AN54" s="62">
        <f ca="1">AVERAGE(OFFSET($AM$3,0,0,'Données projet'!$E$10+1,1))-AVERAGE(OFFSET($H$3,0,0,'Données projet'!$E$10+1,1))</f>
        <v>212.11273590951606</v>
      </c>
      <c r="AO54" s="62">
        <f t="shared" si="36"/>
        <v>240.9595690943346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2.2737367544323206E-13</v>
      </c>
      <c r="BE54" s="14">
        <f>BD54*VLOOKUP('Données projet'!$B$11,Paramètres!$A$1:$I$89,3,0)*VLOOKUP('Données projet'!$B$11,Paramètres!$A$1:$I$89,5,0)</f>
        <v>1.3596945791505279E-13</v>
      </c>
      <c r="BF54" s="14">
        <f t="shared" si="37"/>
        <v>1.9708830566360721E-12</v>
      </c>
      <c r="BG54" s="22">
        <f t="shared" si="7"/>
        <v>3.669434796176543E-12</v>
      </c>
      <c r="BH54" s="62">
        <f t="shared" si="8"/>
        <v>293.33333333333701</v>
      </c>
      <c r="BI54" s="62">
        <f ca="1">AVERAGE(OFFSET($BH$3,0,0,'Données projet'!$E$11+1,1))-AVERAGE(OFFSET($H$3,0,0,'Données projet'!$E$11+1,1))</f>
        <v>172.49153247238672</v>
      </c>
      <c r="BJ54" s="62">
        <f t="shared" si="38"/>
        <v>301.94982606323254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19.049287232550252</v>
      </c>
      <c r="BQ54" s="23">
        <f>EXP(-LN(2)/25)*BQ53+(1-EXP(-LN(2)/25))/(LN(2)/25)*Calculateur!BL54*Calculateur!BN54*VLOOKUP('Données projet'!$B$11,Paramètres!$A$1:$I$89,3,0)*0.475*44/12</f>
        <v>7.7254913513672756</v>
      </c>
      <c r="BR54" s="23">
        <f>EXP(-LN(2)/2)*BR53+(1-EXP(-LN(2)/2))/(LN(2)/2)*BL54*BO54*VLOOKUP('Données projet'!$B$11,Paramètres!$A$1:$I$89,3,0)*0.475*44/12</f>
        <v>4.0216868124691085E-3</v>
      </c>
      <c r="BS54" s="24">
        <f t="shared" si="9"/>
        <v>26.778800270729995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10.8</v>
      </c>
      <c r="BY54" s="13">
        <f>IF('Données projet'!$A$114&gt;35,BY53+BX54-CG53,IF(A54&lt;'Données projet'!$A$114,$BV$205^A54,IF(A54='Données projet'!$A$114,'Données projet'!$B$114,BY53+BX54-CG53)))</f>
        <v>231.80000000000013</v>
      </c>
      <c r="BZ54" s="14">
        <f>BY54*VLOOKUP('Données projet'!$B$12,Paramètres!$A$1:$I$89,3,0)*VLOOKUP('Données projet'!$B$12,Paramètres!$A$1:$I$89,5,0)</f>
        <v>132.58960000000008</v>
      </c>
      <c r="CA54" s="14">
        <f t="shared" si="39"/>
        <v>34.594051219951538</v>
      </c>
      <c r="CB54" s="22">
        <f t="shared" si="10"/>
        <v>291.17819254141574</v>
      </c>
      <c r="CC54" s="62">
        <f t="shared" si="11"/>
        <v>584.51152587474905</v>
      </c>
      <c r="CD54" s="62">
        <f ca="1">AVERAGE(OFFSET($CC$3,0,0,'Données projet'!$E$12+1,1))-AVERAGE(OFFSET($H$3,0,0,'Données projet'!$E$12+1,1))</f>
        <v>177.71338645688661</v>
      </c>
      <c r="CE54" s="62">
        <f t="shared" si="40"/>
        <v>153.65872713651345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0.99243848193922823</v>
      </c>
      <c r="CM54" s="23">
        <f>EXP(-LN(2)/2)*CM53+(1-EXP(-LN(2)/2))/(LN(2)/2)*CG54*CJ54*VLOOKUP('Données projet'!$B$12,Paramètres!$A$1:$I$89,3,0)*0.475*44/12</f>
        <v>4.7434341370981923E-4</v>
      </c>
      <c r="CN54" s="24">
        <f t="shared" si="12"/>
        <v>0.99291282535293801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4.5999999999999996</v>
      </c>
      <c r="CT54" s="13">
        <f>IF('Données projet'!$A$140&gt;35,CT53+CS54-DB53,IF(A54&lt;'Données projet'!$A$140,$CQ$205^A54,IF(A54='Données projet'!$A$140,'Données projet'!$B$140,CT53+CS54-DB53)))</f>
        <v>158.59999999999988</v>
      </c>
      <c r="CU54" s="18">
        <f>CT54*VLOOKUP('Données projet'!$B$13,Paramètres!$A$1:$I$89,3,0)*VLOOKUP('Données projet'!$B$13,Paramètres!$A$1:$I$89,5,0)</f>
        <v>103.91471999999993</v>
      </c>
      <c r="CV54" s="14">
        <f t="shared" si="41"/>
        <v>27.892531065771788</v>
      </c>
      <c r="CW54" s="22">
        <f t="shared" si="13"/>
        <v>229.56429560621905</v>
      </c>
      <c r="CX54" s="62">
        <f t="shared" si="14"/>
        <v>522.89762893955231</v>
      </c>
      <c r="CY54" s="62">
        <f ca="1">AVERAGE(OFFSET($CX$3,0,0,'Données projet'!$E$13+1,1))-AVERAGE(OFFSET($H$3,0,0,'Données projet'!$E$13+1,1))</f>
        <v>118.65321241325523</v>
      </c>
      <c r="CZ54" s="62">
        <f t="shared" si="42"/>
        <v>140.55041555757327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186</v>
      </c>
      <c r="DP54" s="18">
        <f>DO54*VLOOKUP('Données projet'!$B$14,Paramètres!$A$1:$I$89,3,0)*VLOOKUP('Données projet'!$B$14,Paramètres!$A$1:$I$89,5,0)</f>
        <v>188.60400000000001</v>
      </c>
      <c r="DQ54" s="14">
        <f t="shared" si="43"/>
        <v>47.231184731814224</v>
      </c>
      <c r="DR54" s="22">
        <f t="shared" si="16"/>
        <v>410.74628007457642</v>
      </c>
      <c r="DS54" s="62">
        <f t="shared" si="17"/>
        <v>704.07961340790973</v>
      </c>
      <c r="DT54" s="62">
        <f ca="1">AVERAGE(OFFSET($DS$3,0,0,'Données projet'!$E$14+1,1))-AVERAGE(OFFSET($H$3,0,0,'Données projet'!$E$14+1,1))</f>
        <v>328.70784159273131</v>
      </c>
      <c r="DU54" s="62">
        <f t="shared" si="44"/>
        <v>193.18009444354601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132.19999999999996</v>
      </c>
      <c r="O55" s="14">
        <f>N55*VLOOKUP('Données projet'!$B$9,Paramètres!$A$1:$I$89,3,0)*VLOOKUP('Données projet'!$B$9,Paramètres!$A$1:$I$89,5,0)</f>
        <v>119.61455999999997</v>
      </c>
      <c r="P55" s="14">
        <f t="shared" si="33"/>
        <v>31.585084918340741</v>
      </c>
      <c r="Q55" s="22">
        <f t="shared" si="53"/>
        <v>263.33938156611003</v>
      </c>
      <c r="R55" s="62">
        <f t="shared" si="0"/>
        <v>556.67271489944335</v>
      </c>
      <c r="S55" s="62">
        <f ca="1">AVERAGE(OFFSET($R$3,0,0,'Données projet'!$E$9+1,1))-AVERAGE(OFFSET($H$3,0,0,'Données projet'!$E$9+1,1))</f>
        <v>177.70053246230015</v>
      </c>
      <c r="T55" s="62">
        <f t="shared" si="34"/>
        <v>85.631326020763254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5.2</v>
      </c>
      <c r="AI55" s="14">
        <f>IF('Données projet'!$A$62&gt;35,AI54+AH55-AQ54,IF(A55&lt;'Données projet'!$A$62,$AF$205^A55,IF(A55='Données projet'!$A$62,'Données projet'!$B$62,AI54+AH55-AQ54)))</f>
        <v>165.4</v>
      </c>
      <c r="AJ55" s="14">
        <f>AI55*VLOOKUP('Données projet'!$B$10,Paramètres!$A$1:$I$89,3,0)*VLOOKUP('Données projet'!$B$10,Paramètres!$A$1:$I$89,5,0)</f>
        <v>144.49344000000002</v>
      </c>
      <c r="AK55" s="14">
        <f t="shared" si="35"/>
        <v>37.324489208332842</v>
      </c>
      <c r="AL55" s="22">
        <f t="shared" si="4"/>
        <v>316.66622670451306</v>
      </c>
      <c r="AM55" s="62">
        <f t="shared" si="5"/>
        <v>609.99956003784632</v>
      </c>
      <c r="AN55" s="62">
        <f ca="1">AVERAGE(OFFSET($AM$3,0,0,'Données projet'!$E$10+1,1))-AVERAGE(OFFSET($H$3,0,0,'Données projet'!$E$10+1,1))</f>
        <v>212.11273590951606</v>
      </c>
      <c r="AO55" s="62">
        <f t="shared" si="36"/>
        <v>240.9595690943346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2.2737367544323206E-13</v>
      </c>
      <c r="BE55" s="14">
        <f>BD55*VLOOKUP('Données projet'!$B$11,Paramètres!$A$1:$I$89,3,0)*VLOOKUP('Données projet'!$B$11,Paramètres!$A$1:$I$89,5,0)</f>
        <v>1.3596945791505279E-13</v>
      </c>
      <c r="BF55" s="14">
        <f t="shared" si="37"/>
        <v>1.9708830566360721E-12</v>
      </c>
      <c r="BG55" s="22">
        <f t="shared" si="7"/>
        <v>3.669434796176543E-12</v>
      </c>
      <c r="BH55" s="62">
        <f t="shared" si="8"/>
        <v>293.33333333333701</v>
      </c>
      <c r="BI55" s="62">
        <f ca="1">AVERAGE(OFFSET($BH$3,0,0,'Données projet'!$E$11+1,1))-AVERAGE(OFFSET($H$3,0,0,'Données projet'!$E$11+1,1))</f>
        <v>172.49153247238672</v>
      </c>
      <c r="BJ55" s="62">
        <f t="shared" si="38"/>
        <v>301.94982606323254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18.675742328837881</v>
      </c>
      <c r="BQ55" s="23">
        <f>EXP(-LN(2)/25)*BQ54+(1-EXP(-LN(2)/25))/(LN(2)/25)*Calculateur!BL55*Calculateur!BN55*VLOOKUP('Données projet'!$B$11,Paramètres!$A$1:$I$89,3,0)*0.475*44/12</f>
        <v>7.5142373840982044</v>
      </c>
      <c r="BR55" s="23">
        <f>EXP(-LN(2)/2)*BR54+(1-EXP(-LN(2)/2))/(LN(2)/2)*BL55*BO55*VLOOKUP('Données projet'!$B$11,Paramètres!$A$1:$I$89,3,0)*0.475*44/12</f>
        <v>2.8437620169054177E-3</v>
      </c>
      <c r="BS55" s="24">
        <f t="shared" si="9"/>
        <v>26.192823474952991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10.8</v>
      </c>
      <c r="BY55" s="13">
        <f>IF('Données projet'!$A$114&gt;35,BY54+BX55-CG54,IF(A55&lt;'Données projet'!$A$114,$BV$205^A55,IF(A55='Données projet'!$A$114,'Données projet'!$B$114,BY54+BX55-CG54)))</f>
        <v>242.60000000000014</v>
      </c>
      <c r="BZ55" s="14">
        <f>BY55*VLOOKUP('Données projet'!$B$12,Paramètres!$A$1:$I$89,3,0)*VLOOKUP('Données projet'!$B$12,Paramètres!$A$1:$I$89,5,0)</f>
        <v>138.76720000000009</v>
      </c>
      <c r="CA55" s="14">
        <f t="shared" si="39"/>
        <v>36.014443113344079</v>
      </c>
      <c r="CB55" s="22">
        <f t="shared" si="10"/>
        <v>304.4113617557411</v>
      </c>
      <c r="CC55" s="62">
        <f t="shared" si="11"/>
        <v>597.74469508907441</v>
      </c>
      <c r="CD55" s="62">
        <f ca="1">AVERAGE(OFFSET($CC$3,0,0,'Données projet'!$E$12+1,1))-AVERAGE(OFFSET($H$3,0,0,'Données projet'!$E$12+1,1))</f>
        <v>177.71338645688661</v>
      </c>
      <c r="CE55" s="62">
        <f t="shared" si="40"/>
        <v>153.65872713651345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0.96530019946052847</v>
      </c>
      <c r="CM55" s="23">
        <f>EXP(-LN(2)/2)*CM54+(1-EXP(-LN(2)/2))/(LN(2)/2)*CG55*CJ55*VLOOKUP('Données projet'!$B$12,Paramètres!$A$1:$I$89,3,0)*0.475*44/12</f>
        <v>3.3541144444538916E-4</v>
      </c>
      <c r="CN55" s="24">
        <f t="shared" si="12"/>
        <v>0.96563561090497385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4.5999999999999996</v>
      </c>
      <c r="CT55" s="13">
        <f>IF('Données projet'!$A$140&gt;35,CT54+CS55-DB54,IF(A55&lt;'Données projet'!$A$140,$CQ$205^A55,IF(A55='Données projet'!$A$140,'Données projet'!$B$140,CT54+CS55-DB54)))</f>
        <v>163.19999999999987</v>
      </c>
      <c r="CU55" s="18">
        <f>CT55*VLOOKUP('Données projet'!$B$13,Paramètres!$A$1:$I$89,3,0)*VLOOKUP('Données projet'!$B$13,Paramètres!$A$1:$I$89,5,0)</f>
        <v>106.92863999999992</v>
      </c>
      <c r="CV55" s="14">
        <f t="shared" si="41"/>
        <v>28.606159868782917</v>
      </c>
      <c r="CW55" s="22">
        <f t="shared" si="13"/>
        <v>236.05644310479678</v>
      </c>
      <c r="CX55" s="62">
        <f t="shared" si="14"/>
        <v>529.38977643813007</v>
      </c>
      <c r="CY55" s="62">
        <f ca="1">AVERAGE(OFFSET($CX$3,0,0,'Données projet'!$E$13+1,1))-AVERAGE(OFFSET($H$3,0,0,'Données projet'!$E$13+1,1))</f>
        <v>118.65321241325523</v>
      </c>
      <c r="CZ55" s="62">
        <f t="shared" si="42"/>
        <v>140.55041555757327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194</v>
      </c>
      <c r="DP55" s="18">
        <f>DO55*VLOOKUP('Données projet'!$B$14,Paramètres!$A$1:$I$89,3,0)*VLOOKUP('Données projet'!$B$14,Paramètres!$A$1:$I$89,5,0)</f>
        <v>196.71600000000001</v>
      </c>
      <c r="DQ55" s="14">
        <f t="shared" si="43"/>
        <v>49.021749959730009</v>
      </c>
      <c r="DR55" s="22">
        <f t="shared" si="16"/>
        <v>427.99324784652981</v>
      </c>
      <c r="DS55" s="62">
        <f t="shared" si="17"/>
        <v>721.32658117986307</v>
      </c>
      <c r="DT55" s="62">
        <f ca="1">AVERAGE(OFFSET($DS$3,0,0,'Données projet'!$E$14+1,1))-AVERAGE(OFFSET($H$3,0,0,'Données projet'!$E$14+1,1))</f>
        <v>328.70784159273131</v>
      </c>
      <c r="DU55" s="62">
        <f t="shared" si="44"/>
        <v>193.18009444354601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137.79999999999995</v>
      </c>
      <c r="O56" s="14">
        <f>N56*VLOOKUP('Données projet'!$B$9,Paramètres!$A$1:$I$89,3,0)*VLOOKUP('Données projet'!$B$9,Paramètres!$A$1:$I$89,5,0)</f>
        <v>124.68143999999995</v>
      </c>
      <c r="P56" s="14">
        <f t="shared" si="33"/>
        <v>32.764424474585724</v>
      </c>
      <c r="Q56" s="22">
        <f t="shared" si="53"/>
        <v>274.21821395990338</v>
      </c>
      <c r="R56" s="62">
        <f t="shared" si="0"/>
        <v>567.55154729323669</v>
      </c>
      <c r="S56" s="62">
        <f ca="1">AVERAGE(OFFSET($R$3,0,0,'Données projet'!$E$9+1,1))-AVERAGE(OFFSET($H$3,0,0,'Données projet'!$E$9+1,1))</f>
        <v>177.70053246230015</v>
      </c>
      <c r="T56" s="62">
        <f t="shared" si="34"/>
        <v>85.631326020763254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5.2</v>
      </c>
      <c r="AI56" s="14">
        <f>IF('Données projet'!$A$62&gt;35,AI55+AH56-AQ55,IF(A56&lt;'Données projet'!$A$62,$AF$205^A56,IF(A56='Données projet'!$A$62,'Données projet'!$B$62,AI55+AH56-AQ55)))</f>
        <v>170.6</v>
      </c>
      <c r="AJ56" s="14">
        <f>AI56*VLOOKUP('Données projet'!$B$10,Paramètres!$A$1:$I$89,3,0)*VLOOKUP('Données projet'!$B$10,Paramètres!$A$1:$I$89,5,0)</f>
        <v>149.03616</v>
      </c>
      <c r="AK56" s="14">
        <f t="shared" si="35"/>
        <v>38.35946741279561</v>
      </c>
      <c r="AL56" s="22">
        <f t="shared" si="4"/>
        <v>326.38071774395229</v>
      </c>
      <c r="AM56" s="62">
        <f t="shared" si="5"/>
        <v>619.7140510772856</v>
      </c>
      <c r="AN56" s="62">
        <f ca="1">AVERAGE(OFFSET($AM$3,0,0,'Données projet'!$E$10+1,1))-AVERAGE(OFFSET($H$3,0,0,'Données projet'!$E$10+1,1))</f>
        <v>212.11273590951606</v>
      </c>
      <c r="AO56" s="62">
        <f t="shared" si="36"/>
        <v>240.9595690943346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2.2737367544323206E-13</v>
      </c>
      <c r="BE56" s="14">
        <f>BD56*VLOOKUP('Données projet'!$B$11,Paramètres!$A$1:$I$89,3,0)*VLOOKUP('Données projet'!$B$11,Paramètres!$A$1:$I$89,5,0)</f>
        <v>1.3596945791505279E-13</v>
      </c>
      <c r="BF56" s="14">
        <f t="shared" si="37"/>
        <v>1.9708830566360721E-12</v>
      </c>
      <c r="BG56" s="22">
        <f t="shared" si="7"/>
        <v>3.669434796176543E-12</v>
      </c>
      <c r="BH56" s="62">
        <f t="shared" si="8"/>
        <v>293.33333333333701</v>
      </c>
      <c r="BI56" s="62">
        <f ca="1">AVERAGE(OFFSET($BH$3,0,0,'Données projet'!$E$11+1,1))-AVERAGE(OFFSET($H$3,0,0,'Données projet'!$E$11+1,1))</f>
        <v>172.49153247238672</v>
      </c>
      <c r="BJ56" s="62">
        <f t="shared" si="38"/>
        <v>301.94982606323254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18.309522412847414</v>
      </c>
      <c r="BQ56" s="23">
        <f>EXP(-LN(2)/25)*BQ55+(1-EXP(-LN(2)/25))/(LN(2)/25)*Calculateur!BL56*Calculateur!BN56*VLOOKUP('Données projet'!$B$11,Paramètres!$A$1:$I$89,3,0)*0.475*44/12</f>
        <v>7.3087601676734693</v>
      </c>
      <c r="BR56" s="23">
        <f>EXP(-LN(2)/2)*BR55+(1-EXP(-LN(2)/2))/(LN(2)/2)*BL56*BO56*VLOOKUP('Données projet'!$B$11,Paramètres!$A$1:$I$89,3,0)*0.475*44/12</f>
        <v>2.0108434062345542E-3</v>
      </c>
      <c r="BS56" s="24">
        <f t="shared" si="9"/>
        <v>25.620293423927119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10.8</v>
      </c>
      <c r="BY56" s="13">
        <f>IF('Données projet'!$A$114&gt;35,BY55+BX56-CG55,IF(A56&lt;'Données projet'!$A$114,$BV$205^A56,IF(A56='Données projet'!$A$114,'Données projet'!$B$114,BY55+BX56-CG55)))</f>
        <v>253.40000000000015</v>
      </c>
      <c r="BZ56" s="14">
        <f>BY56*VLOOKUP('Données projet'!$B$12,Paramètres!$A$1:$I$89,3,0)*VLOOKUP('Données projet'!$B$12,Paramètres!$A$1:$I$89,5,0)</f>
        <v>144.9448000000001</v>
      </c>
      <c r="CA56" s="14">
        <f t="shared" si="39"/>
        <v>37.427491205949785</v>
      </c>
      <c r="CB56" s="22">
        <f t="shared" si="10"/>
        <v>317.63174051702936</v>
      </c>
      <c r="CC56" s="62">
        <f t="shared" si="11"/>
        <v>610.96507385036261</v>
      </c>
      <c r="CD56" s="62">
        <f ca="1">AVERAGE(OFFSET($CC$3,0,0,'Données projet'!$E$12+1,1))-AVERAGE(OFFSET($H$3,0,0,'Données projet'!$E$12+1,1))</f>
        <v>177.71338645688661</v>
      </c>
      <c r="CE56" s="62">
        <f t="shared" si="40"/>
        <v>153.65872713651345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0.93890401474334906</v>
      </c>
      <c r="CM56" s="23">
        <f>EXP(-LN(2)/2)*CM55+(1-EXP(-LN(2)/2))/(LN(2)/2)*CG56*CJ56*VLOOKUP('Données projet'!$B$12,Paramètres!$A$1:$I$89,3,0)*0.475*44/12</f>
        <v>2.3717170685490964E-4</v>
      </c>
      <c r="CN56" s="24">
        <f t="shared" si="12"/>
        <v>0.93914118645020395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4.5999999999999996</v>
      </c>
      <c r="CT56" s="13">
        <f>IF('Données projet'!$A$140&gt;35,CT55+CS56-DB55,IF(A56&lt;'Données projet'!$A$140,$CQ$205^A56,IF(A56='Données projet'!$A$140,'Données projet'!$B$140,CT55+CS56-DB55)))</f>
        <v>167.79999999999987</v>
      </c>
      <c r="CU56" s="18">
        <f>CT56*VLOOKUP('Données projet'!$B$13,Paramètres!$A$1:$I$89,3,0)*VLOOKUP('Données projet'!$B$13,Paramètres!$A$1:$I$89,5,0)</f>
        <v>109.94255999999992</v>
      </c>
      <c r="CV56" s="14">
        <f t="shared" si="41"/>
        <v>29.317450849172975</v>
      </c>
      <c r="CW56" s="22">
        <f t="shared" si="13"/>
        <v>242.5445188956428</v>
      </c>
      <c r="CX56" s="62">
        <f t="shared" si="14"/>
        <v>535.87785222897605</v>
      </c>
      <c r="CY56" s="62">
        <f ca="1">AVERAGE(OFFSET($CX$3,0,0,'Données projet'!$E$13+1,1))-AVERAGE(OFFSET($H$3,0,0,'Données projet'!$E$13+1,1))</f>
        <v>118.65321241325523</v>
      </c>
      <c r="CZ56" s="62">
        <f t="shared" si="42"/>
        <v>140.55041555757327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202</v>
      </c>
      <c r="DP56" s="18">
        <f>DO56*VLOOKUP('Données projet'!$B$14,Paramètres!$A$1:$I$89,3,0)*VLOOKUP('Données projet'!$B$14,Paramètres!$A$1:$I$89,5,0)</f>
        <v>204.82800000000003</v>
      </c>
      <c r="DQ56" s="14">
        <f t="shared" si="43"/>
        <v>50.80373850176295</v>
      </c>
      <c r="DR56" s="22">
        <f t="shared" si="16"/>
        <v>445.22527789057045</v>
      </c>
      <c r="DS56" s="62">
        <f t="shared" si="17"/>
        <v>738.55861122390377</v>
      </c>
      <c r="DT56" s="62">
        <f ca="1">AVERAGE(OFFSET($DS$3,0,0,'Données projet'!$E$14+1,1))-AVERAGE(OFFSET($H$3,0,0,'Données projet'!$E$14+1,1))</f>
        <v>328.70784159273131</v>
      </c>
      <c r="DU56" s="62">
        <f t="shared" si="44"/>
        <v>193.18009444354601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143.39999999999995</v>
      </c>
      <c r="O57" s="14">
        <f>N57*VLOOKUP('Données projet'!$B$9,Paramètres!$A$1:$I$89,3,0)*VLOOKUP('Données projet'!$B$9,Paramètres!$A$1:$I$89,5,0)</f>
        <v>129.74831999999995</v>
      </c>
      <c r="P57" s="14">
        <f t="shared" si="33"/>
        <v>33.938196916407662</v>
      </c>
      <c r="Q57" s="22">
        <f t="shared" si="53"/>
        <v>285.08735029607658</v>
      </c>
      <c r="R57" s="62">
        <f t="shared" si="0"/>
        <v>578.42068362940995</v>
      </c>
      <c r="S57" s="62">
        <f ca="1">AVERAGE(OFFSET($R$3,0,0,'Données projet'!$E$9+1,1))-AVERAGE(OFFSET($H$3,0,0,'Données projet'!$E$9+1,1))</f>
        <v>177.70053246230015</v>
      </c>
      <c r="T57" s="62">
        <f t="shared" si="34"/>
        <v>85.631326020763254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5.2</v>
      </c>
      <c r="AI57" s="14">
        <f>IF('Données projet'!$A$62&gt;35,AI56+AH57-AQ56,IF(A57&lt;'Données projet'!$A$62,$AF$205^A57,IF(A57='Données projet'!$A$62,'Données projet'!$B$62,AI56+AH57-AQ56)))</f>
        <v>175.79999999999998</v>
      </c>
      <c r="AJ57" s="14">
        <f>AI57*VLOOKUP('Données projet'!$B$10,Paramètres!$A$1:$I$89,3,0)*VLOOKUP('Données projet'!$B$10,Paramètres!$A$1:$I$89,5,0)</f>
        <v>153.57888</v>
      </c>
      <c r="AK57" s="14">
        <f t="shared" si="35"/>
        <v>39.390779474606148</v>
      </c>
      <c r="AL57" s="22">
        <f t="shared" si="4"/>
        <v>336.08882358493901</v>
      </c>
      <c r="AM57" s="62">
        <f t="shared" si="5"/>
        <v>629.42215691827232</v>
      </c>
      <c r="AN57" s="62">
        <f ca="1">AVERAGE(OFFSET($AM$3,0,0,'Données projet'!$E$10+1,1))-AVERAGE(OFFSET($H$3,0,0,'Données projet'!$E$10+1,1))</f>
        <v>212.11273590951606</v>
      </c>
      <c r="AO57" s="62">
        <f t="shared" si="36"/>
        <v>240.9595690943346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2.2737367544323206E-13</v>
      </c>
      <c r="BE57" s="14">
        <f>BD57*VLOOKUP('Données projet'!$B$11,Paramètres!$A$1:$I$89,3,0)*VLOOKUP('Données projet'!$B$11,Paramètres!$A$1:$I$89,5,0)</f>
        <v>1.3596945791505279E-13</v>
      </c>
      <c r="BF57" s="14">
        <f t="shared" si="37"/>
        <v>1.9708830566360721E-12</v>
      </c>
      <c r="BG57" s="22">
        <f t="shared" si="7"/>
        <v>3.669434796176543E-12</v>
      </c>
      <c r="BH57" s="62">
        <f t="shared" si="8"/>
        <v>293.33333333333701</v>
      </c>
      <c r="BI57" s="62">
        <f ca="1">AVERAGE(OFFSET($BH$3,0,0,'Données projet'!$E$11+1,1))-AVERAGE(OFFSET($H$3,0,0,'Données projet'!$E$11+1,1))</f>
        <v>172.49153247238672</v>
      </c>
      <c r="BJ57" s="62">
        <f t="shared" si="38"/>
        <v>301.94982606323254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17.950483846037429</v>
      </c>
      <c r="BQ57" s="23">
        <f>EXP(-LN(2)/25)*BQ56+(1-EXP(-LN(2)/25))/(LN(2)/25)*Calculateur!BL57*Calculateur!BN57*VLOOKUP('Données projet'!$B$11,Paramètres!$A$1:$I$89,3,0)*0.475*44/12</f>
        <v>7.1089017365374456</v>
      </c>
      <c r="BR57" s="23">
        <f>EXP(-LN(2)/2)*BR56+(1-EXP(-LN(2)/2))/(LN(2)/2)*BL57*BO57*VLOOKUP('Données projet'!$B$11,Paramètres!$A$1:$I$89,3,0)*0.475*44/12</f>
        <v>1.4218810084527089E-3</v>
      </c>
      <c r="BS57" s="24">
        <f t="shared" si="9"/>
        <v>25.06080746358333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10.8</v>
      </c>
      <c r="BY57" s="13">
        <f>IF('Données projet'!$A$114&gt;35,BY56+BX57-CG56,IF(A57&lt;'Données projet'!$A$114,$BV$205^A57,IF(A57='Données projet'!$A$114,'Données projet'!$B$114,BY56+BX57-CG56)))</f>
        <v>264.20000000000016</v>
      </c>
      <c r="BZ57" s="14">
        <f>BY57*VLOOKUP('Données projet'!$B$12,Paramètres!$A$1:$I$89,3,0)*VLOOKUP('Données projet'!$B$12,Paramètres!$A$1:$I$89,5,0)</f>
        <v>151.12240000000011</v>
      </c>
      <c r="CA57" s="14">
        <f t="shared" si="39"/>
        <v>38.833544276032519</v>
      </c>
      <c r="CB57" s="22">
        <f t="shared" si="10"/>
        <v>330.83993628075677</v>
      </c>
      <c r="CC57" s="62">
        <f t="shared" si="11"/>
        <v>624.17326961409003</v>
      </c>
      <c r="CD57" s="62">
        <f ca="1">AVERAGE(OFFSET($CC$3,0,0,'Données projet'!$E$12+1,1))-AVERAGE(OFFSET($H$3,0,0,'Données projet'!$E$12+1,1))</f>
        <v>177.71338645688661</v>
      </c>
      <c r="CE57" s="62">
        <f t="shared" si="40"/>
        <v>153.65872713651345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0.91322963508537591</v>
      </c>
      <c r="CM57" s="23">
        <f>EXP(-LN(2)/2)*CM56+(1-EXP(-LN(2)/2))/(LN(2)/2)*CG57*CJ57*VLOOKUP('Données projet'!$B$12,Paramètres!$A$1:$I$89,3,0)*0.475*44/12</f>
        <v>1.6770572222269461E-4</v>
      </c>
      <c r="CN57" s="24">
        <f t="shared" si="12"/>
        <v>0.9133973408075986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4.5999999999999996</v>
      </c>
      <c r="CT57" s="13">
        <f>IF('Données projet'!$A$140&gt;35,CT56+CS57-DB56,IF(A57&lt;'Données projet'!$A$140,$CQ$205^A57,IF(A57='Données projet'!$A$140,'Données projet'!$B$140,CT56+CS57-DB56)))</f>
        <v>172.39999999999986</v>
      </c>
      <c r="CU57" s="18">
        <f>CT57*VLOOKUP('Données projet'!$B$13,Paramètres!$A$1:$I$89,3,0)*VLOOKUP('Données projet'!$B$13,Paramètres!$A$1:$I$89,5,0)</f>
        <v>112.95647999999991</v>
      </c>
      <c r="CV57" s="14">
        <f t="shared" si="41"/>
        <v>30.026475458997005</v>
      </c>
      <c r="CW57" s="22">
        <f t="shared" si="13"/>
        <v>249.02864742441963</v>
      </c>
      <c r="CX57" s="62">
        <f t="shared" si="14"/>
        <v>542.36198075775292</v>
      </c>
      <c r="CY57" s="62">
        <f ca="1">AVERAGE(OFFSET($CX$3,0,0,'Données projet'!$E$13+1,1))-AVERAGE(OFFSET($H$3,0,0,'Données projet'!$E$13+1,1))</f>
        <v>118.65321241325523</v>
      </c>
      <c r="CZ57" s="62">
        <f t="shared" si="42"/>
        <v>140.55041555757327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210</v>
      </c>
      <c r="DP57" s="18">
        <f>DO57*VLOOKUP('Données projet'!$B$14,Paramètres!$A$1:$I$89,3,0)*VLOOKUP('Données projet'!$B$14,Paramètres!$A$1:$I$89,5,0)</f>
        <v>212.94</v>
      </c>
      <c r="DQ57" s="14">
        <f t="shared" si="43"/>
        <v>52.577528895212865</v>
      </c>
      <c r="DR57" s="22">
        <f t="shared" si="16"/>
        <v>462.44302949249573</v>
      </c>
      <c r="DS57" s="62">
        <f t="shared" si="17"/>
        <v>755.77636282582898</v>
      </c>
      <c r="DT57" s="62">
        <f ca="1">AVERAGE(OFFSET($DS$3,0,0,'Données projet'!$E$14+1,1))-AVERAGE(OFFSET($H$3,0,0,'Données projet'!$E$14+1,1))</f>
        <v>328.70784159273131</v>
      </c>
      <c r="DU57" s="62">
        <f t="shared" si="44"/>
        <v>193.18009444354601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149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148.99999999999994</v>
      </c>
      <c r="O58" s="14">
        <f>N58*VLOOKUP('Données projet'!$B$9,Paramètres!$A$1:$I$89,3,0)*VLOOKUP('Données projet'!$B$9,Paramètres!$A$1:$I$89,5,0)</f>
        <v>134.81519999999995</v>
      </c>
      <c r="P58" s="14">
        <f t="shared" si="33"/>
        <v>35.106644529103392</v>
      </c>
      <c r="Q58" s="22">
        <f t="shared" si="53"/>
        <v>295.94721255485496</v>
      </c>
      <c r="R58" s="62">
        <f t="shared" si="0"/>
        <v>589.28054588818827</v>
      </c>
      <c r="S58" s="62">
        <f ca="1">AVERAGE(OFFSET($R$3,0,0,'Données projet'!$E$9+1,1))-AVERAGE(OFFSET($H$3,0,0,'Données projet'!$E$9+1,1))</f>
        <v>177.70053246230015</v>
      </c>
      <c r="T58" s="62">
        <f t="shared" si="34"/>
        <v>85.631326020763254</v>
      </c>
      <c r="U58" s="16">
        <f>IF(ISNA(VLOOKUP(A58,'Données projet'!$A$35:$I$55,3,0)),0,VLOOKUP(A58,'Données projet'!$A$35:$I$55,3,0))</f>
        <v>3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181</v>
      </c>
      <c r="AG58" s="13">
        <f>VLOOKUP(A58,'Données projet'!$A$61:$I$81,9,0)</f>
        <v>5.2</v>
      </c>
      <c r="AH58" s="13">
        <f t="array" ref="AH58">INDEX(AG:AG,MIN(IF(ISNUMBER(AG58:AG254),ROW(AG58:AG254),"")))</f>
        <v>5.2</v>
      </c>
      <c r="AI58" s="14">
        <f>IF('Données projet'!$A$62&gt;35,AI57+AH58-AQ57,IF(A58&lt;'Données projet'!$A$62,$AF$205^A58,IF(A58='Données projet'!$A$62,'Données projet'!$B$62,AI57+AH58-AQ57)))</f>
        <v>180.99999999999997</v>
      </c>
      <c r="AJ58" s="14">
        <f>AI58*VLOOKUP('Données projet'!$B$10,Paramètres!$A$1:$I$89,3,0)*VLOOKUP('Données projet'!$B$10,Paramètres!$A$1:$I$89,5,0)</f>
        <v>158.1216</v>
      </c>
      <c r="AK58" s="14">
        <f t="shared" si="35"/>
        <v>40.418546284954211</v>
      </c>
      <c r="AL58" s="22">
        <f t="shared" si="4"/>
        <v>345.79075477962851</v>
      </c>
      <c r="AM58" s="62">
        <f t="shared" si="5"/>
        <v>639.12408811296177</v>
      </c>
      <c r="AN58" s="62">
        <f ca="1">AVERAGE(OFFSET($AM$3,0,0,'Données projet'!$E$10+1,1))-AVERAGE(OFFSET($H$3,0,0,'Données projet'!$E$10+1,1))</f>
        <v>212.11273590951606</v>
      </c>
      <c r="AO58" s="62">
        <f t="shared" si="36"/>
        <v>240.9595690943346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2.2737367544323206E-13</v>
      </c>
      <c r="BE58" s="14">
        <f>BD58*VLOOKUP('Données projet'!$B$11,Paramètres!$A$1:$I$89,3,0)*VLOOKUP('Données projet'!$B$11,Paramètres!$A$1:$I$89,5,0)</f>
        <v>1.3596945791505279E-13</v>
      </c>
      <c r="BF58" s="14">
        <f t="shared" si="37"/>
        <v>1.9708830566360721E-12</v>
      </c>
      <c r="BG58" s="22">
        <f t="shared" si="7"/>
        <v>3.669434796176543E-12</v>
      </c>
      <c r="BH58" s="62">
        <f t="shared" si="8"/>
        <v>293.33333333333701</v>
      </c>
      <c r="BI58" s="62">
        <f ca="1">AVERAGE(OFFSET($BH$3,0,0,'Données projet'!$E$11+1,1))-AVERAGE(OFFSET($H$3,0,0,'Données projet'!$E$11+1,1))</f>
        <v>172.49153247238672</v>
      </c>
      <c r="BJ58" s="62">
        <f t="shared" si="38"/>
        <v>301.94982606323254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17.598485806530686</v>
      </c>
      <c r="BQ58" s="23">
        <f>EXP(-LN(2)/25)*BQ57+(1-EXP(-LN(2)/25))/(LN(2)/25)*Calculateur!BL58*Calculateur!BN58*VLOOKUP('Données projet'!$B$11,Paramètres!$A$1:$I$89,3,0)*0.475*44/12</f>
        <v>6.9145084447109344</v>
      </c>
      <c r="BR58" s="23">
        <f>EXP(-LN(2)/2)*BR57+(1-EXP(-LN(2)/2))/(LN(2)/2)*BL58*BO58*VLOOKUP('Données projet'!$B$11,Paramètres!$A$1:$I$89,3,0)*0.475*44/12</f>
        <v>1.0054217031172771E-3</v>
      </c>
      <c r="BS58" s="24">
        <f t="shared" si="9"/>
        <v>24.513999672944738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10.8</v>
      </c>
      <c r="BY58" s="13">
        <f>IF('Données projet'!$A$114&gt;35,BY57+BX58-CG57,IF(A58&lt;'Données projet'!$A$114,$BV$205^A58,IF(A58='Données projet'!$A$114,'Données projet'!$B$114,BY57+BX58-CG57)))</f>
        <v>275.00000000000017</v>
      </c>
      <c r="BZ58" s="14">
        <f>BY58*VLOOKUP('Données projet'!$B$12,Paramètres!$A$1:$I$89,3,0)*VLOOKUP('Données projet'!$B$12,Paramètres!$A$1:$I$89,5,0)</f>
        <v>157.3000000000001</v>
      </c>
      <c r="CA58" s="14">
        <f t="shared" si="39"/>
        <v>40.232920973447101</v>
      </c>
      <c r="CB58" s="22">
        <f t="shared" si="10"/>
        <v>344.03650402875382</v>
      </c>
      <c r="CC58" s="62">
        <f t="shared" si="11"/>
        <v>637.36983736208708</v>
      </c>
      <c r="CD58" s="62">
        <f ca="1">AVERAGE(OFFSET($CC$3,0,0,'Données projet'!$E$12+1,1))-AVERAGE(OFFSET($H$3,0,0,'Données projet'!$E$12+1,1))</f>
        <v>177.71338645688661</v>
      </c>
      <c r="CE58" s="62">
        <f t="shared" si="40"/>
        <v>153.65872713651345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0.88825732268930702</v>
      </c>
      <c r="CM58" s="23">
        <f>EXP(-LN(2)/2)*CM57+(1-EXP(-LN(2)/2))/(LN(2)/2)*CG58*CJ58*VLOOKUP('Données projet'!$B$12,Paramètres!$A$1:$I$89,3,0)*0.475*44/12</f>
        <v>1.1858585342745485E-4</v>
      </c>
      <c r="CN58" s="24">
        <f t="shared" si="12"/>
        <v>0.88837590854273452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177</v>
      </c>
      <c r="CR58" s="13">
        <f>VLOOKUP(A58,'Données projet'!$A$139:$I$159,9,0)</f>
        <v>4.5999999999999996</v>
      </c>
      <c r="CS58" s="13">
        <f t="array" ref="CS58">INDEX(CR:CR,MIN(IF(ISNUMBER(CR58:CR254),ROW(CR58:CR254),"")))</f>
        <v>4.5999999999999996</v>
      </c>
      <c r="CT58" s="13">
        <f>IF('Données projet'!$A$140&gt;35,CT57+CS58-DB57,IF(A58&lt;'Données projet'!$A$140,$CQ$205^A58,IF(A58='Données projet'!$A$140,'Données projet'!$B$140,CT57+CS58-DB57)))</f>
        <v>176.99999999999986</v>
      </c>
      <c r="CU58" s="18">
        <f>CT58*VLOOKUP('Données projet'!$B$13,Paramètres!$A$1:$I$89,3,0)*VLOOKUP('Données projet'!$B$13,Paramètres!$A$1:$I$89,5,0)</f>
        <v>115.9703999999999</v>
      </c>
      <c r="CV58" s="14">
        <f t="shared" si="41"/>
        <v>30.733301120222766</v>
      </c>
      <c r="CW58" s="22">
        <f t="shared" si="13"/>
        <v>255.50894611772114</v>
      </c>
      <c r="CX58" s="62">
        <f t="shared" si="14"/>
        <v>548.84227945105442</v>
      </c>
      <c r="CY58" s="62">
        <f ca="1">AVERAGE(OFFSET($CX$3,0,0,'Données projet'!$E$13+1,1))-AVERAGE(OFFSET($H$3,0,0,'Données projet'!$E$13+1,1))</f>
        <v>118.65321241325523</v>
      </c>
      <c r="CZ58" s="62">
        <f t="shared" si="42"/>
        <v>140.55041555757327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35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218</v>
      </c>
      <c r="DP58" s="18">
        <f>DO58*VLOOKUP('Données projet'!$B$14,Paramètres!$A$1:$I$89,3,0)*VLOOKUP('Données projet'!$B$14,Paramètres!$A$1:$I$89,5,0)</f>
        <v>221.05200000000002</v>
      </c>
      <c r="DQ58" s="14">
        <f t="shared" si="43"/>
        <v>54.343469202939254</v>
      </c>
      <c r="DR58" s="22">
        <f t="shared" si="16"/>
        <v>479.64710886178597</v>
      </c>
      <c r="DS58" s="62">
        <f t="shared" si="17"/>
        <v>772.98044219511928</v>
      </c>
      <c r="DT58" s="62">
        <f ca="1">AVERAGE(OFFSET($DS$3,0,0,'Données projet'!$E$14+1,1))-AVERAGE(OFFSET($H$3,0,0,'Données projet'!$E$14+1,1))</f>
        <v>328.70784159273131</v>
      </c>
      <c r="DU58" s="62">
        <f t="shared" si="44"/>
        <v>193.18009444354601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42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5.4</v>
      </c>
      <c r="N59" s="14">
        <f>IF('Données projet'!$A$36&gt;35,N58+M59-V58,IF(A59&lt;'Données projet'!$A$36,$K$205^A59,IF(A59='Données projet'!$A$36,'Données projet'!$B$36,N58+M59-V58)))</f>
        <v>126.39999999999995</v>
      </c>
      <c r="O59" s="14">
        <f>N59*VLOOKUP('Données projet'!$B$9,Paramètres!$A$1:$I$89,3,0)*VLOOKUP('Données projet'!$B$9,Paramètres!$A$1:$I$89,5,0)</f>
        <v>114.36671999999996</v>
      </c>
      <c r="P59" s="14">
        <f t="shared" si="33"/>
        <v>30.357475250812541</v>
      </c>
      <c r="Q59" s="22">
        <f t="shared" si="53"/>
        <v>252.06130672849841</v>
      </c>
      <c r="R59" s="62">
        <f t="shared" si="0"/>
        <v>545.39464006183175</v>
      </c>
      <c r="S59" s="62">
        <f ca="1">AVERAGE(OFFSET($R$3,0,0,'Données projet'!$E$9+1,1))-AVERAGE(OFFSET($H$3,0,0,'Données projet'!$E$9+1,1))</f>
        <v>177.70053246230015</v>
      </c>
      <c r="T59" s="62">
        <f t="shared" si="34"/>
        <v>85.631326020763254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</v>
      </c>
      <c r="AI59" s="14">
        <f>IF('Données projet'!$A$62&gt;35,AI58+AH59-AQ58,IF(A59&lt;'Données projet'!$A$62,$AF$205^A59,IF(A59='Données projet'!$A$62,'Données projet'!$B$62,AI58+AH59-AQ58)))</f>
        <v>185.99999999999997</v>
      </c>
      <c r="AJ59" s="14">
        <f>AI59*VLOOKUP('Données projet'!$B$10,Paramètres!$A$1:$I$89,3,0)*VLOOKUP('Données projet'!$B$10,Paramètres!$A$1:$I$89,5,0)</f>
        <v>162.4896</v>
      </c>
      <c r="AK59" s="14">
        <f t="shared" si="35"/>
        <v>41.403546033820696</v>
      </c>
      <c r="AL59" s="22">
        <f t="shared" si="4"/>
        <v>355.11389600890431</v>
      </c>
      <c r="AM59" s="62">
        <f t="shared" si="5"/>
        <v>648.44722934223762</v>
      </c>
      <c r="AN59" s="62">
        <f ca="1">AVERAGE(OFFSET($AM$3,0,0,'Données projet'!$E$10+1,1))-AVERAGE(OFFSET($H$3,0,0,'Données projet'!$E$10+1,1))</f>
        <v>212.11273590951606</v>
      </c>
      <c r="AO59" s="62">
        <f t="shared" si="36"/>
        <v>240.9595690943346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2.2737367544323206E-13</v>
      </c>
      <c r="BE59" s="14">
        <f>BD59*VLOOKUP('Données projet'!$B$11,Paramètres!$A$1:$I$89,3,0)*VLOOKUP('Données projet'!$B$11,Paramètres!$A$1:$I$89,5,0)</f>
        <v>1.3596945791505279E-13</v>
      </c>
      <c r="BF59" s="14">
        <f t="shared" si="37"/>
        <v>1.9708830566360721E-12</v>
      </c>
      <c r="BG59" s="22">
        <f t="shared" si="7"/>
        <v>3.669434796176543E-12</v>
      </c>
      <c r="BH59" s="62">
        <f t="shared" si="8"/>
        <v>293.33333333333701</v>
      </c>
      <c r="BI59" s="62">
        <f ca="1">AVERAGE(OFFSET($BH$3,0,0,'Données projet'!$E$11+1,1))-AVERAGE(OFFSET($H$3,0,0,'Données projet'!$E$11+1,1))</f>
        <v>172.49153247238672</v>
      </c>
      <c r="BJ59" s="62">
        <f t="shared" si="38"/>
        <v>301.94982606323254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17.253390233881063</v>
      </c>
      <c r="BQ59" s="23">
        <f>EXP(-LN(2)/25)*BQ58+(1-EXP(-LN(2)/25))/(LN(2)/25)*Calculateur!BL59*Calculateur!BN59*VLOOKUP('Données projet'!$B$11,Paramètres!$A$1:$I$89,3,0)*0.475*44/12</f>
        <v>6.7254308476721185</v>
      </c>
      <c r="BR59" s="23">
        <f>EXP(-LN(2)/2)*BR58+(1-EXP(-LN(2)/2))/(LN(2)/2)*BL59*BO59*VLOOKUP('Données projet'!$B$11,Paramètres!$A$1:$I$89,3,0)*0.475*44/12</f>
        <v>7.1094050422635443E-4</v>
      </c>
      <c r="BS59" s="24">
        <f t="shared" si="9"/>
        <v>23.979532022057409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10.8</v>
      </c>
      <c r="BY59" s="13">
        <f>IF('Données projet'!$A$114&gt;35,BY58+BX59-CG58,IF(A59&lt;'Données projet'!$A$114,$BV$205^A59,IF(A59='Données projet'!$A$114,'Données projet'!$B$114,BY58+BX59-CG58)))</f>
        <v>285.80000000000018</v>
      </c>
      <c r="BZ59" s="14">
        <f>BY59*VLOOKUP('Données projet'!$B$12,Paramètres!$A$1:$I$89,3,0)*VLOOKUP('Données projet'!$B$12,Paramètres!$A$1:$I$89,5,0)</f>
        <v>163.47760000000011</v>
      </c>
      <c r="CA59" s="14">
        <f t="shared" si="39"/>
        <v>41.625913502534537</v>
      </c>
      <c r="CB59" s="22">
        <f t="shared" si="10"/>
        <v>357.22195268358115</v>
      </c>
      <c r="CC59" s="62">
        <f t="shared" si="11"/>
        <v>650.55528601691447</v>
      </c>
      <c r="CD59" s="62">
        <f ca="1">AVERAGE(OFFSET($CC$3,0,0,'Données projet'!$E$12+1,1))-AVERAGE(OFFSET($H$3,0,0,'Données projet'!$E$12+1,1))</f>
        <v>177.71338645688661</v>
      </c>
      <c r="CE59" s="62">
        <f t="shared" si="40"/>
        <v>153.65872713651345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0.86396787948894549</v>
      </c>
      <c r="CM59" s="23">
        <f>EXP(-LN(2)/2)*CM58+(1-EXP(-LN(2)/2))/(LN(2)/2)*CG59*CJ59*VLOOKUP('Données projet'!$B$12,Paramètres!$A$1:$I$89,3,0)*0.475*44/12</f>
        <v>8.3852861111347317E-5</v>
      </c>
      <c r="CN59" s="24">
        <f t="shared" si="12"/>
        <v>0.86405173235005683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4.5999999999999996</v>
      </c>
      <c r="CT59" s="13">
        <f>IF('Données projet'!$A$140&gt;35,CT58+CS59-DB58,IF(A59&lt;'Données projet'!$A$140,$CQ$205^A59,IF(A59='Données projet'!$A$140,'Données projet'!$B$140,CT58+CS59-DB58)))</f>
        <v>146.59999999999985</v>
      </c>
      <c r="CU59" s="18">
        <f>CT59*VLOOKUP('Données projet'!$B$13,Paramètres!$A$1:$I$89,3,0)*VLOOKUP('Données projet'!$B$13,Paramètres!$A$1:$I$89,5,0)</f>
        <v>96.052319999999909</v>
      </c>
      <c r="CV59" s="14">
        <f t="shared" si="41"/>
        <v>26.019324001860227</v>
      </c>
      <c r="CW59" s="22">
        <f t="shared" si="13"/>
        <v>212.60811330323972</v>
      </c>
      <c r="CX59" s="62">
        <f t="shared" si="14"/>
        <v>505.941446636573</v>
      </c>
      <c r="CY59" s="62">
        <f ca="1">AVERAGE(OFFSET($CX$3,0,0,'Données projet'!$E$13+1,1))-AVERAGE(OFFSET($H$3,0,0,'Données projet'!$E$13+1,1))</f>
        <v>118.65321241325523</v>
      </c>
      <c r="CZ59" s="62">
        <f t="shared" si="42"/>
        <v>140.55041555757327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183.6</v>
      </c>
      <c r="DP59" s="18">
        <f>DO59*VLOOKUP('Données projet'!$B$14,Paramètres!$A$1:$I$89,3,0)*VLOOKUP('Données projet'!$B$14,Paramètres!$A$1:$I$89,5,0)</f>
        <v>186.1704</v>
      </c>
      <c r="DQ59" s="14">
        <f t="shared" si="43"/>
        <v>46.692281933796018</v>
      </c>
      <c r="DR59" s="22">
        <f t="shared" si="16"/>
        <v>405.56917103469476</v>
      </c>
      <c r="DS59" s="62">
        <f t="shared" si="17"/>
        <v>698.90250436802808</v>
      </c>
      <c r="DT59" s="62">
        <f ca="1">AVERAGE(OFFSET($DS$3,0,0,'Données projet'!$E$14+1,1))-AVERAGE(OFFSET($H$3,0,0,'Données projet'!$E$14+1,1))</f>
        <v>328.70784159273131</v>
      </c>
      <c r="DU59" s="62">
        <f t="shared" si="44"/>
        <v>193.18009444354601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5.4</v>
      </c>
      <c r="N60" s="14">
        <f>IF('Données projet'!$A$36&gt;35,N59+M60-V59,IF(A60&lt;'Données projet'!$A$36,$K$205^A60,IF(A60='Données projet'!$A$36,'Données projet'!$B$36,N59+M60-V59)))</f>
        <v>131.79999999999995</v>
      </c>
      <c r="O60" s="14">
        <f>N60*VLOOKUP('Données projet'!$B$9,Paramètres!$A$1:$I$89,3,0)*VLOOKUP('Données projet'!$B$9,Paramètres!$A$1:$I$89,5,0)</f>
        <v>119.25263999999996</v>
      </c>
      <c r="P60" s="14">
        <f t="shared" si="33"/>
        <v>31.500626518374347</v>
      </c>
      <c r="Q60" s="22">
        <f t="shared" si="53"/>
        <v>262.56193918616856</v>
      </c>
      <c r="R60" s="62">
        <f t="shared" si="0"/>
        <v>555.89527251950187</v>
      </c>
      <c r="S60" s="62">
        <f ca="1">AVERAGE(OFFSET($R$3,0,0,'Données projet'!$E$9+1,1))-AVERAGE(OFFSET($H$3,0,0,'Données projet'!$E$9+1,1))</f>
        <v>177.70053246230015</v>
      </c>
      <c r="T60" s="62">
        <f t="shared" si="34"/>
        <v>85.631326020763254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</v>
      </c>
      <c r="AI60" s="14">
        <f>IF('Données projet'!$A$62&gt;35,AI59+AH60-AQ59,IF(A60&lt;'Données projet'!$A$62,$AF$205^A60,IF(A60='Données projet'!$A$62,'Données projet'!$B$62,AI59+AH60-AQ59)))</f>
        <v>190.99999999999997</v>
      </c>
      <c r="AJ60" s="14">
        <f>AI60*VLOOKUP('Données projet'!$B$10,Paramètres!$A$1:$I$89,3,0)*VLOOKUP('Données projet'!$B$10,Paramètres!$A$1:$I$89,5,0)</f>
        <v>166.85759999999999</v>
      </c>
      <c r="AK60" s="14">
        <f t="shared" si="35"/>
        <v>42.385468111966098</v>
      </c>
      <c r="AL60" s="22">
        <f t="shared" si="4"/>
        <v>364.43167696167421</v>
      </c>
      <c r="AM60" s="62">
        <f t="shared" si="5"/>
        <v>657.76501029500753</v>
      </c>
      <c r="AN60" s="62">
        <f ca="1">AVERAGE(OFFSET($AM$3,0,0,'Données projet'!$E$10+1,1))-AVERAGE(OFFSET($H$3,0,0,'Données projet'!$E$10+1,1))</f>
        <v>212.11273590951606</v>
      </c>
      <c r="AO60" s="62">
        <f t="shared" si="36"/>
        <v>240.9595690943346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2.2737367544323206E-13</v>
      </c>
      <c r="BE60" s="14">
        <f>BD60*VLOOKUP('Données projet'!$B$11,Paramètres!$A$1:$I$89,3,0)*VLOOKUP('Données projet'!$B$11,Paramètres!$A$1:$I$89,5,0)</f>
        <v>1.3596945791505279E-13</v>
      </c>
      <c r="BF60" s="14">
        <f t="shared" si="37"/>
        <v>1.9708830566360721E-12</v>
      </c>
      <c r="BG60" s="22">
        <f t="shared" si="7"/>
        <v>3.669434796176543E-12</v>
      </c>
      <c r="BH60" s="62">
        <f t="shared" si="8"/>
        <v>293.33333333333701</v>
      </c>
      <c r="BI60" s="62">
        <f ca="1">AVERAGE(OFFSET($BH$3,0,0,'Données projet'!$E$11+1,1))-AVERAGE(OFFSET($H$3,0,0,'Données projet'!$E$11+1,1))</f>
        <v>172.49153247238672</v>
      </c>
      <c r="BJ60" s="62">
        <f t="shared" si="38"/>
        <v>301.94982606323254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16.915061774923586</v>
      </c>
      <c r="BQ60" s="23">
        <f>EXP(-LN(2)/25)*BQ59+(1-EXP(-LN(2)/25))/(LN(2)/25)*Calculateur!BL60*Calculateur!BN60*VLOOKUP('Données projet'!$B$11,Paramètres!$A$1:$I$89,3,0)*0.475*44/12</f>
        <v>6.5415235874674877</v>
      </c>
      <c r="BR60" s="23">
        <f>EXP(-LN(2)/2)*BR59+(1-EXP(-LN(2)/2))/(LN(2)/2)*BL60*BO60*VLOOKUP('Données projet'!$B$11,Paramètres!$A$1:$I$89,3,0)*0.475*44/12</f>
        <v>5.0271085155863856E-4</v>
      </c>
      <c r="BS60" s="24">
        <f t="shared" si="9"/>
        <v>23.457088073242634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10.8</v>
      </c>
      <c r="BY60" s="13">
        <f>IF('Données projet'!$A$114&gt;35,BY59+BX60-CG59,IF(A60&lt;'Données projet'!$A$114,$BV$205^A60,IF(A60='Données projet'!$A$114,'Données projet'!$B$114,BY59+BX60-CG59)))</f>
        <v>296.60000000000019</v>
      </c>
      <c r="BZ60" s="14">
        <f>BY60*VLOOKUP('Données projet'!$B$12,Paramètres!$A$1:$I$89,3,0)*VLOOKUP('Données projet'!$B$12,Paramètres!$A$1:$I$89,5,0)</f>
        <v>169.65520000000009</v>
      </c>
      <c r="CA60" s="14">
        <f t="shared" si="39"/>
        <v>43.012790732676081</v>
      </c>
      <c r="CB60" s="22">
        <f t="shared" si="10"/>
        <v>370.39675052607771</v>
      </c>
      <c r="CC60" s="62">
        <f t="shared" si="11"/>
        <v>663.73008385941102</v>
      </c>
      <c r="CD60" s="62">
        <f ca="1">AVERAGE(OFFSET($CC$3,0,0,'Données projet'!$E$12+1,1))-AVERAGE(OFFSET($H$3,0,0,'Données projet'!$E$12+1,1))</f>
        <v>177.71338645688661</v>
      </c>
      <c r="CE60" s="62">
        <f t="shared" si="40"/>
        <v>153.65872713651345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0.84034263239022411</v>
      </c>
      <c r="CM60" s="23">
        <f>EXP(-LN(2)/2)*CM59+(1-EXP(-LN(2)/2))/(LN(2)/2)*CG60*CJ60*VLOOKUP('Données projet'!$B$12,Paramètres!$A$1:$I$89,3,0)*0.475*44/12</f>
        <v>5.9292926713727431E-5</v>
      </c>
      <c r="CN60" s="24">
        <f t="shared" si="12"/>
        <v>0.8404019253169378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4.5999999999999996</v>
      </c>
      <c r="CT60" s="13">
        <f>IF('Données projet'!$A$140&gt;35,CT59+CS60-DB59,IF(A60&lt;'Données projet'!$A$140,$CQ$205^A60,IF(A60='Données projet'!$A$140,'Données projet'!$B$140,CT59+CS60-DB59)))</f>
        <v>151.19999999999985</v>
      </c>
      <c r="CU60" s="18">
        <f>CT60*VLOOKUP('Données projet'!$B$13,Paramètres!$A$1:$I$89,3,0)*VLOOKUP('Données projet'!$B$13,Paramètres!$A$1:$I$89,5,0)</f>
        <v>99.066239999999894</v>
      </c>
      <c r="CV60" s="14">
        <f t="shared" si="41"/>
        <v>26.739420789378681</v>
      </c>
      <c r="CW60" s="22">
        <f t="shared" si="13"/>
        <v>219.11152587483434</v>
      </c>
      <c r="CX60" s="62">
        <f t="shared" si="14"/>
        <v>512.4448592081676</v>
      </c>
      <c r="CY60" s="62">
        <f ca="1">AVERAGE(OFFSET($CX$3,0,0,'Données projet'!$E$13+1,1))-AVERAGE(OFFSET($H$3,0,0,'Données projet'!$E$13+1,1))</f>
        <v>118.65321241325523</v>
      </c>
      <c r="CZ60" s="62">
        <f t="shared" si="42"/>
        <v>140.55041555757327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191.2</v>
      </c>
      <c r="DP60" s="18">
        <f>DO60*VLOOKUP('Données projet'!$B$14,Paramètres!$A$1:$I$89,3,0)*VLOOKUP('Données projet'!$B$14,Paramètres!$A$1:$I$89,5,0)</f>
        <v>193.8768</v>
      </c>
      <c r="DQ60" s="14">
        <f t="shared" si="43"/>
        <v>48.396048099527611</v>
      </c>
      <c r="DR60" s="22">
        <f t="shared" si="16"/>
        <v>421.95854377334393</v>
      </c>
      <c r="DS60" s="62">
        <f t="shared" si="17"/>
        <v>715.29187710667725</v>
      </c>
      <c r="DT60" s="62">
        <f ca="1">AVERAGE(OFFSET($DS$3,0,0,'Données projet'!$E$14+1,1))-AVERAGE(OFFSET($H$3,0,0,'Données projet'!$E$14+1,1))</f>
        <v>328.70784159273131</v>
      </c>
      <c r="DU60" s="62">
        <f t="shared" si="44"/>
        <v>193.18009444354601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5.4</v>
      </c>
      <c r="N61" s="14">
        <f>IF('Données projet'!$A$36&gt;35,N60+M61-V60,IF(A61&lt;'Données projet'!$A$36,$K$205^A61,IF(A61='Données projet'!$A$36,'Données projet'!$B$36,N60+M61-V60)))</f>
        <v>137.19999999999996</v>
      </c>
      <c r="O61" s="14">
        <f>N61*VLOOKUP('Données projet'!$B$9,Paramètres!$A$1:$I$89,3,0)*VLOOKUP('Données projet'!$B$9,Paramètres!$A$1:$I$89,5,0)</f>
        <v>124.13855999999996</v>
      </c>
      <c r="P61" s="14">
        <f t="shared" si="33"/>
        <v>32.638337418917978</v>
      </c>
      <c r="Q61" s="22">
        <f t="shared" si="53"/>
        <v>273.05309633794872</v>
      </c>
      <c r="R61" s="62">
        <f t="shared" si="0"/>
        <v>566.38642967128203</v>
      </c>
      <c r="S61" s="62">
        <f ca="1">AVERAGE(OFFSET($R$3,0,0,'Données projet'!$E$9+1,1))-AVERAGE(OFFSET($H$3,0,0,'Données projet'!$E$9+1,1))</f>
        <v>177.70053246230015</v>
      </c>
      <c r="T61" s="62">
        <f t="shared" si="34"/>
        <v>85.631326020763254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</v>
      </c>
      <c r="AI61" s="14">
        <f>IF('Données projet'!$A$62&gt;35,AI60+AH61-AQ60,IF(A61&lt;'Données projet'!$A$62,$AF$205^A61,IF(A61='Données projet'!$A$62,'Données projet'!$B$62,AI60+AH61-AQ60)))</f>
        <v>195.99999999999997</v>
      </c>
      <c r="AJ61" s="14">
        <f>AI61*VLOOKUP('Données projet'!$B$10,Paramètres!$A$1:$I$89,3,0)*VLOOKUP('Données projet'!$B$10,Paramètres!$A$1:$I$89,5,0)</f>
        <v>171.22559999999999</v>
      </c>
      <c r="AK61" s="14">
        <f t="shared" si="35"/>
        <v>43.364402348589557</v>
      </c>
      <c r="AL61" s="22">
        <f t="shared" si="4"/>
        <v>373.74425409046006</v>
      </c>
      <c r="AM61" s="62">
        <f t="shared" si="5"/>
        <v>667.07758742379337</v>
      </c>
      <c r="AN61" s="62">
        <f ca="1">AVERAGE(OFFSET($AM$3,0,0,'Données projet'!$E$10+1,1))-AVERAGE(OFFSET($H$3,0,0,'Données projet'!$E$10+1,1))</f>
        <v>212.11273590951606</v>
      </c>
      <c r="AO61" s="62">
        <f t="shared" si="36"/>
        <v>240.9595690943346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2.2737367544323206E-13</v>
      </c>
      <c r="BE61" s="14">
        <f>BD61*VLOOKUP('Données projet'!$B$11,Paramètres!$A$1:$I$89,3,0)*VLOOKUP('Données projet'!$B$11,Paramètres!$A$1:$I$89,5,0)</f>
        <v>1.3596945791505279E-13</v>
      </c>
      <c r="BF61" s="14">
        <f t="shared" si="37"/>
        <v>1.9708830566360721E-12</v>
      </c>
      <c r="BG61" s="22">
        <f t="shared" si="7"/>
        <v>3.669434796176543E-12</v>
      </c>
      <c r="BH61" s="62">
        <f t="shared" si="8"/>
        <v>293.33333333333701</v>
      </c>
      <c r="BI61" s="62">
        <f ca="1">AVERAGE(OFFSET($BH$3,0,0,'Données projet'!$E$11+1,1))-AVERAGE(OFFSET($H$3,0,0,'Données projet'!$E$11+1,1))</f>
        <v>172.49153247238672</v>
      </c>
      <c r="BJ61" s="62">
        <f t="shared" si="38"/>
        <v>301.94982606323254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16.58336773068628</v>
      </c>
      <c r="BQ61" s="23">
        <f>EXP(-LN(2)/25)*BQ60+(1-EXP(-LN(2)/25))/(LN(2)/25)*Calculateur!BL61*Calculateur!BN61*VLOOKUP('Données projet'!$B$11,Paramètres!$A$1:$I$89,3,0)*0.475*44/12</f>
        <v>6.362645280964415</v>
      </c>
      <c r="BR61" s="23">
        <f>EXP(-LN(2)/2)*BR60+(1-EXP(-LN(2)/2))/(LN(2)/2)*BL61*BO61*VLOOKUP('Données projet'!$B$11,Paramètres!$A$1:$I$89,3,0)*0.475*44/12</f>
        <v>3.5547025211317721E-4</v>
      </c>
      <c r="BS61" s="24">
        <f t="shared" si="9"/>
        <v>22.946368481902809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10.8</v>
      </c>
      <c r="BY61" s="13">
        <f>IF('Données projet'!$A$114&gt;35,BY60+BX61-CG60,IF(A61&lt;'Données projet'!$A$114,$BV$205^A61,IF(A61='Données projet'!$A$114,'Données projet'!$B$114,BY60+BX61-CG60)))</f>
        <v>307.4000000000002</v>
      </c>
      <c r="BZ61" s="14">
        <f>BY61*VLOOKUP('Données projet'!$B$12,Paramètres!$A$1:$I$89,3,0)*VLOOKUP('Données projet'!$B$12,Paramètres!$A$1:$I$89,5,0)</f>
        <v>175.83280000000011</v>
      </c>
      <c r="CA61" s="14">
        <f t="shared" si="39"/>
        <v>44.393800843059971</v>
      </c>
      <c r="CB61" s="22">
        <f t="shared" si="10"/>
        <v>383.56132980166291</v>
      </c>
      <c r="CC61" s="62">
        <f t="shared" si="11"/>
        <v>676.89466313499622</v>
      </c>
      <c r="CD61" s="62">
        <f ca="1">AVERAGE(OFFSET($CC$3,0,0,'Données projet'!$E$12+1,1))-AVERAGE(OFFSET($H$3,0,0,'Données projet'!$E$12+1,1))</f>
        <v>177.71338645688661</v>
      </c>
      <c r="CE61" s="62">
        <f t="shared" si="40"/>
        <v>153.65872713651345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0.81736341891581499</v>
      </c>
      <c r="CM61" s="23">
        <f>EXP(-LN(2)/2)*CM60+(1-EXP(-LN(2)/2))/(LN(2)/2)*CG61*CJ61*VLOOKUP('Données projet'!$B$12,Paramètres!$A$1:$I$89,3,0)*0.475*44/12</f>
        <v>4.1926430555673665E-5</v>
      </c>
      <c r="CN61" s="24">
        <f t="shared" si="12"/>
        <v>0.81740534534637066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4.5999999999999996</v>
      </c>
      <c r="CT61" s="13">
        <f>IF('Données projet'!$A$140&gt;35,CT60+CS61-DB60,IF(A61&lt;'Données projet'!$A$140,$CQ$205^A61,IF(A61='Données projet'!$A$140,'Données projet'!$B$140,CT60+CS61-DB60)))</f>
        <v>155.79999999999984</v>
      </c>
      <c r="CU61" s="18">
        <f>CT61*VLOOKUP('Données projet'!$B$13,Paramètres!$A$1:$I$89,3,0)*VLOOKUP('Données projet'!$B$13,Paramètres!$A$1:$I$89,5,0)</f>
        <v>102.08015999999991</v>
      </c>
      <c r="CV61" s="14">
        <f t="shared" si="41"/>
        <v>27.456971614793144</v>
      </c>
      <c r="CW61" s="22">
        <f t="shared" si="13"/>
        <v>225.61050422909787</v>
      </c>
      <c r="CX61" s="62">
        <f t="shared" si="14"/>
        <v>518.94383756243121</v>
      </c>
      <c r="CY61" s="62">
        <f ca="1">AVERAGE(OFFSET($CX$3,0,0,'Données projet'!$E$13+1,1))-AVERAGE(OFFSET($H$3,0,0,'Données projet'!$E$13+1,1))</f>
        <v>118.65321241325523</v>
      </c>
      <c r="CZ61" s="62">
        <f t="shared" si="42"/>
        <v>140.55041555757327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198.79999999999998</v>
      </c>
      <c r="DP61" s="18">
        <f>DO61*VLOOKUP('Données projet'!$B$14,Paramètres!$A$1:$I$89,3,0)*VLOOKUP('Données projet'!$B$14,Paramètres!$A$1:$I$89,5,0)</f>
        <v>201.58320000000001</v>
      </c>
      <c r="DQ61" s="14">
        <f t="shared" si="43"/>
        <v>50.091947337331924</v>
      </c>
      <c r="DR61" s="22">
        <f t="shared" si="16"/>
        <v>438.33421494585309</v>
      </c>
      <c r="DS61" s="62">
        <f t="shared" si="17"/>
        <v>731.66754827918635</v>
      </c>
      <c r="DT61" s="62">
        <f ca="1">AVERAGE(OFFSET($DS$3,0,0,'Données projet'!$E$14+1,1))-AVERAGE(OFFSET($H$3,0,0,'Données projet'!$E$14+1,1))</f>
        <v>328.70784159273131</v>
      </c>
      <c r="DU61" s="62">
        <f t="shared" si="44"/>
        <v>193.18009444354601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5.4</v>
      </c>
      <c r="N62" s="14">
        <f>IF('Données projet'!$A$36&gt;35,N61+M62-V61,IF(A62&lt;'Données projet'!$A$36,$K$205^A62,IF(A62='Données projet'!$A$36,'Données projet'!$B$36,N61+M62-V61)))</f>
        <v>142.59999999999997</v>
      </c>
      <c r="O62" s="14">
        <f>N62*VLOOKUP('Données projet'!$B$9,Paramètres!$A$1:$I$89,3,0)*VLOOKUP('Données projet'!$B$9,Paramètres!$A$1:$I$89,5,0)</f>
        <v>129.02447999999995</v>
      </c>
      <c r="P62" s="14">
        <f t="shared" si="33"/>
        <v>33.770846580616251</v>
      </c>
      <c r="Q62" s="22">
        <f t="shared" si="53"/>
        <v>283.53519379457322</v>
      </c>
      <c r="R62" s="62">
        <f t="shared" si="0"/>
        <v>576.86852712790653</v>
      </c>
      <c r="S62" s="62">
        <f ca="1">AVERAGE(OFFSET($R$3,0,0,'Données projet'!$E$9+1,1))-AVERAGE(OFFSET($H$3,0,0,'Données projet'!$E$9+1,1))</f>
        <v>177.70053246230015</v>
      </c>
      <c r="T62" s="62">
        <f t="shared" si="34"/>
        <v>85.631326020763254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</v>
      </c>
      <c r="AI62" s="14">
        <f>IF('Données projet'!$A$62&gt;35,AI61+AH62-AQ61,IF(A62&lt;'Données projet'!$A$62,$AF$205^A62,IF(A62='Données projet'!$A$62,'Données projet'!$B$62,AI61+AH62-AQ61)))</f>
        <v>200.99999999999997</v>
      </c>
      <c r="AJ62" s="14">
        <f>AI62*VLOOKUP('Données projet'!$B$10,Paramètres!$A$1:$I$89,3,0)*VLOOKUP('Données projet'!$B$10,Paramètres!$A$1:$I$89,5,0)</f>
        <v>175.59359999999998</v>
      </c>
      <c r="AK62" s="14">
        <f t="shared" si="35"/>
        <v>44.340433728638573</v>
      </c>
      <c r="AL62" s="22">
        <f t="shared" si="4"/>
        <v>383.05177541071208</v>
      </c>
      <c r="AM62" s="62">
        <f t="shared" si="5"/>
        <v>676.3851087440454</v>
      </c>
      <c r="AN62" s="62">
        <f ca="1">AVERAGE(OFFSET($AM$3,0,0,'Données projet'!$E$10+1,1))-AVERAGE(OFFSET($H$3,0,0,'Données projet'!$E$10+1,1))</f>
        <v>212.11273590951606</v>
      </c>
      <c r="AO62" s="62">
        <f t="shared" si="36"/>
        <v>240.9595690943346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2.2737367544323206E-13</v>
      </c>
      <c r="BE62" s="14">
        <f>BD62*VLOOKUP('Données projet'!$B$11,Paramètres!$A$1:$I$89,3,0)*VLOOKUP('Données projet'!$B$11,Paramètres!$A$1:$I$89,5,0)</f>
        <v>1.3596945791505279E-13</v>
      </c>
      <c r="BF62" s="14">
        <f t="shared" si="37"/>
        <v>1.9708830566360721E-12</v>
      </c>
      <c r="BG62" s="22">
        <f t="shared" si="7"/>
        <v>3.669434796176543E-12</v>
      </c>
      <c r="BH62" s="62">
        <f t="shared" si="8"/>
        <v>293.33333333333701</v>
      </c>
      <c r="BI62" s="62">
        <f ca="1">AVERAGE(OFFSET($BH$3,0,0,'Données projet'!$E$11+1,1))-AVERAGE(OFFSET($H$3,0,0,'Données projet'!$E$11+1,1))</f>
        <v>172.49153247238672</v>
      </c>
      <c r="BJ62" s="62">
        <f t="shared" si="38"/>
        <v>301.94982606323254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16.25817800434308</v>
      </c>
      <c r="BQ62" s="23">
        <f>EXP(-LN(2)/25)*BQ61+(1-EXP(-LN(2)/25))/(LN(2)/25)*Calculateur!BL62*Calculateur!BN62*VLOOKUP('Données projet'!$B$11,Paramètres!$A$1:$I$89,3,0)*0.475*44/12</f>
        <v>6.1886584111594694</v>
      </c>
      <c r="BR62" s="23">
        <f>EXP(-LN(2)/2)*BR61+(1-EXP(-LN(2)/2))/(LN(2)/2)*BL62*BO62*VLOOKUP('Données projet'!$B$11,Paramètres!$A$1:$I$89,3,0)*0.475*44/12</f>
        <v>2.5135542577931928E-4</v>
      </c>
      <c r="BS62" s="24">
        <f t="shared" si="9"/>
        <v>22.447087770928327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10.8</v>
      </c>
      <c r="BY62" s="13">
        <f>IF('Données projet'!$A$114&gt;35,BY61+BX62-CG61,IF(A62&lt;'Données projet'!$A$114,$BV$205^A62,IF(A62='Données projet'!$A$114,'Données projet'!$B$114,BY61+BX62-CG61)))</f>
        <v>318.20000000000022</v>
      </c>
      <c r="BZ62" s="14">
        <f>BY62*VLOOKUP('Données projet'!$B$12,Paramètres!$A$1:$I$89,3,0)*VLOOKUP('Données projet'!$B$12,Paramètres!$A$1:$I$89,5,0)</f>
        <v>182.01040000000012</v>
      </c>
      <c r="CA62" s="14">
        <f t="shared" si="39"/>
        <v>45.769173585325895</v>
      </c>
      <c r="CB62" s="22">
        <f t="shared" si="10"/>
        <v>396.71609066110949</v>
      </c>
      <c r="CC62" s="62">
        <f t="shared" si="11"/>
        <v>690.0494239944428</v>
      </c>
      <c r="CD62" s="62">
        <f ca="1">AVERAGE(OFFSET($CC$3,0,0,'Données projet'!$E$12+1,1))-AVERAGE(OFFSET($H$3,0,0,'Données projet'!$E$12+1,1))</f>
        <v>177.71338645688661</v>
      </c>
      <c r="CE62" s="62">
        <f t="shared" si="40"/>
        <v>153.65872713651345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0.79501257324228791</v>
      </c>
      <c r="CM62" s="23">
        <f>EXP(-LN(2)/2)*CM61+(1-EXP(-LN(2)/2))/(LN(2)/2)*CG62*CJ62*VLOOKUP('Données projet'!$B$12,Paramètres!$A$1:$I$89,3,0)*0.475*44/12</f>
        <v>2.9646463356863722E-5</v>
      </c>
      <c r="CN62" s="24">
        <f t="shared" si="12"/>
        <v>0.79504221970564481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4.5999999999999996</v>
      </c>
      <c r="CT62" s="13">
        <f>IF('Données projet'!$A$140&gt;35,CT61+CS62-DB61,IF(A62&lt;'Données projet'!$A$140,$CQ$205^A62,IF(A62='Données projet'!$A$140,'Données projet'!$B$140,CT61+CS62-DB61)))</f>
        <v>160.39999999999984</v>
      </c>
      <c r="CU62" s="18">
        <f>CT62*VLOOKUP('Données projet'!$B$13,Paramètres!$A$1:$I$89,3,0)*VLOOKUP('Données projet'!$B$13,Paramètres!$A$1:$I$89,5,0)</f>
        <v>105.09407999999989</v>
      </c>
      <c r="CV62" s="14">
        <f t="shared" si="41"/>
        <v>28.172060278105018</v>
      </c>
      <c r="CW62" s="22">
        <f t="shared" si="13"/>
        <v>232.10519431769936</v>
      </c>
      <c r="CX62" s="62">
        <f t="shared" si="14"/>
        <v>525.4385276510327</v>
      </c>
      <c r="CY62" s="62">
        <f ca="1">AVERAGE(OFFSET($CX$3,0,0,'Données projet'!$E$13+1,1))-AVERAGE(OFFSET($H$3,0,0,'Données projet'!$E$13+1,1))</f>
        <v>118.65321241325523</v>
      </c>
      <c r="CZ62" s="62">
        <f t="shared" si="42"/>
        <v>140.55041555757327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206.39999999999998</v>
      </c>
      <c r="DP62" s="18">
        <f>DO62*VLOOKUP('Données projet'!$B$14,Paramètres!$A$1:$I$89,3,0)*VLOOKUP('Données projet'!$B$14,Paramètres!$A$1:$I$89,5,0)</f>
        <v>209.28960000000001</v>
      </c>
      <c r="DQ62" s="14">
        <f t="shared" si="43"/>
        <v>51.780314822292169</v>
      </c>
      <c r="DR62" s="22">
        <f t="shared" si="16"/>
        <v>454.69676831549214</v>
      </c>
      <c r="DS62" s="62">
        <f t="shared" si="17"/>
        <v>748.03010164882539</v>
      </c>
      <c r="DT62" s="62">
        <f ca="1">AVERAGE(OFFSET($DS$3,0,0,'Données projet'!$E$14+1,1))-AVERAGE(OFFSET($H$3,0,0,'Données projet'!$E$14+1,1))</f>
        <v>328.70784159273131</v>
      </c>
      <c r="DU62" s="62">
        <f t="shared" si="44"/>
        <v>193.18009444354601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148</v>
      </c>
      <c r="L63" s="13">
        <f>VLOOKUP(A63,'Données projet'!$A$35:$I$55,9,0)</f>
        <v>5.4</v>
      </c>
      <c r="M63" s="13">
        <f t="array" ref="M63">INDEX(L:L,MIN(IF(ISNUMBER(L63:L259),ROW(L63:L259),"")))</f>
        <v>5.4</v>
      </c>
      <c r="N63" s="14">
        <f>IF('Données projet'!$A$36&gt;35,N62+M63-V62,IF(A63&lt;'Données projet'!$A$36,$K$205^A63,IF(A63='Données projet'!$A$36,'Données projet'!$B$36,N62+M63-V62)))</f>
        <v>147.99999999999997</v>
      </c>
      <c r="O63" s="14">
        <f>N63*VLOOKUP('Données projet'!$B$9,Paramètres!$A$1:$I$89,3,0)*VLOOKUP('Données projet'!$B$9,Paramètres!$A$1:$I$89,5,0)</f>
        <v>133.91039999999995</v>
      </c>
      <c r="P63" s="14">
        <f t="shared" si="33"/>
        <v>34.898373535125089</v>
      </c>
      <c r="Q63" s="22">
        <f t="shared" si="53"/>
        <v>294.00861390700948</v>
      </c>
      <c r="R63" s="62">
        <f t="shared" si="0"/>
        <v>587.34194724034273</v>
      </c>
      <c r="S63" s="62">
        <f ca="1">AVERAGE(OFFSET($R$3,0,0,'Données projet'!$E$9+1,1))-AVERAGE(OFFSET($H$3,0,0,'Données projet'!$E$9+1,1))</f>
        <v>177.70053246230015</v>
      </c>
      <c r="T63" s="62">
        <f t="shared" si="34"/>
        <v>85.631326020763254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206</v>
      </c>
      <c r="AG63" s="13">
        <f>VLOOKUP(A63,'Données projet'!$A$61:$I$81,9,0)</f>
        <v>5</v>
      </c>
      <c r="AH63" s="13">
        <f t="array" ref="AH63">INDEX(AG:AG,MIN(IF(ISNUMBER(AG63:AG259),ROW(AG63:AG259),"")))</f>
        <v>5</v>
      </c>
      <c r="AI63" s="14">
        <f>IF('Données projet'!$A$62&gt;35,AI62+AH63-AQ62,IF(A63&lt;'Données projet'!$A$62,$AF$205^A63,IF(A63='Données projet'!$A$62,'Données projet'!$B$62,AI62+AH63-AQ62)))</f>
        <v>205.99999999999997</v>
      </c>
      <c r="AJ63" s="14">
        <f>AI63*VLOOKUP('Données projet'!$B$10,Paramètres!$A$1:$I$89,3,0)*VLOOKUP('Données projet'!$B$10,Paramètres!$A$1:$I$89,5,0)</f>
        <v>179.9616</v>
      </c>
      <c r="AK63" s="14">
        <f t="shared" si="35"/>
        <v>45.313642767960104</v>
      </c>
      <c r="AL63" s="22">
        <f t="shared" si="4"/>
        <v>392.35438115419714</v>
      </c>
      <c r="AM63" s="62">
        <f t="shared" si="5"/>
        <v>685.68771448753046</v>
      </c>
      <c r="AN63" s="62">
        <f ca="1">AVERAGE(OFFSET($AM$3,0,0,'Données projet'!$E$10+1,1))-AVERAGE(OFFSET($H$3,0,0,'Données projet'!$E$10+1,1))</f>
        <v>212.11273590951606</v>
      </c>
      <c r="AO63" s="62">
        <f t="shared" si="36"/>
        <v>240.9595690943346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33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2.2737367544323206E-13</v>
      </c>
      <c r="BE63" s="14">
        <f>BD63*VLOOKUP('Données projet'!$B$11,Paramètres!$A$1:$I$89,3,0)*VLOOKUP('Données projet'!$B$11,Paramètres!$A$1:$I$89,5,0)</f>
        <v>1.3596945791505279E-13</v>
      </c>
      <c r="BF63" s="14">
        <f t="shared" si="37"/>
        <v>1.9708830566360721E-12</v>
      </c>
      <c r="BG63" s="22">
        <f t="shared" si="7"/>
        <v>3.669434796176543E-12</v>
      </c>
      <c r="BH63" s="62">
        <f t="shared" si="8"/>
        <v>293.33333333333701</v>
      </c>
      <c r="BI63" s="62">
        <f ca="1">AVERAGE(OFFSET($BH$3,0,0,'Données projet'!$E$11+1,1))-AVERAGE(OFFSET($H$3,0,0,'Données projet'!$E$11+1,1))</f>
        <v>172.49153247238672</v>
      </c>
      <c r="BJ63" s="62">
        <f t="shared" si="38"/>
        <v>301.94982606323254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15.939365050187321</v>
      </c>
      <c r="BQ63" s="23">
        <f>EXP(-LN(2)/25)*BQ62+(1-EXP(-LN(2)/25))/(LN(2)/25)*Calculateur!BL63*Calculateur!BN63*VLOOKUP('Données projet'!$B$11,Paramètres!$A$1:$I$89,3,0)*0.475*44/12</f>
        <v>6.0194292214589122</v>
      </c>
      <c r="BR63" s="23">
        <f>EXP(-LN(2)/2)*BR62+(1-EXP(-LN(2)/2))/(LN(2)/2)*BL63*BO63*VLOOKUP('Données projet'!$B$11,Paramètres!$A$1:$I$89,3,0)*0.475*44/12</f>
        <v>1.7773512605658861E-4</v>
      </c>
      <c r="BS63" s="24">
        <f t="shared" si="9"/>
        <v>21.958972006772289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329</v>
      </c>
      <c r="BW63" s="13">
        <f>VLOOKUP(A63,'Données projet'!$A$113:$I$133,9,0)</f>
        <v>10.8</v>
      </c>
      <c r="BX63" s="13">
        <f t="array" ref="BX63">INDEX(BW:BW,MIN(IF(ISNUMBER(BW63:BW259),ROW(BW63:BW259),"")))</f>
        <v>10.8</v>
      </c>
      <c r="BY63" s="13">
        <f>IF('Données projet'!$A$114&gt;35,BY62+BX63-CG62,IF(A63&lt;'Données projet'!$A$114,$BV$205^A63,IF(A63='Données projet'!$A$114,'Données projet'!$B$114,BY62+BX63-CG62)))</f>
        <v>329.00000000000023</v>
      </c>
      <c r="BZ63" s="14">
        <f>BY63*VLOOKUP('Données projet'!$B$12,Paramètres!$A$1:$I$89,3,0)*VLOOKUP('Données projet'!$B$12,Paramètres!$A$1:$I$89,5,0)</f>
        <v>188.18800000000013</v>
      </c>
      <c r="CA63" s="14">
        <f t="shared" si="39"/>
        <v>47.139122230395323</v>
      </c>
      <c r="CB63" s="22">
        <f t="shared" si="10"/>
        <v>409.86140455127207</v>
      </c>
      <c r="CC63" s="62">
        <f t="shared" si="11"/>
        <v>703.19473788460539</v>
      </c>
      <c r="CD63" s="62">
        <f ca="1">AVERAGE(OFFSET($CC$3,0,0,'Données projet'!$E$12+1,1))-AVERAGE(OFFSET($H$3,0,0,'Données projet'!$E$12+1,1))</f>
        <v>177.71338645688661</v>
      </c>
      <c r="CE63" s="62">
        <f t="shared" si="40"/>
        <v>153.65872713651345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60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0.77327291261908337</v>
      </c>
      <c r="CM63" s="23">
        <f>EXP(-LN(2)/2)*CM62+(1-EXP(-LN(2)/2))/(LN(2)/2)*CG63*CJ63*VLOOKUP('Données projet'!$B$12,Paramètres!$A$1:$I$89,3,0)*0.475*44/12</f>
        <v>2.0963215277836836E-5</v>
      </c>
      <c r="CN63" s="24">
        <f t="shared" si="12"/>
        <v>0.77329387583436127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165</v>
      </c>
      <c r="CR63" s="13">
        <f>VLOOKUP(A63,'Données projet'!$A$139:$I$159,9,0)</f>
        <v>4.5999999999999996</v>
      </c>
      <c r="CS63" s="13">
        <f t="array" ref="CS63">INDEX(CR:CR,MIN(IF(ISNUMBER(CR63:CR259),ROW(CR63:CR259),"")))</f>
        <v>4.5999999999999996</v>
      </c>
      <c r="CT63" s="13">
        <f>IF('Données projet'!$A$140&gt;35,CT62+CS63-DB62,IF(A63&lt;'Données projet'!$A$140,$CQ$205^A63,IF(A63='Données projet'!$A$140,'Données projet'!$B$140,CT62+CS63-DB62)))</f>
        <v>164.99999999999983</v>
      </c>
      <c r="CU63" s="18">
        <f>CT63*VLOOKUP('Données projet'!$B$13,Paramètres!$A$1:$I$89,3,0)*VLOOKUP('Données projet'!$B$13,Paramètres!$A$1:$I$89,5,0)</f>
        <v>108.10799999999989</v>
      </c>
      <c r="CV63" s="14">
        <f t="shared" si="41"/>
        <v>28.884765499467136</v>
      </c>
      <c r="CW63" s="22">
        <f t="shared" si="13"/>
        <v>238.59573324490506</v>
      </c>
      <c r="CX63" s="62">
        <f t="shared" si="14"/>
        <v>531.92906657823835</v>
      </c>
      <c r="CY63" s="62">
        <f ca="1">AVERAGE(OFFSET($CX$3,0,0,'Données projet'!$E$13+1,1))-AVERAGE(OFFSET($H$3,0,0,'Données projet'!$E$13+1,1))</f>
        <v>118.65321241325523</v>
      </c>
      <c r="CZ63" s="62">
        <f t="shared" si="42"/>
        <v>140.55041555757327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213.99999999999997</v>
      </c>
      <c r="DP63" s="18">
        <f>DO63*VLOOKUP('Données projet'!$B$14,Paramètres!$A$1:$I$89,3,0)*VLOOKUP('Données projet'!$B$14,Paramètres!$A$1:$I$89,5,0)</f>
        <v>216.99600000000001</v>
      </c>
      <c r="DQ63" s="14">
        <f t="shared" si="43"/>
        <v>53.461459647386917</v>
      </c>
      <c r="DR63" s="22">
        <f t="shared" si="16"/>
        <v>471.04674221919896</v>
      </c>
      <c r="DS63" s="62">
        <f t="shared" si="17"/>
        <v>764.38007555253228</v>
      </c>
      <c r="DT63" s="62">
        <f ca="1">AVERAGE(OFFSET($DS$3,0,0,'Données projet'!$E$14+1,1))-AVERAGE(OFFSET($H$3,0,0,'Données projet'!$E$14+1,1))</f>
        <v>328.70784159273131</v>
      </c>
      <c r="DU63" s="62">
        <f t="shared" si="44"/>
        <v>193.18009444354601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5.4</v>
      </c>
      <c r="N64" s="14">
        <f>IF('Données projet'!$A$36&gt;35,N63+M64-V63,IF(A64&lt;'Données projet'!$A$36,$K$205^A64,IF(A64='Données projet'!$A$36,'Données projet'!$B$36,N63+M64-V63)))</f>
        <v>153.39999999999998</v>
      </c>
      <c r="O64" s="14">
        <f>N64*VLOOKUP('Données projet'!$B$9,Paramètres!$A$1:$I$89,3,0)*VLOOKUP('Données projet'!$B$9,Paramètres!$A$1:$I$89,5,0)</f>
        <v>138.79631999999998</v>
      </c>
      <c r="P64" s="14">
        <f t="shared" si="33"/>
        <v>36.021120886354559</v>
      </c>
      <c r="Q64" s="22">
        <f t="shared" si="53"/>
        <v>304.47370954373417</v>
      </c>
      <c r="R64" s="62">
        <f t="shared" si="0"/>
        <v>597.80704287706749</v>
      </c>
      <c r="S64" s="62">
        <f ca="1">AVERAGE(OFFSET($R$3,0,0,'Données projet'!$E$9+1,1))-AVERAGE(OFFSET($H$3,0,0,'Données projet'!$E$9+1,1))</f>
        <v>177.70053246230015</v>
      </c>
      <c r="T64" s="62">
        <f t="shared" si="34"/>
        <v>85.631326020763254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4.4000000000000004</v>
      </c>
      <c r="AI64" s="14">
        <f>IF('Données projet'!$A$62&gt;35,AI63+AH64-AQ63,IF(A64&lt;'Données projet'!$A$62,$AF$205^A64,IF(A64='Données projet'!$A$62,'Données projet'!$B$62,AI63+AH64-AQ63)))</f>
        <v>177.39999999999998</v>
      </c>
      <c r="AJ64" s="14">
        <f>AI64*VLOOKUP('Données projet'!$B$10,Paramètres!$A$1:$I$89,3,0)*VLOOKUP('Données projet'!$B$10,Paramètres!$A$1:$I$89,5,0)</f>
        <v>154.97664</v>
      </c>
      <c r="AK64" s="14">
        <f t="shared" si="35"/>
        <v>39.707387607123913</v>
      </c>
      <c r="AL64" s="22">
        <f t="shared" si="4"/>
        <v>339.07468141574077</v>
      </c>
      <c r="AM64" s="62">
        <f t="shared" si="5"/>
        <v>632.40801474907403</v>
      </c>
      <c r="AN64" s="62">
        <f ca="1">AVERAGE(OFFSET($AM$3,0,0,'Données projet'!$E$10+1,1))-AVERAGE(OFFSET($H$3,0,0,'Données projet'!$E$10+1,1))</f>
        <v>212.11273590951606</v>
      </c>
      <c r="AO64" s="62">
        <f t="shared" si="36"/>
        <v>240.9595690943346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2.2737367544323206E-13</v>
      </c>
      <c r="BE64" s="14">
        <f>BD64*VLOOKUP('Données projet'!$B$11,Paramètres!$A$1:$I$89,3,0)*VLOOKUP('Données projet'!$B$11,Paramètres!$A$1:$I$89,5,0)</f>
        <v>1.3596945791505279E-13</v>
      </c>
      <c r="BF64" s="14">
        <f t="shared" si="37"/>
        <v>1.9708830566360721E-12</v>
      </c>
      <c r="BG64" s="22">
        <f t="shared" si="7"/>
        <v>3.669434796176543E-12</v>
      </c>
      <c r="BH64" s="62">
        <f t="shared" si="8"/>
        <v>293.33333333333701</v>
      </c>
      <c r="BI64" s="62">
        <f ca="1">AVERAGE(OFFSET($BH$3,0,0,'Données projet'!$E$11+1,1))-AVERAGE(OFFSET($H$3,0,0,'Données projet'!$E$11+1,1))</f>
        <v>172.49153247238672</v>
      </c>
      <c r="BJ64" s="62">
        <f t="shared" si="38"/>
        <v>301.94982606323254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15.626803823605856</v>
      </c>
      <c r="BQ64" s="23">
        <f>EXP(-LN(2)/25)*BQ63+(1-EXP(-LN(2)/25))/(LN(2)/25)*Calculateur!BL64*Calculateur!BN64*VLOOKUP('Données projet'!$B$11,Paramètres!$A$1:$I$89,3,0)*0.475*44/12</f>
        <v>5.8548276128500927</v>
      </c>
      <c r="BR64" s="23">
        <f>EXP(-LN(2)/2)*BR63+(1-EXP(-LN(2)/2))/(LN(2)/2)*BL64*BO64*VLOOKUP('Données projet'!$B$11,Paramètres!$A$1:$I$89,3,0)*0.475*44/12</f>
        <v>1.2567771288965964E-4</v>
      </c>
      <c r="BS64" s="24">
        <f t="shared" si="9"/>
        <v>21.48175711416884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9.5</v>
      </c>
      <c r="BY64" s="13">
        <f>IF('Données projet'!$A$114&gt;35,BY63+BX64-CG63,IF(A64&lt;'Données projet'!$A$114,$BV$205^A64,IF(A64='Données projet'!$A$114,'Données projet'!$B$114,BY63+BX64-CG63)))</f>
        <v>278.50000000000023</v>
      </c>
      <c r="BZ64" s="14">
        <f>BY64*VLOOKUP('Données projet'!$B$12,Paramètres!$A$1:$I$89,3,0)*VLOOKUP('Données projet'!$B$12,Paramètres!$A$1:$I$89,5,0)</f>
        <v>159.30200000000013</v>
      </c>
      <c r="CA64" s="14">
        <f t="shared" si="39"/>
        <v>40.685039520733888</v>
      </c>
      <c r="CB64" s="22">
        <f t="shared" si="10"/>
        <v>348.31076049861173</v>
      </c>
      <c r="CC64" s="62">
        <f t="shared" si="11"/>
        <v>641.64409383194504</v>
      </c>
      <c r="CD64" s="62">
        <f ca="1">AVERAGE(OFFSET($CC$3,0,0,'Données projet'!$E$12+1,1))-AVERAGE(OFFSET($H$3,0,0,'Données projet'!$E$12+1,1))</f>
        <v>177.71338645688661</v>
      </c>
      <c r="CE64" s="62">
        <f t="shared" si="40"/>
        <v>153.65872713651345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0.75212772415885942</v>
      </c>
      <c r="CM64" s="23">
        <f>EXP(-LN(2)/2)*CM63+(1-EXP(-LN(2)/2))/(LN(2)/2)*CG64*CJ64*VLOOKUP('Données projet'!$B$12,Paramètres!$A$1:$I$89,3,0)*0.475*44/12</f>
        <v>1.4823231678431863E-5</v>
      </c>
      <c r="CN64" s="24">
        <f t="shared" si="12"/>
        <v>0.75214254739053787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4.2</v>
      </c>
      <c r="CT64" s="13">
        <f>IF('Données projet'!$A$140&gt;35,CT63+CS64-DB63,IF(A64&lt;'Données projet'!$A$140,$CQ$205^A64,IF(A64='Données projet'!$A$140,'Données projet'!$B$140,CT63+CS64-DB63)))</f>
        <v>169.19999999999982</v>
      </c>
      <c r="CU64" s="18">
        <f>CT64*VLOOKUP('Données projet'!$B$13,Paramètres!$A$1:$I$89,3,0)*VLOOKUP('Données projet'!$B$13,Paramètres!$A$1:$I$89,5,0)</f>
        <v>110.85983999999988</v>
      </c>
      <c r="CV64" s="14">
        <f t="shared" si="41"/>
        <v>29.533477687335399</v>
      </c>
      <c r="CW64" s="22">
        <f t="shared" si="13"/>
        <v>244.51836163877559</v>
      </c>
      <c r="CX64" s="62">
        <f t="shared" si="14"/>
        <v>537.85169497210893</v>
      </c>
      <c r="CY64" s="62">
        <f ca="1">AVERAGE(OFFSET($CX$3,0,0,'Données projet'!$E$13+1,1))-AVERAGE(OFFSET($H$3,0,0,'Données projet'!$E$13+1,1))</f>
        <v>118.65321241325523</v>
      </c>
      <c r="CZ64" s="62">
        <f t="shared" si="42"/>
        <v>140.55041555757327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221.19999999999996</v>
      </c>
      <c r="DP64" s="18">
        <f>DO64*VLOOKUP('Données projet'!$B$14,Paramètres!$A$1:$I$89,3,0)*VLOOKUP('Données projet'!$B$14,Paramètres!$A$1:$I$89,5,0)</f>
        <v>224.29679999999996</v>
      </c>
      <c r="DQ64" s="14">
        <f t="shared" si="43"/>
        <v>55.047720057866165</v>
      </c>
      <c r="DR64" s="22">
        <f t="shared" si="16"/>
        <v>486.52503910078349</v>
      </c>
      <c r="DS64" s="62">
        <f t="shared" si="17"/>
        <v>779.85837243411675</v>
      </c>
      <c r="DT64" s="62">
        <f ca="1">AVERAGE(OFFSET($DS$3,0,0,'Données projet'!$E$14+1,1))-AVERAGE(OFFSET($H$3,0,0,'Données projet'!$E$14+1,1))</f>
        <v>328.70784159273131</v>
      </c>
      <c r="DU64" s="62">
        <f t="shared" si="44"/>
        <v>193.18009444354601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5.4</v>
      </c>
      <c r="N65" s="14">
        <f>IF('Données projet'!$A$36&gt;35,N64+M65-V64,IF(A65&lt;'Données projet'!$A$36,$K$205^A65,IF(A65='Données projet'!$A$36,'Données projet'!$B$36,N64+M65-V64)))</f>
        <v>158.79999999999998</v>
      </c>
      <c r="O65" s="14">
        <f>N65*VLOOKUP('Données projet'!$B$9,Paramètres!$A$1:$I$89,3,0)*VLOOKUP('Données projet'!$B$9,Paramètres!$A$1:$I$89,5,0)</f>
        <v>143.68223999999998</v>
      </c>
      <c r="P65" s="14">
        <f t="shared" si="33"/>
        <v>37.139276165277714</v>
      </c>
      <c r="Q65" s="22">
        <f t="shared" si="53"/>
        <v>314.93080732119199</v>
      </c>
      <c r="R65" s="62">
        <f t="shared" si="0"/>
        <v>608.26414065452536</v>
      </c>
      <c r="S65" s="62">
        <f ca="1">AVERAGE(OFFSET($R$3,0,0,'Données projet'!$E$9+1,1))-AVERAGE(OFFSET($H$3,0,0,'Données projet'!$E$9+1,1))</f>
        <v>177.70053246230015</v>
      </c>
      <c r="T65" s="62">
        <f t="shared" si="34"/>
        <v>85.631326020763254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4.4000000000000004</v>
      </c>
      <c r="AI65" s="14">
        <f>IF('Données projet'!$A$62&gt;35,AI64+AH65-AQ64,IF(A65&lt;'Données projet'!$A$62,$AF$205^A65,IF(A65='Données projet'!$A$62,'Données projet'!$B$62,AI64+AH65-AQ64)))</f>
        <v>181.79999999999998</v>
      </c>
      <c r="AJ65" s="14">
        <f>AI65*VLOOKUP('Données projet'!$B$10,Paramètres!$A$1:$I$89,3,0)*VLOOKUP('Données projet'!$B$10,Paramètres!$A$1:$I$89,5,0)</f>
        <v>158.82048</v>
      </c>
      <c r="AK65" s="14">
        <f t="shared" si="35"/>
        <v>40.57635691759311</v>
      </c>
      <c r="AL65" s="22">
        <f t="shared" si="4"/>
        <v>347.28282429814129</v>
      </c>
      <c r="AM65" s="62">
        <f t="shared" si="5"/>
        <v>640.61615763147461</v>
      </c>
      <c r="AN65" s="62">
        <f ca="1">AVERAGE(OFFSET($AM$3,0,0,'Données projet'!$E$10+1,1))-AVERAGE(OFFSET($H$3,0,0,'Données projet'!$E$10+1,1))</f>
        <v>212.11273590951606</v>
      </c>
      <c r="AO65" s="62">
        <f t="shared" si="36"/>
        <v>240.9595690943346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2.2737367544323206E-13</v>
      </c>
      <c r="BE65" s="14">
        <f>BD65*VLOOKUP('Données projet'!$B$11,Paramètres!$A$1:$I$89,3,0)*VLOOKUP('Données projet'!$B$11,Paramètres!$A$1:$I$89,5,0)</f>
        <v>1.3596945791505279E-13</v>
      </c>
      <c r="BF65" s="14">
        <f t="shared" si="37"/>
        <v>1.9708830566360721E-12</v>
      </c>
      <c r="BG65" s="22">
        <f t="shared" si="7"/>
        <v>3.669434796176543E-12</v>
      </c>
      <c r="BH65" s="62">
        <f t="shared" si="8"/>
        <v>293.33333333333701</v>
      </c>
      <c r="BI65" s="62">
        <f ca="1">AVERAGE(OFFSET($BH$3,0,0,'Données projet'!$E$11+1,1))-AVERAGE(OFFSET($H$3,0,0,'Données projet'!$E$11+1,1))</f>
        <v>172.49153247238672</v>
      </c>
      <c r="BJ65" s="62">
        <f t="shared" si="38"/>
        <v>301.94982606323254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15.320371732034129</v>
      </c>
      <c r="BQ65" s="23">
        <f>EXP(-LN(2)/25)*BQ64+(1-EXP(-LN(2)/25))/(LN(2)/25)*Calculateur!BL65*Calculateur!BN65*VLOOKUP('Données projet'!$B$11,Paramètres!$A$1:$I$89,3,0)*0.475*44/12</f>
        <v>5.6947270438847042</v>
      </c>
      <c r="BR65" s="23">
        <f>EXP(-LN(2)/2)*BR64+(1-EXP(-LN(2)/2))/(LN(2)/2)*BL65*BO65*VLOOKUP('Données projet'!$B$11,Paramètres!$A$1:$I$89,3,0)*0.475*44/12</f>
        <v>8.8867563028294304E-5</v>
      </c>
      <c r="BS65" s="24">
        <f t="shared" si="9"/>
        <v>21.015187643481863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9.5</v>
      </c>
      <c r="BY65" s="13">
        <f>IF('Données projet'!$A$114&gt;35,BY64+BX65-CG64,IF(A65&lt;'Données projet'!$A$114,$BV$205^A65,IF(A65='Données projet'!$A$114,'Données projet'!$B$114,BY64+BX65-CG64)))</f>
        <v>288.00000000000023</v>
      </c>
      <c r="BZ65" s="14">
        <f>BY65*VLOOKUP('Données projet'!$B$12,Paramètres!$A$1:$I$89,3,0)*VLOOKUP('Données projet'!$B$12,Paramètres!$A$1:$I$89,5,0)</f>
        <v>164.73600000000013</v>
      </c>
      <c r="CA65" s="14">
        <f t="shared" si="39"/>
        <v>41.908913144700364</v>
      </c>
      <c r="CB65" s="22">
        <f t="shared" si="10"/>
        <v>359.90655706035335</v>
      </c>
      <c r="CC65" s="62">
        <f t="shared" si="11"/>
        <v>653.23989039368666</v>
      </c>
      <c r="CD65" s="62">
        <f ca="1">AVERAGE(OFFSET($CC$3,0,0,'Données projet'!$E$12+1,1))-AVERAGE(OFFSET($H$3,0,0,'Données projet'!$E$12+1,1))</f>
        <v>177.71338645688661</v>
      </c>
      <c r="CE65" s="62">
        <f t="shared" si="40"/>
        <v>153.65872713651345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0.73156075198905746</v>
      </c>
      <c r="CM65" s="23">
        <f>EXP(-LN(2)/2)*CM64+(1-EXP(-LN(2)/2))/(LN(2)/2)*CG65*CJ65*VLOOKUP('Données projet'!$B$12,Paramètres!$A$1:$I$89,3,0)*0.475*44/12</f>
        <v>1.048160763891842E-5</v>
      </c>
      <c r="CN65" s="24">
        <f t="shared" si="12"/>
        <v>0.7315712335966964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4.2</v>
      </c>
      <c r="CT65" s="13">
        <f>IF('Données projet'!$A$140&gt;35,CT64+CS65-DB64,IF(A65&lt;'Données projet'!$A$140,$CQ$205^A65,IF(A65='Données projet'!$A$140,'Données projet'!$B$140,CT64+CS65-DB64)))</f>
        <v>173.39999999999981</v>
      </c>
      <c r="CU65" s="18">
        <f>CT65*VLOOKUP('Données projet'!$B$13,Paramètres!$A$1:$I$89,3,0)*VLOOKUP('Données projet'!$B$13,Paramètres!$A$1:$I$89,5,0)</f>
        <v>113.61167999999988</v>
      </c>
      <c r="CV65" s="14">
        <f t="shared" si="41"/>
        <v>30.180318013150163</v>
      </c>
      <c r="CW65" s="22">
        <f t="shared" si="13"/>
        <v>250.43772987290299</v>
      </c>
      <c r="CX65" s="62">
        <f t="shared" si="14"/>
        <v>543.77106320623625</v>
      </c>
      <c r="CY65" s="62">
        <f ca="1">AVERAGE(OFFSET($CX$3,0,0,'Données projet'!$E$13+1,1))-AVERAGE(OFFSET($H$3,0,0,'Données projet'!$E$13+1,1))</f>
        <v>118.65321241325523</v>
      </c>
      <c r="CZ65" s="62">
        <f t="shared" si="42"/>
        <v>140.55041555757327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228.39999999999995</v>
      </c>
      <c r="DP65" s="18">
        <f>DO65*VLOOKUP('Données projet'!$B$14,Paramètres!$A$1:$I$89,3,0)*VLOOKUP('Données projet'!$B$14,Paramètres!$A$1:$I$89,5,0)</f>
        <v>231.59759999999997</v>
      </c>
      <c r="DQ65" s="14">
        <f t="shared" si="43"/>
        <v>56.627980714948151</v>
      </c>
      <c r="DR65" s="22">
        <f t="shared" si="16"/>
        <v>501.99288641186791</v>
      </c>
      <c r="DS65" s="62">
        <f t="shared" si="17"/>
        <v>795.32621974520123</v>
      </c>
      <c r="DT65" s="62">
        <f ca="1">AVERAGE(OFFSET($DS$3,0,0,'Données projet'!$E$14+1,1))-AVERAGE(OFFSET($H$3,0,0,'Données projet'!$E$14+1,1))</f>
        <v>328.70784159273131</v>
      </c>
      <c r="DU65" s="62">
        <f t="shared" si="44"/>
        <v>193.18009444354601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5.4</v>
      </c>
      <c r="N66" s="14">
        <f>IF('Données projet'!$A$36&gt;35,N65+M66-V65,IF(A66&lt;'Données projet'!$A$36,$K$205^A66,IF(A66='Données projet'!$A$36,'Données projet'!$B$36,N65+M66-V65)))</f>
        <v>164.2</v>
      </c>
      <c r="O66" s="14">
        <f>N66*VLOOKUP('Données projet'!$B$9,Paramètres!$A$1:$I$89,3,0)*VLOOKUP('Données projet'!$B$9,Paramètres!$A$1:$I$89,5,0)</f>
        <v>148.56815999999998</v>
      </c>
      <c r="P66" s="14">
        <f t="shared" si="33"/>
        <v>38.253013425360628</v>
      </c>
      <c r="Q66" s="22">
        <f t="shared" si="53"/>
        <v>325.38021038250304</v>
      </c>
      <c r="R66" s="62">
        <f t="shared" si="0"/>
        <v>618.71354371583629</v>
      </c>
      <c r="S66" s="62">
        <f ca="1">AVERAGE(OFFSET($R$3,0,0,'Données projet'!$E$9+1,1))-AVERAGE(OFFSET($H$3,0,0,'Données projet'!$E$9+1,1))</f>
        <v>177.70053246230015</v>
      </c>
      <c r="T66" s="62">
        <f t="shared" si="34"/>
        <v>85.631326020763254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4.4000000000000004</v>
      </c>
      <c r="AI66" s="14">
        <f>IF('Données projet'!$A$62&gt;35,AI65+AH66-AQ65,IF(A66&lt;'Données projet'!$A$62,$AF$205^A66,IF(A66='Données projet'!$A$62,'Données projet'!$B$62,AI65+AH66-AQ65)))</f>
        <v>186.2</v>
      </c>
      <c r="AJ66" s="14">
        <f>AI66*VLOOKUP('Données projet'!$B$10,Paramètres!$A$1:$I$89,3,0)*VLOOKUP('Données projet'!$B$10,Paramètres!$A$1:$I$89,5,0)</f>
        <v>162.66432</v>
      </c>
      <c r="AK66" s="14">
        <f t="shared" si="35"/>
        <v>41.442881393745317</v>
      </c>
      <c r="AL66" s="22">
        <f t="shared" si="4"/>
        <v>355.4867090941064</v>
      </c>
      <c r="AM66" s="62">
        <f t="shared" si="5"/>
        <v>648.82004242743972</v>
      </c>
      <c r="AN66" s="62">
        <f ca="1">AVERAGE(OFFSET($AM$3,0,0,'Données projet'!$E$10+1,1))-AVERAGE(OFFSET($H$3,0,0,'Données projet'!$E$10+1,1))</f>
        <v>212.11273590951606</v>
      </c>
      <c r="AO66" s="62">
        <f t="shared" si="36"/>
        <v>240.9595690943346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2.2737367544323206E-13</v>
      </c>
      <c r="BE66" s="14">
        <f>BD66*VLOOKUP('Données projet'!$B$11,Paramètres!$A$1:$I$89,3,0)*VLOOKUP('Données projet'!$B$11,Paramètres!$A$1:$I$89,5,0)</f>
        <v>1.3596945791505279E-13</v>
      </c>
      <c r="BF66" s="14">
        <f t="shared" si="37"/>
        <v>1.9708830566360721E-12</v>
      </c>
      <c r="BG66" s="22">
        <f t="shared" si="7"/>
        <v>3.669434796176543E-12</v>
      </c>
      <c r="BH66" s="62">
        <f t="shared" si="8"/>
        <v>293.33333333333701</v>
      </c>
      <c r="BI66" s="62">
        <f ca="1">AVERAGE(OFFSET($BH$3,0,0,'Données projet'!$E$11+1,1))-AVERAGE(OFFSET($H$3,0,0,'Données projet'!$E$11+1,1))</f>
        <v>172.49153247238672</v>
      </c>
      <c r="BJ66" s="62">
        <f t="shared" si="38"/>
        <v>301.94982606323254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15.019948586873003</v>
      </c>
      <c r="BQ66" s="23">
        <f>EXP(-LN(2)/25)*BQ65+(1-EXP(-LN(2)/25))/(LN(2)/25)*Calculateur!BL66*Calculateur!BN66*VLOOKUP('Données projet'!$B$11,Paramètres!$A$1:$I$89,3,0)*0.475*44/12</f>
        <v>5.5390044333969968</v>
      </c>
      <c r="BR66" s="23">
        <f>EXP(-LN(2)/2)*BR65+(1-EXP(-LN(2)/2))/(LN(2)/2)*BL66*BO66*VLOOKUP('Données projet'!$B$11,Paramètres!$A$1:$I$89,3,0)*0.475*44/12</f>
        <v>6.283885644482982E-5</v>
      </c>
      <c r="BS66" s="24">
        <f t="shared" si="9"/>
        <v>20.559015859126443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9.5</v>
      </c>
      <c r="BY66" s="13">
        <f>IF('Données projet'!$A$114&gt;35,BY65+BX66-CG65,IF(A66&lt;'Données projet'!$A$114,$BV$205^A66,IF(A66='Données projet'!$A$114,'Données projet'!$B$114,BY65+BX66-CG65)))</f>
        <v>297.50000000000023</v>
      </c>
      <c r="BZ66" s="14">
        <f>BY66*VLOOKUP('Données projet'!$B$12,Paramètres!$A$1:$I$89,3,0)*VLOOKUP('Données projet'!$B$12,Paramètres!$A$1:$I$89,5,0)</f>
        <v>170.17000000000013</v>
      </c>
      <c r="CA66" s="14">
        <f t="shared" si="39"/>
        <v>43.128095715049447</v>
      </c>
      <c r="CB66" s="22">
        <f t="shared" si="10"/>
        <v>371.49418337037804</v>
      </c>
      <c r="CC66" s="62">
        <f t="shared" si="11"/>
        <v>664.82751670371135</v>
      </c>
      <c r="CD66" s="62">
        <f ca="1">AVERAGE(OFFSET($CC$3,0,0,'Données projet'!$E$12+1,1))-AVERAGE(OFFSET($H$3,0,0,'Données projet'!$E$12+1,1))</f>
        <v>177.71338645688661</v>
      </c>
      <c r="CE66" s="62">
        <f t="shared" si="40"/>
        <v>153.65872713651345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0.71155618475480875</v>
      </c>
      <c r="CM66" s="23">
        <f>EXP(-LN(2)/2)*CM65+(1-EXP(-LN(2)/2))/(LN(2)/2)*CG66*CJ66*VLOOKUP('Données projet'!$B$12,Paramètres!$A$1:$I$89,3,0)*0.475*44/12</f>
        <v>7.4116158392159323E-6</v>
      </c>
      <c r="CN66" s="24">
        <f t="shared" si="12"/>
        <v>0.71156359637064792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4.2</v>
      </c>
      <c r="CT66" s="13">
        <f>IF('Données projet'!$A$140&gt;35,CT65+CS66-DB65,IF(A66&lt;'Données projet'!$A$140,$CQ$205^A66,IF(A66='Données projet'!$A$140,'Données projet'!$B$140,CT65+CS66-DB65)))</f>
        <v>177.5999999999998</v>
      </c>
      <c r="CU66" s="18">
        <f>CT66*VLOOKUP('Données projet'!$B$13,Paramètres!$A$1:$I$89,3,0)*VLOOKUP('Données projet'!$B$13,Paramètres!$A$1:$I$89,5,0)</f>
        <v>116.36351999999987</v>
      </c>
      <c r="CV66" s="14">
        <f t="shared" si="41"/>
        <v>30.825337032325706</v>
      </c>
      <c r="CW66" s="22">
        <f t="shared" si="13"/>
        <v>256.35392599796705</v>
      </c>
      <c r="CX66" s="62">
        <f t="shared" si="14"/>
        <v>549.68725933130031</v>
      </c>
      <c r="CY66" s="62">
        <f ca="1">AVERAGE(OFFSET($CX$3,0,0,'Données projet'!$E$13+1,1))-AVERAGE(OFFSET($H$3,0,0,'Données projet'!$E$13+1,1))</f>
        <v>118.65321241325523</v>
      </c>
      <c r="CZ66" s="62">
        <f t="shared" si="42"/>
        <v>140.55041555757327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235.59999999999994</v>
      </c>
      <c r="DP66" s="18">
        <f>DO66*VLOOKUP('Données projet'!$B$14,Paramètres!$A$1:$I$89,3,0)*VLOOKUP('Données projet'!$B$14,Paramètres!$A$1:$I$89,5,0)</f>
        <v>238.89839999999995</v>
      </c>
      <c r="DQ66" s="14">
        <f t="shared" si="43"/>
        <v>58.202452451868851</v>
      </c>
      <c r="DR66" s="22">
        <f t="shared" si="16"/>
        <v>517.45065135367156</v>
      </c>
      <c r="DS66" s="62">
        <f t="shared" si="17"/>
        <v>810.78398468700493</v>
      </c>
      <c r="DT66" s="62">
        <f ca="1">AVERAGE(OFFSET($DS$3,0,0,'Données projet'!$E$14+1,1))-AVERAGE(OFFSET($H$3,0,0,'Données projet'!$E$14+1,1))</f>
        <v>328.70784159273131</v>
      </c>
      <c r="DU66" s="62">
        <f t="shared" si="44"/>
        <v>193.18009444354601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5.4</v>
      </c>
      <c r="N67" s="14">
        <f>IF('Données projet'!$A$36&gt;35,N66+M67-V66,IF(A67&lt;'Données projet'!$A$36,$K$205^A67,IF(A67='Données projet'!$A$36,'Données projet'!$B$36,N66+M67-V66)))</f>
        <v>169.6</v>
      </c>
      <c r="O67" s="14">
        <f>N67*VLOOKUP('Données projet'!$B$9,Paramètres!$A$1:$I$89,3,0)*VLOOKUP('Données projet'!$B$9,Paramètres!$A$1:$I$89,5,0)</f>
        <v>153.45408</v>
      </c>
      <c r="P67" s="14">
        <f t="shared" si="33"/>
        <v>39.362494622223323</v>
      </c>
      <c r="Q67" s="22">
        <f t="shared" ref="Q67:Q98" si="54">(O67+P67)*0.475*44/12</f>
        <v>335.82220080037229</v>
      </c>
      <c r="R67" s="62">
        <f t="shared" ref="R67:R130" si="55">Q67+(I67+J67)*44/12</f>
        <v>629.1555341337056</v>
      </c>
      <c r="S67" s="62">
        <f ca="1">AVERAGE(OFFSET($R$3,0,0,'Données projet'!$E$9+1,1))-AVERAGE(OFFSET($H$3,0,0,'Données projet'!$E$9+1,1))</f>
        <v>177.70053246230015</v>
      </c>
      <c r="T67" s="62">
        <f t="shared" si="34"/>
        <v>85.631326020763254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4.4000000000000004</v>
      </c>
      <c r="AI67" s="14">
        <f>IF('Données projet'!$A$62&gt;35,AI66+AH67-AQ66,IF(A67&lt;'Données projet'!$A$62,$AF$205^A67,IF(A67='Données projet'!$A$62,'Données projet'!$B$62,AI66+AH67-AQ66)))</f>
        <v>190.6</v>
      </c>
      <c r="AJ67" s="14">
        <f>AI67*VLOOKUP('Données projet'!$B$10,Paramètres!$A$1:$I$89,3,0)*VLOOKUP('Données projet'!$B$10,Paramètres!$A$1:$I$89,5,0)</f>
        <v>166.50816</v>
      </c>
      <c r="AK67" s="14">
        <f t="shared" si="35"/>
        <v>42.307025456487715</v>
      </c>
      <c r="AL67" s="22">
        <f t="shared" si="4"/>
        <v>363.68644800338274</v>
      </c>
      <c r="AM67" s="62">
        <f t="shared" si="5"/>
        <v>657.01978133671605</v>
      </c>
      <c r="AN67" s="62">
        <f ca="1">AVERAGE(OFFSET($AM$3,0,0,'Données projet'!$E$10+1,1))-AVERAGE(OFFSET($H$3,0,0,'Données projet'!$E$10+1,1))</f>
        <v>212.11273590951606</v>
      </c>
      <c r="AO67" s="62">
        <f t="shared" si="36"/>
        <v>240.9595690943346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2.2737367544323206E-13</v>
      </c>
      <c r="BE67" s="14">
        <f>BD67*VLOOKUP('Données projet'!$B$11,Paramètres!$A$1:$I$89,3,0)*VLOOKUP('Données projet'!$B$11,Paramètres!$A$1:$I$89,5,0)</f>
        <v>1.3596945791505279E-13</v>
      </c>
      <c r="BF67" s="14">
        <f t="shared" si="37"/>
        <v>1.9708830566360721E-12</v>
      </c>
      <c r="BG67" s="22">
        <f t="shared" si="7"/>
        <v>3.669434796176543E-12</v>
      </c>
      <c r="BH67" s="62">
        <f t="shared" si="8"/>
        <v>293.33333333333701</v>
      </c>
      <c r="BI67" s="62">
        <f ca="1">AVERAGE(OFFSET($BH$3,0,0,'Données projet'!$E$11+1,1))-AVERAGE(OFFSET($H$3,0,0,'Données projet'!$E$11+1,1))</f>
        <v>172.49153247238672</v>
      </c>
      <c r="BJ67" s="62">
        <f t="shared" si="38"/>
        <v>301.94982606323254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14.725416556348462</v>
      </c>
      <c r="BQ67" s="23">
        <f>EXP(-LN(2)/25)*BQ66+(1-EXP(-LN(2)/25))/(LN(2)/25)*Calculateur!BL67*Calculateur!BN67*VLOOKUP('Données projet'!$B$11,Paramètres!$A$1:$I$89,3,0)*0.475*44/12</f>
        <v>5.3875400658821722</v>
      </c>
      <c r="BR67" s="23">
        <f>EXP(-LN(2)/2)*BR66+(1-EXP(-LN(2)/2))/(LN(2)/2)*BL67*BO67*VLOOKUP('Données projet'!$B$11,Paramètres!$A$1:$I$89,3,0)*0.475*44/12</f>
        <v>4.4433781514147152E-5</v>
      </c>
      <c r="BS67" s="24">
        <f t="shared" si="9"/>
        <v>20.113001056012148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9.5</v>
      </c>
      <c r="BY67" s="13">
        <f>IF('Données projet'!$A$114&gt;35,BY66+BX67-CG66,IF(A67&lt;'Données projet'!$A$114,$BV$205^A67,IF(A67='Données projet'!$A$114,'Données projet'!$B$114,BY66+BX67-CG66)))</f>
        <v>307.00000000000023</v>
      </c>
      <c r="BZ67" s="14">
        <f>BY67*VLOOKUP('Données projet'!$B$12,Paramètres!$A$1:$I$89,3,0)*VLOOKUP('Données projet'!$B$12,Paramètres!$A$1:$I$89,5,0)</f>
        <v>175.60400000000013</v>
      </c>
      <c r="CA67" s="14">
        <f t="shared" si="39"/>
        <v>44.342754213843108</v>
      </c>
      <c r="CB67" s="22">
        <f t="shared" si="10"/>
        <v>383.07393025577699</v>
      </c>
      <c r="CC67" s="62">
        <f t="shared" si="11"/>
        <v>676.40726358911024</v>
      </c>
      <c r="CD67" s="62">
        <f ca="1">AVERAGE(OFFSET($CC$3,0,0,'Données projet'!$E$12+1,1))-AVERAGE(OFFSET($H$3,0,0,'Données projet'!$E$12+1,1))</f>
        <v>177.71338645688661</v>
      </c>
      <c r="CE67" s="62">
        <f t="shared" si="40"/>
        <v>153.65872713651345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0.69209864346357508</v>
      </c>
      <c r="CM67" s="23">
        <f>EXP(-LN(2)/2)*CM66+(1-EXP(-LN(2)/2))/(LN(2)/2)*CG67*CJ67*VLOOKUP('Données projet'!$B$12,Paramètres!$A$1:$I$89,3,0)*0.475*44/12</f>
        <v>5.2408038194592107E-6</v>
      </c>
      <c r="CN67" s="24">
        <f t="shared" si="12"/>
        <v>0.69210388426739455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4.2</v>
      </c>
      <c r="CT67" s="13">
        <f>IF('Données projet'!$A$140&gt;35,CT66+CS67-DB66,IF(A67&lt;'Données projet'!$A$140,$CQ$205^A67,IF(A67='Données projet'!$A$140,'Données projet'!$B$140,CT66+CS67-DB66)))</f>
        <v>181.79999999999978</v>
      </c>
      <c r="CU67" s="18">
        <f>CT67*VLOOKUP('Données projet'!$B$13,Paramètres!$A$1:$I$89,3,0)*VLOOKUP('Données projet'!$B$13,Paramètres!$A$1:$I$89,5,0)</f>
        <v>119.11535999999987</v>
      </c>
      <c r="CV67" s="14">
        <f t="shared" si="41"/>
        <v>31.468582772748036</v>
      </c>
      <c r="CW67" s="22">
        <f t="shared" si="13"/>
        <v>262.26703366253588</v>
      </c>
      <c r="CX67" s="62">
        <f t="shared" si="14"/>
        <v>555.60036699586919</v>
      </c>
      <c r="CY67" s="62">
        <f ca="1">AVERAGE(OFFSET($CX$3,0,0,'Données projet'!$E$13+1,1))-AVERAGE(OFFSET($H$3,0,0,'Données projet'!$E$13+1,1))</f>
        <v>118.65321241325523</v>
      </c>
      <c r="CZ67" s="62">
        <f t="shared" si="42"/>
        <v>140.55041555757327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242.79999999999993</v>
      </c>
      <c r="DP67" s="18">
        <f>DO67*VLOOKUP('Données projet'!$B$14,Paramètres!$A$1:$I$89,3,0)*VLOOKUP('Données projet'!$B$14,Paramètres!$A$1:$I$89,5,0)</f>
        <v>246.19919999999996</v>
      </c>
      <c r="DQ67" s="14">
        <f t="shared" si="43"/>
        <v>59.77133248344078</v>
      </c>
      <c r="DR67" s="22">
        <f t="shared" si="16"/>
        <v>532.8986774086593</v>
      </c>
      <c r="DS67" s="62">
        <f t="shared" si="17"/>
        <v>826.23201074199255</v>
      </c>
      <c r="DT67" s="62">
        <f ca="1">AVERAGE(OFFSET($DS$3,0,0,'Données projet'!$E$14+1,1))-AVERAGE(OFFSET($H$3,0,0,'Données projet'!$E$14+1,1))</f>
        <v>328.70784159273131</v>
      </c>
      <c r="DU67" s="62">
        <f t="shared" si="44"/>
        <v>193.18009444354601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175</v>
      </c>
      <c r="L68" s="13">
        <f>VLOOKUP(A68,'Données projet'!$A$35:$I$55,9,0)</f>
        <v>5.4</v>
      </c>
      <c r="M68" s="13">
        <f t="array" ref="M68">INDEX(L:L,MIN(IF(ISNUMBER(L68:L264),ROW(L68:L264),"")))</f>
        <v>5.4</v>
      </c>
      <c r="N68" s="14">
        <f>IF('Données projet'!$A$36&gt;35,N67+M68-V67,IF(A68&lt;'Données projet'!$A$36,$K$205^A68,IF(A68='Données projet'!$A$36,'Données projet'!$B$36,N67+M68-V67)))</f>
        <v>175</v>
      </c>
      <c r="O68" s="14">
        <f>N68*VLOOKUP('Données projet'!$B$9,Paramètres!$A$1:$I$89,3,0)*VLOOKUP('Données projet'!$B$9,Paramètres!$A$1:$I$89,5,0)</f>
        <v>158.34</v>
      </c>
      <c r="P68" s="14">
        <f t="shared" si="33"/>
        <v>40.467870812652819</v>
      </c>
      <c r="Q68" s="22">
        <f t="shared" si="54"/>
        <v>346.25704166537031</v>
      </c>
      <c r="R68" s="62">
        <f t="shared" si="55"/>
        <v>639.59037499870362</v>
      </c>
      <c r="S68" s="62">
        <f ca="1">AVERAGE(OFFSET($R$3,0,0,'Données projet'!$E$9+1,1))-AVERAGE(OFFSET($H$3,0,0,'Données projet'!$E$9+1,1))</f>
        <v>177.70053246230015</v>
      </c>
      <c r="T68" s="62">
        <f t="shared" si="34"/>
        <v>85.631326020763254</v>
      </c>
      <c r="U68" s="16">
        <f>IF(ISNA(VLOOKUP(A68,'Données projet'!$A$35:$I$55,3,0)),0,VLOOKUP(A68,'Données projet'!$A$35:$I$55,3,0))</f>
        <v>4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195</v>
      </c>
      <c r="AG68" s="13">
        <f>VLOOKUP(A68,'Données projet'!$A$61:$I$81,9,0)</f>
        <v>4.4000000000000004</v>
      </c>
      <c r="AH68" s="13">
        <f t="array" ref="AH68">INDEX(AG:AG,MIN(IF(ISNUMBER(AG68:AG264),ROW(AG68:AG264),"")))</f>
        <v>4.4000000000000004</v>
      </c>
      <c r="AI68" s="14">
        <f>IF('Données projet'!$A$62&gt;35,AI67+AH68-AQ67,IF(A68&lt;'Données projet'!$A$62,$AF$205^A68,IF(A68='Données projet'!$A$62,'Données projet'!$B$62,AI67+AH68-AQ67)))</f>
        <v>195</v>
      </c>
      <c r="AJ68" s="14">
        <f>AI68*VLOOKUP('Données projet'!$B$10,Paramètres!$A$1:$I$89,3,0)*VLOOKUP('Données projet'!$B$10,Paramètres!$A$1:$I$89,5,0)</f>
        <v>170.35200000000003</v>
      </c>
      <c r="AK68" s="14">
        <f t="shared" si="35"/>
        <v>43.168850382694487</v>
      </c>
      <c r="AL68" s="22">
        <f t="shared" ref="AL68:AL131" si="58">(AJ68+AK68)*0.475*44/12</f>
        <v>371.88214774985954</v>
      </c>
      <c r="AM68" s="62">
        <f t="shared" ref="AM68:AM131" si="59">AL68+(AD68+AE68)*44/12</f>
        <v>665.2154810831928</v>
      </c>
      <c r="AN68" s="62">
        <f ca="1">AVERAGE(OFFSET($AM$3,0,0,'Données projet'!$E$10+1,1))-AVERAGE(OFFSET($H$3,0,0,'Données projet'!$E$10+1,1))</f>
        <v>212.11273590951606</v>
      </c>
      <c r="AO68" s="62">
        <f t="shared" si="36"/>
        <v>240.9595690943346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2.2737367544323206E-13</v>
      </c>
      <c r="BE68" s="14">
        <f>BD68*VLOOKUP('Données projet'!$B$11,Paramètres!$A$1:$I$89,3,0)*VLOOKUP('Données projet'!$B$11,Paramètres!$A$1:$I$89,5,0)</f>
        <v>1.3596945791505279E-13</v>
      </c>
      <c r="BF68" s="14">
        <f t="shared" si="37"/>
        <v>1.9708830566360721E-12</v>
      </c>
      <c r="BG68" s="22">
        <f t="shared" ref="BG68:BG131" si="61">(BE68+BF68)*0.475*44/12</f>
        <v>3.669434796176543E-12</v>
      </c>
      <c r="BH68" s="62">
        <f t="shared" ref="BH68:BH131" si="62">BG68+(AY68+AZ68)*44/12</f>
        <v>293.33333333333701</v>
      </c>
      <c r="BI68" s="62">
        <f ca="1">AVERAGE(OFFSET($BH$3,0,0,'Données projet'!$E$11+1,1))-AVERAGE(OFFSET($H$3,0,0,'Données projet'!$E$11+1,1))</f>
        <v>172.49153247238672</v>
      </c>
      <c r="BJ68" s="62">
        <f t="shared" si="38"/>
        <v>301.94982606323254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14.436660119295707</v>
      </c>
      <c r="BQ68" s="23">
        <f>EXP(-LN(2)/25)*BQ67+(1-EXP(-LN(2)/25))/(LN(2)/25)*Calculateur!BL68*Calculateur!BN68*VLOOKUP('Données projet'!$B$11,Paramètres!$A$1:$I$89,3,0)*0.475*44/12</f>
        <v>5.2402174994622053</v>
      </c>
      <c r="BR68" s="23">
        <f>EXP(-LN(2)/2)*BR67+(1-EXP(-LN(2)/2))/(LN(2)/2)*BL68*BO68*VLOOKUP('Données projet'!$B$11,Paramètres!$A$1:$I$89,3,0)*0.475*44/12</f>
        <v>3.141942822241491E-5</v>
      </c>
      <c r="BS68" s="24">
        <f t="shared" ref="BS68:BS131" si="63">SUM(BP68:BR68)</f>
        <v>19.676909038186135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9.5</v>
      </c>
      <c r="BY68" s="13">
        <f>IF('Données projet'!$A$114&gt;35,BY67+BX68-CG67,IF(A68&lt;'Données projet'!$A$114,$BV$205^A68,IF(A68='Données projet'!$A$114,'Données projet'!$B$114,BY67+BX68-CG67)))</f>
        <v>316.50000000000023</v>
      </c>
      <c r="BZ68" s="14">
        <f>BY68*VLOOKUP('Données projet'!$B$12,Paramètres!$A$1:$I$89,3,0)*VLOOKUP('Données projet'!$B$12,Paramètres!$A$1:$I$89,5,0)</f>
        <v>181.03800000000015</v>
      </c>
      <c r="CA68" s="14">
        <f t="shared" si="39"/>
        <v>45.553044701671382</v>
      </c>
      <c r="CB68" s="22">
        <f t="shared" ref="CB68:CB131" si="64">(BZ68+CA68)*0.475*44/12</f>
        <v>394.64606952207788</v>
      </c>
      <c r="CC68" s="62">
        <f t="shared" ref="CC68:CC131" si="65">CB68+(BT68+BU68)*44/12</f>
        <v>687.97940285541119</v>
      </c>
      <c r="CD68" s="62">
        <f ca="1">AVERAGE(OFFSET($CC$3,0,0,'Données projet'!$E$12+1,1))-AVERAGE(OFFSET($H$3,0,0,'Données projet'!$E$12+1,1))</f>
        <v>177.71338645688661</v>
      </c>
      <c r="CE68" s="62">
        <f t="shared" si="40"/>
        <v>153.65872713651345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0.67317316966217777</v>
      </c>
      <c r="CM68" s="23">
        <f>EXP(-LN(2)/2)*CM67+(1-EXP(-LN(2)/2))/(LN(2)/2)*CG68*CJ68*VLOOKUP('Données projet'!$B$12,Paramètres!$A$1:$I$89,3,0)*0.475*44/12</f>
        <v>3.705807919607967E-6</v>
      </c>
      <c r="CN68" s="24">
        <f t="shared" ref="CN68:CN131" si="66">SUM(CK68:CM68)</f>
        <v>0.67317687547009741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186</v>
      </c>
      <c r="CR68" s="13">
        <f>VLOOKUP(A68,'Données projet'!$A$139:$I$159,9,0)</f>
        <v>4.2</v>
      </c>
      <c r="CS68" s="13">
        <f t="array" ref="CS68">INDEX(CR:CR,MIN(IF(ISNUMBER(CR68:CR264),ROW(CR68:CR264),"")))</f>
        <v>4.2</v>
      </c>
      <c r="CT68" s="13">
        <f>IF('Données projet'!$A$140&gt;35,CT67+CS68-DB67,IF(A68&lt;'Données projet'!$A$140,$CQ$205^A68,IF(A68='Données projet'!$A$140,'Données projet'!$B$140,CT67+CS68-DB67)))</f>
        <v>185.99999999999977</v>
      </c>
      <c r="CU68" s="18">
        <f>CT68*VLOOKUP('Données projet'!$B$13,Paramètres!$A$1:$I$89,3,0)*VLOOKUP('Données projet'!$B$13,Paramètres!$A$1:$I$89,5,0)</f>
        <v>121.86719999999985</v>
      </c>
      <c r="CV68" s="14">
        <f t="shared" si="41"/>
        <v>32.110100916567347</v>
      </c>
      <c r="CW68" s="22">
        <f t="shared" ref="CW68:CW131" si="67">(CU68+CV68)*0.475*44/12</f>
        <v>268.17713242968784</v>
      </c>
      <c r="CX68" s="62">
        <f t="shared" ref="CX68:CX131" si="68">CW68+(CO68+CP68)*44/12</f>
        <v>561.5104657630211</v>
      </c>
      <c r="CY68" s="62">
        <f ca="1">AVERAGE(OFFSET($CX$3,0,0,'Données projet'!$E$13+1,1))-AVERAGE(OFFSET($H$3,0,0,'Données projet'!$E$13+1,1))</f>
        <v>118.65321241325523</v>
      </c>
      <c r="CZ68" s="62">
        <f t="shared" si="42"/>
        <v>140.55041555757327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33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250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249.99999999999991</v>
      </c>
      <c r="DP68" s="18">
        <f>DO68*VLOOKUP('Données projet'!$B$14,Paramètres!$A$1:$I$89,3,0)*VLOOKUP('Données projet'!$B$14,Paramètres!$A$1:$I$89,5,0)</f>
        <v>253.49999999999991</v>
      </c>
      <c r="DQ68" s="14">
        <f t="shared" si="43"/>
        <v>61.334805663162498</v>
      </c>
      <c r="DR68" s="22">
        <f t="shared" ref="DR68:DR131" si="70">(DP68+DQ68)*0.475*44/12</f>
        <v>548.33728653000776</v>
      </c>
      <c r="DS68" s="62">
        <f t="shared" ref="DS68:DS131" si="71">DR68+(DJ68+DK68)*44/12</f>
        <v>841.67061986334102</v>
      </c>
      <c r="DT68" s="62">
        <f ca="1">AVERAGE(OFFSET($DS$3,0,0,'Données projet'!$E$14+1,1))-AVERAGE(OFFSET($H$3,0,0,'Données projet'!$E$14+1,1))</f>
        <v>328.70784159273131</v>
      </c>
      <c r="DU68" s="62">
        <f t="shared" si="44"/>
        <v>193.18009444354601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42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</v>
      </c>
      <c r="N69" s="14">
        <f>IF('Données projet'!$A$36&gt;35,N68+M69-V68,IF(A69&lt;'Données projet'!$A$36,$K$205^A69,IF(A69='Données projet'!$A$36,'Données projet'!$B$36,N68+M69-V68)))</f>
        <v>152</v>
      </c>
      <c r="O69" s="14">
        <f>N69*VLOOKUP('Données projet'!$B$9,Paramètres!$A$1:$I$89,3,0)*VLOOKUP('Données projet'!$B$9,Paramètres!$A$1:$I$89,5,0)</f>
        <v>137.52959999999999</v>
      </c>
      <c r="P69" s="14">
        <f t="shared" ref="P69:P132" si="87">EXP(-1.0587+0.8836*LN(O69)+0.284)</f>
        <v>35.730486489800548</v>
      </c>
      <c r="Q69" s="22">
        <f t="shared" si="54"/>
        <v>301.76131730306923</v>
      </c>
      <c r="R69" s="62">
        <f t="shared" si="55"/>
        <v>595.09465063640255</v>
      </c>
      <c r="S69" s="62">
        <f ca="1">AVERAGE(OFFSET($R$3,0,0,'Données projet'!$E$9+1,1))-AVERAGE(OFFSET($H$3,0,0,'Données projet'!$E$9+1,1))</f>
        <v>177.70053246230015</v>
      </c>
      <c r="T69" s="62">
        <f t="shared" ref="T69:T132" si="88">$T$3</f>
        <v>85.631326020763254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4.2</v>
      </c>
      <c r="AI69" s="14">
        <f>IF('Données projet'!$A$62&gt;35,AI68+AH69-AQ68,IF(A69&lt;'Données projet'!$A$62,$AF$205^A69,IF(A69='Données projet'!$A$62,'Données projet'!$B$62,AI68+AH69-AQ68)))</f>
        <v>199.2</v>
      </c>
      <c r="AJ69" s="14">
        <f>AI69*VLOOKUP('Données projet'!$B$10,Paramètres!$A$1:$I$89,3,0)*VLOOKUP('Données projet'!$B$10,Paramètres!$A$1:$I$89,5,0)</f>
        <v>174.02112000000002</v>
      </c>
      <c r="AK69" s="14">
        <f t="shared" ref="AK69:AK132" si="89">EXP(-1.0587+0.8836*LN(AJ69)+0.284)</f>
        <v>43.989391678613877</v>
      </c>
      <c r="AL69" s="22">
        <f t="shared" si="58"/>
        <v>379.70164117358587</v>
      </c>
      <c r="AM69" s="62">
        <f t="shared" si="59"/>
        <v>673.03497450691918</v>
      </c>
      <c r="AN69" s="62">
        <f ca="1">AVERAGE(OFFSET($AM$3,0,0,'Données projet'!$E$10+1,1))-AVERAGE(OFFSET($H$3,0,0,'Données projet'!$E$10+1,1))</f>
        <v>212.11273590951606</v>
      </c>
      <c r="AO69" s="62">
        <f t="shared" ref="AO69:AO132" si="90">$AO$3</f>
        <v>240.9595690943346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2.2737367544323206E-13</v>
      </c>
      <c r="BE69" s="14">
        <f>BD69*VLOOKUP('Données projet'!$B$11,Paramètres!$A$1:$I$89,3,0)*VLOOKUP('Données projet'!$B$11,Paramètres!$A$1:$I$89,5,0)</f>
        <v>1.3596945791505279E-13</v>
      </c>
      <c r="BF69" s="14">
        <f t="shared" ref="BF69:BF132" si="91">EXP(-1.0587+0.8836*LN(BE69)+0.284)</f>
        <v>1.9708830566360721E-12</v>
      </c>
      <c r="BG69" s="22">
        <f t="shared" si="61"/>
        <v>3.669434796176543E-12</v>
      </c>
      <c r="BH69" s="62">
        <f t="shared" si="62"/>
        <v>293.33333333333701</v>
      </c>
      <c r="BI69" s="62">
        <f ca="1">AVERAGE(OFFSET($BH$3,0,0,'Données projet'!$E$11+1,1))-AVERAGE(OFFSET($H$3,0,0,'Données projet'!$E$11+1,1))</f>
        <v>172.49153247238672</v>
      </c>
      <c r="BJ69" s="62">
        <f t="shared" ref="BJ69:BJ132" si="92">$BJ$3</f>
        <v>301.94982606323254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14.153566019849521</v>
      </c>
      <c r="BQ69" s="23">
        <f>EXP(-LN(2)/25)*BQ68+(1-EXP(-LN(2)/25))/(LN(2)/25)*Calculateur!BL69*Calculateur!BN69*VLOOKUP('Données projet'!$B$11,Paramètres!$A$1:$I$89,3,0)*0.475*44/12</f>
        <v>5.0969234763683495</v>
      </c>
      <c r="BR69" s="23">
        <f>EXP(-LN(2)/2)*BR68+(1-EXP(-LN(2)/2))/(LN(2)/2)*BL69*BO69*VLOOKUP('Données projet'!$B$11,Paramètres!$A$1:$I$89,3,0)*0.475*44/12</f>
        <v>2.2216890757073576E-5</v>
      </c>
      <c r="BS69" s="24">
        <f t="shared" si="63"/>
        <v>19.250511713108626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9.5</v>
      </c>
      <c r="BY69" s="13">
        <f>IF('Données projet'!$A$114&gt;35,BY68+BX69-CG68,IF(A69&lt;'Données projet'!$A$114,$BV$205^A69,IF(A69='Données projet'!$A$114,'Données projet'!$B$114,BY68+BX69-CG68)))</f>
        <v>326.00000000000023</v>
      </c>
      <c r="BZ69" s="14">
        <f>BY69*VLOOKUP('Données projet'!$B$12,Paramètres!$A$1:$I$89,3,0)*VLOOKUP('Données projet'!$B$12,Paramètres!$A$1:$I$89,5,0)</f>
        <v>186.47200000000015</v>
      </c>
      <c r="CA69" s="14">
        <f t="shared" ref="CA69:CA132" si="93">EXP(-1.0587+0.8836*LN(BZ69)+0.284)</f>
        <v>46.759113338100882</v>
      </c>
      <c r="CB69" s="22">
        <f t="shared" si="64"/>
        <v>406.21085573052596</v>
      </c>
      <c r="CC69" s="62">
        <f t="shared" si="65"/>
        <v>699.54418906385922</v>
      </c>
      <c r="CD69" s="62">
        <f ca="1">AVERAGE(OFFSET($CC$3,0,0,'Données projet'!$E$12+1,1))-AVERAGE(OFFSET($H$3,0,0,'Données projet'!$E$12+1,1))</f>
        <v>177.71338645688661</v>
      </c>
      <c r="CE69" s="62">
        <f t="shared" ref="CE69:CE132" si="94">$CE$3</f>
        <v>153.65872713651345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0.65476521393712706</v>
      </c>
      <c r="CM69" s="23">
        <f>EXP(-LN(2)/2)*CM68+(1-EXP(-LN(2)/2))/(LN(2)/2)*CG69*CJ69*VLOOKUP('Données projet'!$B$12,Paramètres!$A$1:$I$89,3,0)*0.475*44/12</f>
        <v>2.6204019097296058E-6</v>
      </c>
      <c r="CN69" s="24">
        <f t="shared" si="66"/>
        <v>0.65476783433903674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3.8</v>
      </c>
      <c r="CT69" s="13">
        <f>IF('Données projet'!$A$140&gt;35,CT68+CS69-DB68,IF(A69&lt;'Données projet'!$A$140,$CQ$205^A69,IF(A69='Données projet'!$A$140,'Données projet'!$B$140,CT68+CS69-DB68)))</f>
        <v>156.79999999999978</v>
      </c>
      <c r="CU69" s="18">
        <f>CT69*VLOOKUP('Données projet'!$B$13,Paramètres!$A$1:$I$89,3,0)*VLOOKUP('Données projet'!$B$13,Paramètres!$A$1:$I$89,5,0)</f>
        <v>102.73535999999986</v>
      </c>
      <c r="CV69" s="14">
        <f t="shared" ref="CV69:CV132" si="95">EXP(-1.0587+0.8836*LN(CU69)+0.284)</f>
        <v>27.612632326356994</v>
      </c>
      <c r="CW69" s="22">
        <f t="shared" si="67"/>
        <v>227.02275330173816</v>
      </c>
      <c r="CX69" s="62">
        <f t="shared" si="68"/>
        <v>520.35608663507151</v>
      </c>
      <c r="CY69" s="62">
        <f ca="1">AVERAGE(OFFSET($CX$3,0,0,'Données projet'!$E$13+1,1))-AVERAGE(OFFSET($H$3,0,0,'Données projet'!$E$13+1,1))</f>
        <v>118.65321241325523</v>
      </c>
      <c r="CZ69" s="62">
        <f t="shared" ref="CZ69:CZ132" si="96">$CZ$3</f>
        <v>140.55041555757327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214.7999999999999</v>
      </c>
      <c r="DP69" s="18">
        <f>DO69*VLOOKUP('Données projet'!$B$14,Paramètres!$A$1:$I$89,3,0)*VLOOKUP('Données projet'!$B$14,Paramètres!$A$1:$I$89,5,0)</f>
        <v>217.80719999999994</v>
      </c>
      <c r="DQ69" s="14">
        <f t="shared" ref="DQ69:DQ132" si="97">EXP(-1.0587+0.8836*LN(DP69)+0.284)</f>
        <v>53.638013973813976</v>
      </c>
      <c r="DR69" s="22">
        <f t="shared" si="70"/>
        <v>472.76708100439259</v>
      </c>
      <c r="DS69" s="62">
        <f t="shared" si="71"/>
        <v>766.10041433772585</v>
      </c>
      <c r="DT69" s="62">
        <f ca="1">AVERAGE(OFFSET($DS$3,0,0,'Données projet'!$E$14+1,1))-AVERAGE(OFFSET($H$3,0,0,'Données projet'!$E$14+1,1))</f>
        <v>328.70784159273131</v>
      </c>
      <c r="DU69" s="62">
        <f t="shared" ref="DU69:DU132" si="98">$DU$3</f>
        <v>193.18009444354601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</v>
      </c>
      <c r="N70" s="14">
        <f>IF('Données projet'!$A$36&gt;35,N69+M70-V69,IF(A70&lt;'Données projet'!$A$36,$K$205^A70,IF(A70='Données projet'!$A$36,'Données projet'!$B$36,N69+M70-V69)))</f>
        <v>157</v>
      </c>
      <c r="O70" s="14">
        <f>N70*VLOOKUP('Données projet'!$B$9,Paramètres!$A$1:$I$89,3,0)*VLOOKUP('Données projet'!$B$9,Paramètres!$A$1:$I$89,5,0)</f>
        <v>142.05359999999999</v>
      </c>
      <c r="P70" s="14">
        <f t="shared" si="87"/>
        <v>36.767056963845924</v>
      </c>
      <c r="Q70" s="22">
        <f t="shared" si="54"/>
        <v>311.445977545365</v>
      </c>
      <c r="R70" s="62">
        <f t="shared" si="55"/>
        <v>604.77931087869831</v>
      </c>
      <c r="S70" s="62">
        <f ca="1">AVERAGE(OFFSET($R$3,0,0,'Données projet'!$E$9+1,1))-AVERAGE(OFFSET($H$3,0,0,'Données projet'!$E$9+1,1))</f>
        <v>177.70053246230015</v>
      </c>
      <c r="T70" s="62">
        <f t="shared" si="88"/>
        <v>85.631326020763254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4.2</v>
      </c>
      <c r="AI70" s="14">
        <f>IF('Données projet'!$A$62&gt;35,AI69+AH70-AQ69,IF(A70&lt;'Données projet'!$A$62,$AF$205^A70,IF(A70='Données projet'!$A$62,'Données projet'!$B$62,AI69+AH70-AQ69)))</f>
        <v>203.39999999999998</v>
      </c>
      <c r="AJ70" s="14">
        <f>AI70*VLOOKUP('Données projet'!$B$10,Paramètres!$A$1:$I$89,3,0)*VLOOKUP('Données projet'!$B$10,Paramètres!$A$1:$I$89,5,0)</f>
        <v>177.69023999999999</v>
      </c>
      <c r="AK70" s="14">
        <f t="shared" si="89"/>
        <v>44.807921499827692</v>
      </c>
      <c r="AL70" s="22">
        <f t="shared" si="58"/>
        <v>387.51763127886653</v>
      </c>
      <c r="AM70" s="62">
        <f t="shared" si="59"/>
        <v>680.85096461219985</v>
      </c>
      <c r="AN70" s="62">
        <f ca="1">AVERAGE(OFFSET($AM$3,0,0,'Données projet'!$E$10+1,1))-AVERAGE(OFFSET($H$3,0,0,'Données projet'!$E$10+1,1))</f>
        <v>212.11273590951606</v>
      </c>
      <c r="AO70" s="62">
        <f t="shared" si="90"/>
        <v>240.9595690943346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2.2737367544323206E-13</v>
      </c>
      <c r="BE70" s="14">
        <f>BD70*VLOOKUP('Données projet'!$B$11,Paramètres!$A$1:$I$89,3,0)*VLOOKUP('Données projet'!$B$11,Paramètres!$A$1:$I$89,5,0)</f>
        <v>1.3596945791505279E-13</v>
      </c>
      <c r="BF70" s="14">
        <f t="shared" si="91"/>
        <v>1.9708830566360721E-12</v>
      </c>
      <c r="BG70" s="22">
        <f t="shared" si="61"/>
        <v>3.669434796176543E-12</v>
      </c>
      <c r="BH70" s="62">
        <f t="shared" si="62"/>
        <v>293.33333333333701</v>
      </c>
      <c r="BI70" s="62">
        <f ca="1">AVERAGE(OFFSET($BH$3,0,0,'Données projet'!$E$11+1,1))-AVERAGE(OFFSET($H$3,0,0,'Données projet'!$E$11+1,1))</f>
        <v>172.49153247238672</v>
      </c>
      <c r="BJ70" s="62">
        <f t="shared" si="92"/>
        <v>301.94982606323254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13.876023223023124</v>
      </c>
      <c r="BQ70" s="23">
        <f>EXP(-LN(2)/25)*BQ69+(1-EXP(-LN(2)/25))/(LN(2)/25)*Calculateur!BL70*Calculateur!BN70*VLOOKUP('Données projet'!$B$11,Paramètres!$A$1:$I$89,3,0)*0.475*44/12</f>
        <v>4.9575478358715008</v>
      </c>
      <c r="BR70" s="23">
        <f>EXP(-LN(2)/2)*BR69+(1-EXP(-LN(2)/2))/(LN(2)/2)*BL70*BO70*VLOOKUP('Données projet'!$B$11,Paramètres!$A$1:$I$89,3,0)*0.475*44/12</f>
        <v>1.5709714111207455E-5</v>
      </c>
      <c r="BS70" s="24">
        <f t="shared" si="63"/>
        <v>18.833586768608736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9.5</v>
      </c>
      <c r="BY70" s="13">
        <f>IF('Données projet'!$A$114&gt;35,BY69+BX70-CG69,IF(A70&lt;'Données projet'!$A$114,$BV$205^A70,IF(A70='Données projet'!$A$114,'Données projet'!$B$114,BY69+BX70-CG69)))</f>
        <v>335.50000000000023</v>
      </c>
      <c r="BZ70" s="14">
        <f>BY70*VLOOKUP('Données projet'!$B$12,Paramètres!$A$1:$I$89,3,0)*VLOOKUP('Données projet'!$B$12,Paramètres!$A$1:$I$89,5,0)</f>
        <v>191.90600000000012</v>
      </c>
      <c r="CA70" s="14">
        <f t="shared" si="93"/>
        <v>47.96109727983233</v>
      </c>
      <c r="CB70" s="22">
        <f t="shared" si="64"/>
        <v>417.76852776237479</v>
      </c>
      <c r="CC70" s="62">
        <f t="shared" si="65"/>
        <v>711.10186109570805</v>
      </c>
      <c r="CD70" s="62">
        <f ca="1">AVERAGE(OFFSET($CC$3,0,0,'Données projet'!$E$12+1,1))-AVERAGE(OFFSET($H$3,0,0,'Données projet'!$E$12+1,1))</f>
        <v>177.71338645688661</v>
      </c>
      <c r="CE70" s="62">
        <f t="shared" si="94"/>
        <v>153.65872713651345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0.63686062472941019</v>
      </c>
      <c r="CM70" s="23">
        <f>EXP(-LN(2)/2)*CM69+(1-EXP(-LN(2)/2))/(LN(2)/2)*CG70*CJ70*VLOOKUP('Données projet'!$B$12,Paramètres!$A$1:$I$89,3,0)*0.475*44/12</f>
        <v>1.8529039598039837E-6</v>
      </c>
      <c r="CN70" s="24">
        <f t="shared" si="66"/>
        <v>0.63686247763337001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3.8</v>
      </c>
      <c r="CT70" s="13">
        <f>IF('Données projet'!$A$140&gt;35,CT69+CS70-DB69,IF(A70&lt;'Données projet'!$A$140,$CQ$205^A70,IF(A70='Données projet'!$A$140,'Données projet'!$B$140,CT69+CS70-DB69)))</f>
        <v>160.5999999999998</v>
      </c>
      <c r="CU70" s="18">
        <f>CT70*VLOOKUP('Données projet'!$B$13,Paramètres!$A$1:$I$89,3,0)*VLOOKUP('Données projet'!$B$13,Paramètres!$A$1:$I$89,5,0)</f>
        <v>105.22511999999986</v>
      </c>
      <c r="CV70" s="14">
        <f t="shared" si="95"/>
        <v>28.203096471199668</v>
      </c>
      <c r="CW70" s="22">
        <f t="shared" si="67"/>
        <v>232.38747702067249</v>
      </c>
      <c r="CX70" s="62">
        <f t="shared" si="68"/>
        <v>525.72081035400583</v>
      </c>
      <c r="CY70" s="62">
        <f ca="1">AVERAGE(OFFSET($CX$3,0,0,'Données projet'!$E$13+1,1))-AVERAGE(OFFSET($H$3,0,0,'Données projet'!$E$13+1,1))</f>
        <v>118.65321241325523</v>
      </c>
      <c r="CZ70" s="62">
        <f t="shared" si="96"/>
        <v>140.55041555757327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221.59999999999991</v>
      </c>
      <c r="DP70" s="18">
        <f>DO70*VLOOKUP('Données projet'!$B$14,Paramètres!$A$1:$I$89,3,0)*VLOOKUP('Données projet'!$B$14,Paramètres!$A$1:$I$89,5,0)</f>
        <v>224.7023999999999</v>
      </c>
      <c r="DQ70" s="14">
        <f t="shared" si="97"/>
        <v>55.135667706678262</v>
      </c>
      <c r="DR70" s="22">
        <f t="shared" si="70"/>
        <v>487.38463458913111</v>
      </c>
      <c r="DS70" s="62">
        <f t="shared" si="71"/>
        <v>780.71796792246437</v>
      </c>
      <c r="DT70" s="62">
        <f ca="1">AVERAGE(OFFSET($DS$3,0,0,'Données projet'!$E$14+1,1))-AVERAGE(OFFSET($H$3,0,0,'Données projet'!$E$14+1,1))</f>
        <v>328.70784159273131</v>
      </c>
      <c r="DU70" s="62">
        <f t="shared" si="98"/>
        <v>193.18009444354601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</v>
      </c>
      <c r="N71" s="14">
        <f>IF('Données projet'!$A$36&gt;35,N70+M71-V70,IF(A71&lt;'Données projet'!$A$36,$K$205^A71,IF(A71='Données projet'!$A$36,'Données projet'!$B$36,N70+M71-V70)))</f>
        <v>162</v>
      </c>
      <c r="O71" s="14">
        <f>N71*VLOOKUP('Données projet'!$B$9,Paramètres!$A$1:$I$89,3,0)*VLOOKUP('Données projet'!$B$9,Paramètres!$A$1:$I$89,5,0)</f>
        <v>146.57759999999999</v>
      </c>
      <c r="P71" s="14">
        <f t="shared" si="87"/>
        <v>37.799791292871248</v>
      </c>
      <c r="Q71" s="22">
        <f t="shared" si="54"/>
        <v>321.12395650175074</v>
      </c>
      <c r="R71" s="62">
        <f t="shared" si="55"/>
        <v>614.45728983508411</v>
      </c>
      <c r="S71" s="62">
        <f ca="1">AVERAGE(OFFSET($R$3,0,0,'Données projet'!$E$9+1,1))-AVERAGE(OFFSET($H$3,0,0,'Données projet'!$E$9+1,1))</f>
        <v>177.70053246230015</v>
      </c>
      <c r="T71" s="62">
        <f t="shared" si="88"/>
        <v>85.631326020763254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4.2</v>
      </c>
      <c r="AI71" s="14">
        <f>IF('Données projet'!$A$62&gt;35,AI70+AH71-AQ70,IF(A71&lt;'Données projet'!$A$62,$AF$205^A71,IF(A71='Données projet'!$A$62,'Données projet'!$B$62,AI70+AH71-AQ70)))</f>
        <v>207.59999999999997</v>
      </c>
      <c r="AJ71" s="14">
        <f>AI71*VLOOKUP('Données projet'!$B$10,Paramètres!$A$1:$I$89,3,0)*VLOOKUP('Données projet'!$B$10,Paramètres!$A$1:$I$89,5,0)</f>
        <v>181.35935999999998</v>
      </c>
      <c r="AK71" s="14">
        <f t="shared" si="89"/>
        <v>45.624486166835887</v>
      </c>
      <c r="AL71" s="22">
        <f t="shared" si="58"/>
        <v>395.33019874057248</v>
      </c>
      <c r="AM71" s="62">
        <f t="shared" si="59"/>
        <v>688.6635320739058</v>
      </c>
      <c r="AN71" s="62">
        <f ca="1">AVERAGE(OFFSET($AM$3,0,0,'Données projet'!$E$10+1,1))-AVERAGE(OFFSET($H$3,0,0,'Données projet'!$E$10+1,1))</f>
        <v>212.11273590951606</v>
      </c>
      <c r="AO71" s="62">
        <f t="shared" si="90"/>
        <v>240.9595690943346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2.2737367544323206E-13</v>
      </c>
      <c r="BE71" s="14">
        <f>BD71*VLOOKUP('Données projet'!$B$11,Paramètres!$A$1:$I$89,3,0)*VLOOKUP('Données projet'!$B$11,Paramètres!$A$1:$I$89,5,0)</f>
        <v>1.3596945791505279E-13</v>
      </c>
      <c r="BF71" s="14">
        <f t="shared" si="91"/>
        <v>1.9708830566360721E-12</v>
      </c>
      <c r="BG71" s="22">
        <f t="shared" si="61"/>
        <v>3.669434796176543E-12</v>
      </c>
      <c r="BH71" s="62">
        <f t="shared" si="62"/>
        <v>293.33333333333701</v>
      </c>
      <c r="BI71" s="62">
        <f ca="1">AVERAGE(OFFSET($BH$3,0,0,'Données projet'!$E$11+1,1))-AVERAGE(OFFSET($H$3,0,0,'Données projet'!$E$11+1,1))</f>
        <v>172.49153247238672</v>
      </c>
      <c r="BJ71" s="62">
        <f t="shared" si="92"/>
        <v>301.94982606323254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13.603922871158101</v>
      </c>
      <c r="BQ71" s="23">
        <f>EXP(-LN(2)/25)*BQ70+(1-EXP(-LN(2)/25))/(LN(2)/25)*Calculateur!BL71*Calculateur!BN71*VLOOKUP('Données projet'!$B$11,Paramètres!$A$1:$I$89,3,0)*0.475*44/12</f>
        <v>4.8219834295934847</v>
      </c>
      <c r="BR71" s="23">
        <f>EXP(-LN(2)/2)*BR70+(1-EXP(-LN(2)/2))/(LN(2)/2)*BL71*BO71*VLOOKUP('Données projet'!$B$11,Paramètres!$A$1:$I$89,3,0)*0.475*44/12</f>
        <v>1.1108445378536788E-5</v>
      </c>
      <c r="BS71" s="24">
        <f t="shared" si="63"/>
        <v>18.425917409196963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9.5</v>
      </c>
      <c r="BY71" s="13">
        <f>IF('Données projet'!$A$114&gt;35,BY70+BX71-CG70,IF(A71&lt;'Données projet'!$A$114,$BV$205^A71,IF(A71='Données projet'!$A$114,'Données projet'!$B$114,BY70+BX71-CG70)))</f>
        <v>345.00000000000023</v>
      </c>
      <c r="BZ71" s="14">
        <f>BY71*VLOOKUP('Données projet'!$B$12,Paramètres!$A$1:$I$89,3,0)*VLOOKUP('Données projet'!$B$12,Paramètres!$A$1:$I$89,5,0)</f>
        <v>197.34000000000015</v>
      </c>
      <c r="CA71" s="14">
        <f t="shared" si="93"/>
        <v>49.15912547427002</v>
      </c>
      <c r="CB71" s="22">
        <f t="shared" si="64"/>
        <v>429.31931020102047</v>
      </c>
      <c r="CC71" s="62">
        <f t="shared" si="65"/>
        <v>722.65264353435373</v>
      </c>
      <c r="CD71" s="62">
        <f ca="1">AVERAGE(OFFSET($CC$3,0,0,'Données projet'!$E$12+1,1))-AVERAGE(OFFSET($H$3,0,0,'Données projet'!$E$12+1,1))</f>
        <v>177.71338645688661</v>
      </c>
      <c r="CE71" s="62">
        <f t="shared" si="94"/>
        <v>153.65872713651345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0.61944563745513981</v>
      </c>
      <c r="CM71" s="23">
        <f>EXP(-LN(2)/2)*CM70+(1-EXP(-LN(2)/2))/(LN(2)/2)*CG71*CJ71*VLOOKUP('Données projet'!$B$12,Paramètres!$A$1:$I$89,3,0)*0.475*44/12</f>
        <v>1.3102009548648031E-6</v>
      </c>
      <c r="CN71" s="24">
        <f t="shared" si="66"/>
        <v>0.61944694765609465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3.8</v>
      </c>
      <c r="CT71" s="13">
        <f>IF('Données projet'!$A$140&gt;35,CT70+CS71-DB70,IF(A71&lt;'Données projet'!$A$140,$CQ$205^A71,IF(A71='Données projet'!$A$140,'Données projet'!$B$140,CT70+CS71-DB70)))</f>
        <v>164.39999999999981</v>
      </c>
      <c r="CU71" s="18">
        <f>CT71*VLOOKUP('Données projet'!$B$13,Paramètres!$A$1:$I$89,3,0)*VLOOKUP('Données projet'!$B$13,Paramètres!$A$1:$I$89,5,0)</f>
        <v>107.71487999999988</v>
      </c>
      <c r="CV71" s="14">
        <f t="shared" si="95"/>
        <v>28.791936453559583</v>
      </c>
      <c r="CW71" s="22">
        <f t="shared" si="67"/>
        <v>237.74937198994937</v>
      </c>
      <c r="CX71" s="62">
        <f t="shared" si="68"/>
        <v>531.08270532328265</v>
      </c>
      <c r="CY71" s="62">
        <f ca="1">AVERAGE(OFFSET($CX$3,0,0,'Données projet'!$E$13+1,1))-AVERAGE(OFFSET($H$3,0,0,'Données projet'!$E$13+1,1))</f>
        <v>118.65321241325523</v>
      </c>
      <c r="CZ71" s="62">
        <f t="shared" si="96"/>
        <v>140.55041555757327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228.39999999999992</v>
      </c>
      <c r="DP71" s="18">
        <f>DO71*VLOOKUP('Données projet'!$B$14,Paramètres!$A$1:$I$89,3,0)*VLOOKUP('Données projet'!$B$14,Paramètres!$A$1:$I$89,5,0)</f>
        <v>231.59759999999994</v>
      </c>
      <c r="DQ71" s="14">
        <f t="shared" si="97"/>
        <v>56.627980714948151</v>
      </c>
      <c r="DR71" s="22">
        <f t="shared" si="70"/>
        <v>501.99288641186786</v>
      </c>
      <c r="DS71" s="62">
        <f t="shared" si="71"/>
        <v>795.32621974520112</v>
      </c>
      <c r="DT71" s="62">
        <f ca="1">AVERAGE(OFFSET($DS$3,0,0,'Données projet'!$E$14+1,1))-AVERAGE(OFFSET($H$3,0,0,'Données projet'!$E$14+1,1))</f>
        <v>328.70784159273131</v>
      </c>
      <c r="DU71" s="62">
        <f t="shared" si="98"/>
        <v>193.18009444354601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</v>
      </c>
      <c r="N72" s="14">
        <f>IF('Données projet'!$A$36&gt;35,N71+M72-V71,IF(A72&lt;'Données projet'!$A$36,$K$205^A72,IF(A72='Données projet'!$A$36,'Données projet'!$B$36,N71+M72-V71)))</f>
        <v>167</v>
      </c>
      <c r="O72" s="14">
        <f>N72*VLOOKUP('Données projet'!$B$9,Paramètres!$A$1:$I$89,3,0)*VLOOKUP('Données projet'!$B$9,Paramètres!$A$1:$I$89,5,0)</f>
        <v>151.10159999999999</v>
      </c>
      <c r="P72" s="14">
        <f t="shared" si="87"/>
        <v>38.82882146347977</v>
      </c>
      <c r="Q72" s="22">
        <f t="shared" si="54"/>
        <v>330.79548404889391</v>
      </c>
      <c r="R72" s="62">
        <f t="shared" si="55"/>
        <v>624.12881738222723</v>
      </c>
      <c r="S72" s="62">
        <f ca="1">AVERAGE(OFFSET($R$3,0,0,'Données projet'!$E$9+1,1))-AVERAGE(OFFSET($H$3,0,0,'Données projet'!$E$9+1,1))</f>
        <v>177.70053246230015</v>
      </c>
      <c r="T72" s="62">
        <f t="shared" si="88"/>
        <v>85.631326020763254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4.2</v>
      </c>
      <c r="AI72" s="14">
        <f>IF('Données projet'!$A$62&gt;35,AI71+AH72-AQ71,IF(A72&lt;'Données projet'!$A$62,$AF$205^A72,IF(A72='Données projet'!$A$62,'Données projet'!$B$62,AI71+AH72-AQ71)))</f>
        <v>211.79999999999995</v>
      </c>
      <c r="AJ72" s="14">
        <f>AI72*VLOOKUP('Données projet'!$B$10,Paramètres!$A$1:$I$89,3,0)*VLOOKUP('Données projet'!$B$10,Paramètres!$A$1:$I$89,5,0)</f>
        <v>185.02848</v>
      </c>
      <c r="AK72" s="14">
        <f t="shared" si="89"/>
        <v>46.43913001874585</v>
      </c>
      <c r="AL72" s="22">
        <f t="shared" si="58"/>
        <v>403.13942078264904</v>
      </c>
      <c r="AM72" s="62">
        <f t="shared" si="59"/>
        <v>696.4727541159823</v>
      </c>
      <c r="AN72" s="62">
        <f ca="1">AVERAGE(OFFSET($AM$3,0,0,'Données projet'!$E$10+1,1))-AVERAGE(OFFSET($H$3,0,0,'Données projet'!$E$10+1,1))</f>
        <v>212.11273590951606</v>
      </c>
      <c r="AO72" s="62">
        <f t="shared" si="90"/>
        <v>240.9595690943346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2.2737367544323206E-13</v>
      </c>
      <c r="BE72" s="14">
        <f>BD72*VLOOKUP('Données projet'!$B$11,Paramètres!$A$1:$I$89,3,0)*VLOOKUP('Données projet'!$B$11,Paramètres!$A$1:$I$89,5,0)</f>
        <v>1.3596945791505279E-13</v>
      </c>
      <c r="BF72" s="14">
        <f t="shared" si="91"/>
        <v>1.9708830566360721E-12</v>
      </c>
      <c r="BG72" s="22">
        <f t="shared" si="61"/>
        <v>3.669434796176543E-12</v>
      </c>
      <c r="BH72" s="62">
        <f t="shared" si="62"/>
        <v>293.33333333333701</v>
      </c>
      <c r="BI72" s="62">
        <f ca="1">AVERAGE(OFFSET($BH$3,0,0,'Données projet'!$E$11+1,1))-AVERAGE(OFFSET($H$3,0,0,'Données projet'!$E$11+1,1))</f>
        <v>172.49153247238672</v>
      </c>
      <c r="BJ72" s="62">
        <f t="shared" si="92"/>
        <v>301.94982606323254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13.337158241228325</v>
      </c>
      <c r="BQ72" s="23">
        <f>EXP(-LN(2)/25)*BQ71+(1-EXP(-LN(2)/25))/(LN(2)/25)*Calculateur!BL72*Calculateur!BN72*VLOOKUP('Données projet'!$B$11,Paramètres!$A$1:$I$89,3,0)*0.475*44/12</f>
        <v>4.6901260391341628</v>
      </c>
      <c r="BR72" s="23">
        <f>EXP(-LN(2)/2)*BR71+(1-EXP(-LN(2)/2))/(LN(2)/2)*BL72*BO72*VLOOKUP('Données projet'!$B$11,Paramètres!$A$1:$I$89,3,0)*0.475*44/12</f>
        <v>7.8548570556037275E-6</v>
      </c>
      <c r="BS72" s="24">
        <f t="shared" si="63"/>
        <v>18.027292135219543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9.5</v>
      </c>
      <c r="BY72" s="13">
        <f>IF('Données projet'!$A$114&gt;35,BY71+BX72-CG71,IF(A72&lt;'Données projet'!$A$114,$BV$205^A72,IF(A72='Données projet'!$A$114,'Données projet'!$B$114,BY71+BX72-CG71)))</f>
        <v>354.50000000000023</v>
      </c>
      <c r="BZ72" s="14">
        <f>BY72*VLOOKUP('Données projet'!$B$12,Paramètres!$A$1:$I$89,3,0)*VLOOKUP('Données projet'!$B$12,Paramètres!$A$1:$I$89,5,0)</f>
        <v>202.77400000000014</v>
      </c>
      <c r="CA72" s="14">
        <f t="shared" si="93"/>
        <v>50.353319363225992</v>
      </c>
      <c r="CB72" s="22">
        <f t="shared" si="64"/>
        <v>440.86341455761885</v>
      </c>
      <c r="CC72" s="62">
        <f t="shared" si="65"/>
        <v>734.19674789095211</v>
      </c>
      <c r="CD72" s="62">
        <f ca="1">AVERAGE(OFFSET($CC$3,0,0,'Données projet'!$E$12+1,1))-AVERAGE(OFFSET($H$3,0,0,'Données projet'!$E$12+1,1))</f>
        <v>177.71338645688661</v>
      </c>
      <c r="CE72" s="62">
        <f t="shared" si="94"/>
        <v>153.65872713651345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0.60250686392369868</v>
      </c>
      <c r="CM72" s="23">
        <f>EXP(-LN(2)/2)*CM71+(1-EXP(-LN(2)/2))/(LN(2)/2)*CG72*CJ72*VLOOKUP('Données projet'!$B$12,Paramètres!$A$1:$I$89,3,0)*0.475*44/12</f>
        <v>9.2645197990199206E-7</v>
      </c>
      <c r="CN72" s="24">
        <f t="shared" si="66"/>
        <v>0.60250779037567859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3.8</v>
      </c>
      <c r="CT72" s="13">
        <f>IF('Données projet'!$A$140&gt;35,CT71+CS72-DB71,IF(A72&lt;'Données projet'!$A$140,$CQ$205^A72,IF(A72='Données projet'!$A$140,'Données projet'!$B$140,CT71+CS72-DB71)))</f>
        <v>168.19999999999982</v>
      </c>
      <c r="CU72" s="18">
        <f>CT72*VLOOKUP('Données projet'!$B$13,Paramètres!$A$1:$I$89,3,0)*VLOOKUP('Données projet'!$B$13,Paramètres!$A$1:$I$89,5,0)</f>
        <v>110.20463999999988</v>
      </c>
      <c r="CV72" s="14">
        <f t="shared" si="95"/>
        <v>29.379194135935805</v>
      </c>
      <c r="CW72" s="22">
        <f t="shared" si="67"/>
        <v>243.10851112008797</v>
      </c>
      <c r="CX72" s="62">
        <f t="shared" si="68"/>
        <v>536.44184445342125</v>
      </c>
      <c r="CY72" s="62">
        <f ca="1">AVERAGE(OFFSET($CX$3,0,0,'Données projet'!$E$13+1,1))-AVERAGE(OFFSET($H$3,0,0,'Données projet'!$E$13+1,1))</f>
        <v>118.65321241325523</v>
      </c>
      <c r="CZ72" s="62">
        <f t="shared" si="96"/>
        <v>140.55041555757327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235.19999999999993</v>
      </c>
      <c r="DP72" s="18">
        <f>DO72*VLOOKUP('Données projet'!$B$14,Paramètres!$A$1:$I$89,3,0)*VLOOKUP('Données projet'!$B$14,Paramètres!$A$1:$I$89,5,0)</f>
        <v>238.49279999999996</v>
      </c>
      <c r="DQ72" s="14">
        <f t="shared" si="97"/>
        <v>58.115130258576542</v>
      </c>
      <c r="DR72" s="22">
        <f t="shared" si="70"/>
        <v>516.59214520035414</v>
      </c>
      <c r="DS72" s="62">
        <f t="shared" si="71"/>
        <v>809.92547853368751</v>
      </c>
      <c r="DT72" s="62">
        <f ca="1">AVERAGE(OFFSET($DS$3,0,0,'Données projet'!$E$14+1,1))-AVERAGE(OFFSET($H$3,0,0,'Données projet'!$E$14+1,1))</f>
        <v>328.70784159273131</v>
      </c>
      <c r="DU72" s="62">
        <f t="shared" si="98"/>
        <v>193.18009444354601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172</v>
      </c>
      <c r="L73" s="13">
        <f>VLOOKUP(A73,'Données projet'!$A$35:$I$55,9,0)</f>
        <v>5</v>
      </c>
      <c r="M73" s="13">
        <f t="array" ref="M73">INDEX(L:L,MIN(IF(ISNUMBER(L73:L269),ROW(L73:L269),"")))</f>
        <v>5</v>
      </c>
      <c r="N73" s="14">
        <f>IF('Données projet'!$A$36&gt;35,N72+M73-V72,IF(A73&lt;'Données projet'!$A$36,$K$205^A73,IF(A73='Données projet'!$A$36,'Données projet'!$B$36,N72+M73-V72)))</f>
        <v>172</v>
      </c>
      <c r="O73" s="14">
        <f>N73*VLOOKUP('Données projet'!$B$9,Paramètres!$A$1:$I$89,3,0)*VLOOKUP('Données projet'!$B$9,Paramètres!$A$1:$I$89,5,0)</f>
        <v>155.62559999999999</v>
      </c>
      <c r="P73" s="14">
        <f t="shared" si="87"/>
        <v>39.854271109683118</v>
      </c>
      <c r="Q73" s="22">
        <f t="shared" si="54"/>
        <v>340.46077551603139</v>
      </c>
      <c r="R73" s="62">
        <f t="shared" si="55"/>
        <v>633.79410884936465</v>
      </c>
      <c r="S73" s="62">
        <f ca="1">AVERAGE(OFFSET($R$3,0,0,'Données projet'!$E$9+1,1))-AVERAGE(OFFSET($H$3,0,0,'Données projet'!$E$9+1,1))</f>
        <v>177.70053246230015</v>
      </c>
      <c r="T73" s="62">
        <f t="shared" si="88"/>
        <v>85.631326020763254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216</v>
      </c>
      <c r="AG73" s="13">
        <f>VLOOKUP(A73,'Données projet'!$A$61:$I$81,9,0)</f>
        <v>4.2</v>
      </c>
      <c r="AH73" s="13">
        <f t="array" ref="AH73">INDEX(AG:AG,MIN(IF(ISNUMBER(AG73:AG269),ROW(AG73:AG269),"")))</f>
        <v>4.2</v>
      </c>
      <c r="AI73" s="14">
        <f>IF('Données projet'!$A$62&gt;35,AI72+AH73-AQ72,IF(A73&lt;'Données projet'!$A$62,$AF$205^A73,IF(A73='Données projet'!$A$62,'Données projet'!$B$62,AI72+AH73-AQ72)))</f>
        <v>215.99999999999994</v>
      </c>
      <c r="AJ73" s="14">
        <f>AI73*VLOOKUP('Données projet'!$B$10,Paramètres!$A$1:$I$89,3,0)*VLOOKUP('Données projet'!$B$10,Paramètres!$A$1:$I$89,5,0)</f>
        <v>188.69759999999997</v>
      </c>
      <c r="AK73" s="14">
        <f t="shared" si="89"/>
        <v>47.251895535609734</v>
      </c>
      <c r="AL73" s="22">
        <f t="shared" si="58"/>
        <v>410.94537139118688</v>
      </c>
      <c r="AM73" s="62">
        <f t="shared" si="59"/>
        <v>704.27870472452014</v>
      </c>
      <c r="AN73" s="62">
        <f ca="1">AVERAGE(OFFSET($AM$3,0,0,'Données projet'!$E$10+1,1))-AVERAGE(OFFSET($H$3,0,0,'Données projet'!$E$10+1,1))</f>
        <v>212.11273590951606</v>
      </c>
      <c r="AO73" s="62">
        <f t="shared" si="90"/>
        <v>240.9595690943346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2.2737367544323206E-13</v>
      </c>
      <c r="BE73" s="14">
        <f>BD73*VLOOKUP('Données projet'!$B$11,Paramètres!$A$1:$I$89,3,0)*VLOOKUP('Données projet'!$B$11,Paramètres!$A$1:$I$89,5,0)</f>
        <v>1.3596945791505279E-13</v>
      </c>
      <c r="BF73" s="14">
        <f t="shared" si="91"/>
        <v>1.9708830566360721E-12</v>
      </c>
      <c r="BG73" s="22">
        <f t="shared" si="61"/>
        <v>3.669434796176543E-12</v>
      </c>
      <c r="BH73" s="62">
        <f t="shared" si="62"/>
        <v>293.33333333333701</v>
      </c>
      <c r="BI73" s="62">
        <f ca="1">AVERAGE(OFFSET($BH$3,0,0,'Données projet'!$E$11+1,1))-AVERAGE(OFFSET($H$3,0,0,'Données projet'!$E$11+1,1))</f>
        <v>172.49153247238672</v>
      </c>
      <c r="BJ73" s="62">
        <f t="shared" si="92"/>
        <v>301.94982606323254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13.075624702981113</v>
      </c>
      <c r="BQ73" s="23">
        <f>EXP(-LN(2)/25)*BQ72+(1-EXP(-LN(2)/25))/(LN(2)/25)*Calculateur!BL73*Calculateur!BN73*VLOOKUP('Données projet'!$B$11,Paramètres!$A$1:$I$89,3,0)*0.475*44/12</f>
        <v>4.5618742959510303</v>
      </c>
      <c r="BR73" s="23">
        <f>EXP(-LN(2)/2)*BR72+(1-EXP(-LN(2)/2))/(LN(2)/2)*BL73*BO73*VLOOKUP('Données projet'!$B$11,Paramètres!$A$1:$I$89,3,0)*0.475*44/12</f>
        <v>5.554222689268394E-6</v>
      </c>
      <c r="BS73" s="24">
        <f t="shared" si="63"/>
        <v>17.637504553154834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364</v>
      </c>
      <c r="BW73" s="13">
        <f>VLOOKUP(A73,'Données projet'!$A$113:$I$133,9,0)</f>
        <v>9.5</v>
      </c>
      <c r="BX73" s="13">
        <f t="array" ref="BX73">INDEX(BW:BW,MIN(IF(ISNUMBER(BW73:BW269),ROW(BW73:BW269),"")))</f>
        <v>9.5</v>
      </c>
      <c r="BY73" s="13">
        <f>IF('Données projet'!$A$114&gt;35,BY72+BX73-CG72,IF(A73&lt;'Données projet'!$A$114,$BV$205^A73,IF(A73='Données projet'!$A$114,'Données projet'!$B$114,BY72+BX73-CG72)))</f>
        <v>364.00000000000023</v>
      </c>
      <c r="BZ73" s="14">
        <f>BY73*VLOOKUP('Données projet'!$B$12,Paramètres!$A$1:$I$89,3,0)*VLOOKUP('Données projet'!$B$12,Paramètres!$A$1:$I$89,5,0)</f>
        <v>208.20800000000014</v>
      </c>
      <c r="CA73" s="14">
        <f t="shared" si="93"/>
        <v>51.543793509070333</v>
      </c>
      <c r="CB73" s="22">
        <f t="shared" si="64"/>
        <v>452.40104036163103</v>
      </c>
      <c r="CC73" s="62">
        <f t="shared" si="65"/>
        <v>745.73437369496435</v>
      </c>
      <c r="CD73" s="62">
        <f ca="1">AVERAGE(OFFSET($CC$3,0,0,'Données projet'!$E$12+1,1))-AVERAGE(OFFSET($H$3,0,0,'Données projet'!$E$12+1,1))</f>
        <v>177.71338645688661</v>
      </c>
      <c r="CE73" s="62">
        <f t="shared" si="94"/>
        <v>153.65872713651345</v>
      </c>
      <c r="CF73" s="16">
        <f>IF(ISNA(VLOOKUP(A73,'Données projet'!$A$113:$I$133,3,0)),0,VLOOKUP(A73,'Données projet'!$A$113:$I$133,3,0))</f>
        <v>7</v>
      </c>
      <c r="CG73" s="16">
        <f>IF(ISNA(VLOOKUP(A73,'Données projet'!$A$113:$I$133,4,0)),0,VLOOKUP(A73,'Données projet'!$A$113:$I$133,4,0))</f>
        <v>52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0.58603128204524624</v>
      </c>
      <c r="CM73" s="23">
        <f>EXP(-LN(2)/2)*CM72+(1-EXP(-LN(2)/2))/(LN(2)/2)*CG73*CJ73*VLOOKUP('Données projet'!$B$12,Paramètres!$A$1:$I$89,3,0)*0.475*44/12</f>
        <v>6.5510047743240166E-7</v>
      </c>
      <c r="CN73" s="24">
        <f t="shared" si="66"/>
        <v>0.58603193714572366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172</v>
      </c>
      <c r="CR73" s="13">
        <f>VLOOKUP(A73,'Données projet'!$A$139:$I$159,9,0)</f>
        <v>3.8</v>
      </c>
      <c r="CS73" s="13">
        <f t="array" ref="CS73">INDEX(CR:CR,MIN(IF(ISNUMBER(CR73:CR269),ROW(CR73:CR269),"")))</f>
        <v>3.8</v>
      </c>
      <c r="CT73" s="13">
        <f>IF('Données projet'!$A$140&gt;35,CT72+CS73-DB72,IF(A73&lt;'Données projet'!$A$140,$CQ$205^A73,IF(A73='Données projet'!$A$140,'Données projet'!$B$140,CT72+CS73-DB72)))</f>
        <v>171.99999999999983</v>
      </c>
      <c r="CU73" s="18">
        <f>CT73*VLOOKUP('Données projet'!$B$13,Paramètres!$A$1:$I$89,3,0)*VLOOKUP('Données projet'!$B$13,Paramètres!$A$1:$I$89,5,0)</f>
        <v>112.69439999999989</v>
      </c>
      <c r="CV73" s="14">
        <f t="shared" si="95"/>
        <v>29.964909381330607</v>
      </c>
      <c r="CW73" s="22">
        <f t="shared" si="67"/>
        <v>248.46496383915061</v>
      </c>
      <c r="CX73" s="62">
        <f t="shared" si="68"/>
        <v>541.7982971724839</v>
      </c>
      <c r="CY73" s="62">
        <f ca="1">AVERAGE(OFFSET($CX$3,0,0,'Données projet'!$E$13+1,1))-AVERAGE(OFFSET($H$3,0,0,'Données projet'!$E$13+1,1))</f>
        <v>118.65321241325523</v>
      </c>
      <c r="CZ73" s="62">
        <f t="shared" si="96"/>
        <v>140.55041555757327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241.99999999999994</v>
      </c>
      <c r="DP73" s="18">
        <f>DO73*VLOOKUP('Données projet'!$B$14,Paramètres!$A$1:$I$89,3,0)*VLOOKUP('Données projet'!$B$14,Paramètres!$A$1:$I$89,5,0)</f>
        <v>245.38799999999995</v>
      </c>
      <c r="DQ73" s="14">
        <f t="shared" si="97"/>
        <v>59.597282764919569</v>
      </c>
      <c r="DR73" s="22">
        <f t="shared" si="70"/>
        <v>531.18270081556818</v>
      </c>
      <c r="DS73" s="62">
        <f t="shared" si="71"/>
        <v>824.51603414890155</v>
      </c>
      <c r="DT73" s="62">
        <f ca="1">AVERAGE(OFFSET($DS$3,0,0,'Données projet'!$E$14+1,1))-AVERAGE(OFFSET($H$3,0,0,'Données projet'!$E$14+1,1))</f>
        <v>328.70784159273131</v>
      </c>
      <c r="DU73" s="62">
        <f t="shared" si="98"/>
        <v>193.18009444354601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</v>
      </c>
      <c r="N74" s="14">
        <f>IF('Données projet'!$A$36&gt;35,N73+M74-V73,IF(A74&lt;'Données projet'!$A$36,$K$205^A74,IF(A74='Données projet'!$A$36,'Données projet'!$B$36,N73+M74-V73)))</f>
        <v>177</v>
      </c>
      <c r="O74" s="14">
        <f>N74*VLOOKUP('Données projet'!$B$9,Paramètres!$A$1:$I$89,3,0)*VLOOKUP('Données projet'!$B$9,Paramètres!$A$1:$I$89,5,0)</f>
        <v>160.14959999999999</v>
      </c>
      <c r="P74" s="14">
        <f t="shared" si="87"/>
        <v>40.876256268741535</v>
      </c>
      <c r="Q74" s="22">
        <f t="shared" si="54"/>
        <v>350.1200330013915</v>
      </c>
      <c r="R74" s="62">
        <f t="shared" si="55"/>
        <v>643.45336633472482</v>
      </c>
      <c r="S74" s="62">
        <f ca="1">AVERAGE(OFFSET($R$3,0,0,'Données projet'!$E$9+1,1))-AVERAGE(OFFSET($H$3,0,0,'Données projet'!$E$9+1,1))</f>
        <v>177.70053246230015</v>
      </c>
      <c r="T74" s="62">
        <f t="shared" si="88"/>
        <v>85.631326020763254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</v>
      </c>
      <c r="AI74" s="14">
        <f>IF('Données projet'!$A$62&gt;35,AI73+AH74-AQ73,IF(A74&lt;'Données projet'!$A$62,$AF$205^A74,IF(A74='Données projet'!$A$62,'Données projet'!$B$62,AI73+AH74-AQ73)))</f>
        <v>190.39999999999995</v>
      </c>
      <c r="AJ74" s="14">
        <f>AI74*VLOOKUP('Données projet'!$B$10,Paramètres!$A$1:$I$89,3,0)*VLOOKUP('Données projet'!$B$10,Paramètres!$A$1:$I$89,5,0)</f>
        <v>166.33343999999997</v>
      </c>
      <c r="AK74" s="14">
        <f t="shared" si="89"/>
        <v>42.267796944897761</v>
      </c>
      <c r="AL74" s="22">
        <f t="shared" si="58"/>
        <v>363.31382101236346</v>
      </c>
      <c r="AM74" s="62">
        <f t="shared" si="59"/>
        <v>656.64715434569678</v>
      </c>
      <c r="AN74" s="62">
        <f ca="1">AVERAGE(OFFSET($AM$3,0,0,'Données projet'!$E$10+1,1))-AVERAGE(OFFSET($H$3,0,0,'Données projet'!$E$10+1,1))</f>
        <v>212.11273590951606</v>
      </c>
      <c r="AO74" s="62">
        <f t="shared" si="90"/>
        <v>240.9595690943346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2.2737367544323206E-13</v>
      </c>
      <c r="BE74" s="14">
        <f>BD74*VLOOKUP('Données projet'!$B$11,Paramètres!$A$1:$I$89,3,0)*VLOOKUP('Données projet'!$B$11,Paramètres!$A$1:$I$89,5,0)</f>
        <v>1.3596945791505279E-13</v>
      </c>
      <c r="BF74" s="14">
        <f t="shared" si="91"/>
        <v>1.9708830566360721E-12</v>
      </c>
      <c r="BG74" s="22">
        <f t="shared" si="61"/>
        <v>3.669434796176543E-12</v>
      </c>
      <c r="BH74" s="62">
        <f t="shared" si="62"/>
        <v>293.33333333333701</v>
      </c>
      <c r="BI74" s="62">
        <f ca="1">AVERAGE(OFFSET($BH$3,0,0,'Données projet'!$E$11+1,1))-AVERAGE(OFFSET($H$3,0,0,'Données projet'!$E$11+1,1))</f>
        <v>172.49153247238672</v>
      </c>
      <c r="BJ74" s="62">
        <f t="shared" si="92"/>
        <v>301.94982606323254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12.819219677899222</v>
      </c>
      <c r="BQ74" s="23">
        <f>EXP(-LN(2)/25)*BQ73+(1-EXP(-LN(2)/25))/(LN(2)/25)*Calculateur!BL74*Calculateur!BN74*VLOOKUP('Données projet'!$B$11,Paramètres!$A$1:$I$89,3,0)*0.475*44/12</f>
        <v>4.4371296034297067</v>
      </c>
      <c r="BR74" s="23">
        <f>EXP(-LN(2)/2)*BR73+(1-EXP(-LN(2)/2))/(LN(2)/2)*BL74*BO74*VLOOKUP('Données projet'!$B$11,Paramètres!$A$1:$I$89,3,0)*0.475*44/12</f>
        <v>3.9274285278018638E-6</v>
      </c>
      <c r="BS74" s="24">
        <f t="shared" si="63"/>
        <v>17.256353208757456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8.3000000000000007</v>
      </c>
      <c r="BY74" s="13">
        <f>IF('Données projet'!$A$114&gt;35,BY73+BX74-CG73,IF(A74&lt;'Données projet'!$A$114,$BV$205^A74,IF(A74='Données projet'!$A$114,'Données projet'!$B$114,BY73+BX74-CG73)))</f>
        <v>320.30000000000024</v>
      </c>
      <c r="BZ74" s="14">
        <f>BY74*VLOOKUP('Données projet'!$B$12,Paramètres!$A$1:$I$89,3,0)*VLOOKUP('Données projet'!$B$12,Paramètres!$A$1:$I$89,5,0)</f>
        <v>183.21160000000015</v>
      </c>
      <c r="CA74" s="14">
        <f t="shared" si="93"/>
        <v>46.035970904955342</v>
      </c>
      <c r="CB74" s="22">
        <f t="shared" si="64"/>
        <v>399.27285265946415</v>
      </c>
      <c r="CC74" s="62">
        <f t="shared" si="65"/>
        <v>692.60618599279746</v>
      </c>
      <c r="CD74" s="62">
        <f ca="1">AVERAGE(OFFSET($CC$3,0,0,'Données projet'!$E$12+1,1))-AVERAGE(OFFSET($H$3,0,0,'Données projet'!$E$12+1,1))</f>
        <v>177.71338645688661</v>
      </c>
      <c r="CE74" s="62">
        <f t="shared" si="94"/>
        <v>153.65872713651345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0.5700062258196732</v>
      </c>
      <c r="CM74" s="23">
        <f>EXP(-LN(2)/2)*CM73+(1-EXP(-LN(2)/2))/(LN(2)/2)*CG74*CJ74*VLOOKUP('Données projet'!$B$12,Paramètres!$A$1:$I$89,3,0)*0.475*44/12</f>
        <v>4.6322598995099609E-7</v>
      </c>
      <c r="CN74" s="24">
        <f t="shared" si="66"/>
        <v>0.5700066890456631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3.6</v>
      </c>
      <c r="CT74" s="13">
        <f>IF('Données projet'!$A$140&gt;35,CT73+CS74-DB73,IF(A74&lt;'Données projet'!$A$140,$CQ$205^A74,IF(A74='Données projet'!$A$140,'Données projet'!$B$140,CT73+CS74-DB73)))</f>
        <v>175.59999999999982</v>
      </c>
      <c r="CU74" s="18">
        <f>CT74*VLOOKUP('Données projet'!$B$13,Paramètres!$A$1:$I$89,3,0)*VLOOKUP('Données projet'!$B$13,Paramètres!$A$1:$I$89,5,0)</f>
        <v>115.05311999999988</v>
      </c>
      <c r="CV74" s="14">
        <f t="shared" si="95"/>
        <v>30.518409166186991</v>
      </c>
      <c r="CW74" s="22">
        <f t="shared" si="67"/>
        <v>253.53707996444214</v>
      </c>
      <c r="CX74" s="62">
        <f t="shared" si="68"/>
        <v>546.87041329777549</v>
      </c>
      <c r="CY74" s="62">
        <f ca="1">AVERAGE(OFFSET($CX$3,0,0,'Données projet'!$E$13+1,1))-AVERAGE(OFFSET($H$3,0,0,'Données projet'!$E$13+1,1))</f>
        <v>118.65321241325523</v>
      </c>
      <c r="CZ74" s="62">
        <f t="shared" si="96"/>
        <v>140.55041555757327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248.19999999999993</v>
      </c>
      <c r="DP74" s="18">
        <f>DO74*VLOOKUP('Données projet'!$B$14,Paramètres!$A$1:$I$89,3,0)*VLOOKUP('Données projet'!$B$14,Paramètres!$A$1:$I$89,5,0)</f>
        <v>251.67479999999995</v>
      </c>
      <c r="DQ74" s="14">
        <f t="shared" si="97"/>
        <v>60.944434584138449</v>
      </c>
      <c r="DR74" s="22">
        <f t="shared" si="70"/>
        <v>544.47850023404101</v>
      </c>
      <c r="DS74" s="62">
        <f t="shared" si="71"/>
        <v>837.81183356737438</v>
      </c>
      <c r="DT74" s="62">
        <f ca="1">AVERAGE(OFFSET($DS$3,0,0,'Données projet'!$E$14+1,1))-AVERAGE(OFFSET($H$3,0,0,'Données projet'!$E$14+1,1))</f>
        <v>328.70784159273131</v>
      </c>
      <c r="DU74" s="62">
        <f t="shared" si="98"/>
        <v>193.18009444354601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</v>
      </c>
      <c r="N75" s="14">
        <f>IF('Données projet'!$A$36&gt;35,N74+M75-V74,IF(A75&lt;'Données projet'!$A$36,$K$205^A75,IF(A75='Données projet'!$A$36,'Données projet'!$B$36,N74+M75-V74)))</f>
        <v>182</v>
      </c>
      <c r="O75" s="14">
        <f>N75*VLOOKUP('Données projet'!$B$9,Paramètres!$A$1:$I$89,3,0)*VLOOKUP('Données projet'!$B$9,Paramètres!$A$1:$I$89,5,0)</f>
        <v>164.67359999999999</v>
      </c>
      <c r="P75" s="14">
        <f t="shared" si="87"/>
        <v>41.894886049196984</v>
      </c>
      <c r="Q75" s="22">
        <f t="shared" si="54"/>
        <v>359.77344653568463</v>
      </c>
      <c r="R75" s="62">
        <f t="shared" si="55"/>
        <v>653.10677986901794</v>
      </c>
      <c r="S75" s="62">
        <f ca="1">AVERAGE(OFFSET($R$3,0,0,'Données projet'!$E$9+1,1))-AVERAGE(OFFSET($H$3,0,0,'Données projet'!$E$9+1,1))</f>
        <v>177.70053246230015</v>
      </c>
      <c r="T75" s="62">
        <f t="shared" si="88"/>
        <v>85.631326020763254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</v>
      </c>
      <c r="AI75" s="14">
        <f>IF('Données projet'!$A$62&gt;35,AI74+AH75-AQ74,IF(A75&lt;'Données projet'!$A$62,$AF$205^A75,IF(A75='Données projet'!$A$62,'Données projet'!$B$62,AI74+AH75-AQ74)))</f>
        <v>193.79999999999995</v>
      </c>
      <c r="AJ75" s="14">
        <f>AI75*VLOOKUP('Données projet'!$B$10,Paramètres!$A$1:$I$89,3,0)*VLOOKUP('Données projet'!$B$10,Paramètres!$A$1:$I$89,5,0)</f>
        <v>169.30367999999999</v>
      </c>
      <c r="AK75" s="14">
        <f t="shared" si="89"/>
        <v>42.934033834973214</v>
      </c>
      <c r="AL75" s="22">
        <f t="shared" si="58"/>
        <v>369.64735159591163</v>
      </c>
      <c r="AM75" s="62">
        <f t="shared" si="59"/>
        <v>662.98068492924494</v>
      </c>
      <c r="AN75" s="62">
        <f ca="1">AVERAGE(OFFSET($AM$3,0,0,'Données projet'!$E$10+1,1))-AVERAGE(OFFSET($H$3,0,0,'Données projet'!$E$10+1,1))</f>
        <v>212.11273590951606</v>
      </c>
      <c r="AO75" s="62">
        <f t="shared" si="90"/>
        <v>240.9595690943346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2.2737367544323206E-13</v>
      </c>
      <c r="BE75" s="14">
        <f>BD75*VLOOKUP('Données projet'!$B$11,Paramètres!$A$1:$I$89,3,0)*VLOOKUP('Données projet'!$B$11,Paramètres!$A$1:$I$89,5,0)</f>
        <v>1.3596945791505279E-13</v>
      </c>
      <c r="BF75" s="14">
        <f t="shared" si="91"/>
        <v>1.9708830566360721E-12</v>
      </c>
      <c r="BG75" s="22">
        <f t="shared" si="61"/>
        <v>3.669434796176543E-12</v>
      </c>
      <c r="BH75" s="62">
        <f t="shared" si="62"/>
        <v>293.33333333333701</v>
      </c>
      <c r="BI75" s="62">
        <f ca="1">AVERAGE(OFFSET($BH$3,0,0,'Données projet'!$E$11+1,1))-AVERAGE(OFFSET($H$3,0,0,'Données projet'!$E$11+1,1))</f>
        <v>172.49153247238672</v>
      </c>
      <c r="BJ75" s="62">
        <f t="shared" si="92"/>
        <v>301.94982606323254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12.567842598967564</v>
      </c>
      <c r="BQ75" s="23">
        <f>EXP(-LN(2)/25)*BQ74+(1-EXP(-LN(2)/25))/(LN(2)/25)*Calculateur!BL75*Calculateur!BN75*VLOOKUP('Données projet'!$B$11,Paramètres!$A$1:$I$89,3,0)*0.475*44/12</f>
        <v>4.3157960610854165</v>
      </c>
      <c r="BR75" s="23">
        <f>EXP(-LN(2)/2)*BR74+(1-EXP(-LN(2)/2))/(LN(2)/2)*BL75*BO75*VLOOKUP('Données projet'!$B$11,Paramètres!$A$1:$I$89,3,0)*0.475*44/12</f>
        <v>2.777111344634197E-6</v>
      </c>
      <c r="BS75" s="24">
        <f t="shared" si="63"/>
        <v>16.883641437164325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8.3000000000000007</v>
      </c>
      <c r="BY75" s="13">
        <f>IF('Données projet'!$A$114&gt;35,BY74+BX75-CG74,IF(A75&lt;'Données projet'!$A$114,$BV$205^A75,IF(A75='Données projet'!$A$114,'Données projet'!$B$114,BY74+BX75-CG74)))</f>
        <v>328.60000000000025</v>
      </c>
      <c r="BZ75" s="14">
        <f>BY75*VLOOKUP('Données projet'!$B$12,Paramètres!$A$1:$I$89,3,0)*VLOOKUP('Données projet'!$B$12,Paramètres!$A$1:$I$89,5,0)</f>
        <v>187.95920000000015</v>
      </c>
      <c r="CA75" s="14">
        <f t="shared" si="93"/>
        <v>47.088477759834014</v>
      </c>
      <c r="CB75" s="22">
        <f t="shared" si="64"/>
        <v>409.37470543171111</v>
      </c>
      <c r="CC75" s="62">
        <f t="shared" si="65"/>
        <v>702.70803876504442</v>
      </c>
      <c r="CD75" s="62">
        <f ca="1">AVERAGE(OFFSET($CC$3,0,0,'Données projet'!$E$12+1,1))-AVERAGE(OFFSET($H$3,0,0,'Données projet'!$E$12+1,1))</f>
        <v>177.71338645688661</v>
      </c>
      <c r="CE75" s="62">
        <f t="shared" si="94"/>
        <v>153.65872713651345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0.55441937559930954</v>
      </c>
      <c r="CM75" s="23">
        <f>EXP(-LN(2)/2)*CM74+(1-EXP(-LN(2)/2))/(LN(2)/2)*CG75*CJ75*VLOOKUP('Données projet'!$B$12,Paramètres!$A$1:$I$89,3,0)*0.475*44/12</f>
        <v>3.2755023871620088E-7</v>
      </c>
      <c r="CN75" s="24">
        <f t="shared" si="66"/>
        <v>0.55441970314954825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3.6</v>
      </c>
      <c r="CT75" s="13">
        <f>IF('Données projet'!$A$140&gt;35,CT74+CS75-DB74,IF(A75&lt;'Données projet'!$A$140,$CQ$205^A75,IF(A75='Données projet'!$A$140,'Données projet'!$B$140,CT74+CS75-DB74)))</f>
        <v>179.19999999999982</v>
      </c>
      <c r="CU75" s="18">
        <f>CT75*VLOOKUP('Données projet'!$B$13,Paramètres!$A$1:$I$89,3,0)*VLOOKUP('Données projet'!$B$13,Paramètres!$A$1:$I$89,5,0)</f>
        <v>117.41183999999988</v>
      </c>
      <c r="CV75" s="14">
        <f t="shared" si="95"/>
        <v>31.070589593507016</v>
      </c>
      <c r="CW75" s="22">
        <f t="shared" si="67"/>
        <v>258.60689820869118</v>
      </c>
      <c r="CX75" s="62">
        <f t="shared" si="68"/>
        <v>551.94023154202455</v>
      </c>
      <c r="CY75" s="62">
        <f ca="1">AVERAGE(OFFSET($CX$3,0,0,'Données projet'!$E$13+1,1))-AVERAGE(OFFSET($H$3,0,0,'Données projet'!$E$13+1,1))</f>
        <v>118.65321241325523</v>
      </c>
      <c r="CZ75" s="62">
        <f t="shared" si="96"/>
        <v>140.55041555757327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254.39999999999992</v>
      </c>
      <c r="DP75" s="18">
        <f>DO75*VLOOKUP('Données projet'!$B$14,Paramètres!$A$1:$I$89,3,0)*VLOOKUP('Données projet'!$B$14,Paramètres!$A$1:$I$89,5,0)</f>
        <v>257.96159999999992</v>
      </c>
      <c r="DQ75" s="14">
        <f t="shared" si="97"/>
        <v>62.287674609742481</v>
      </c>
      <c r="DR75" s="22">
        <f t="shared" si="70"/>
        <v>557.76748661196802</v>
      </c>
      <c r="DS75" s="62">
        <f t="shared" si="71"/>
        <v>851.10081994530128</v>
      </c>
      <c r="DT75" s="62">
        <f ca="1">AVERAGE(OFFSET($DS$3,0,0,'Données projet'!$E$14+1,1))-AVERAGE(OFFSET($H$3,0,0,'Données projet'!$E$14+1,1))</f>
        <v>328.70784159273131</v>
      </c>
      <c r="DU75" s="62">
        <f t="shared" si="98"/>
        <v>193.18009444354601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</v>
      </c>
      <c r="N76" s="14">
        <f>IF('Données projet'!$A$36&gt;35,N75+M76-V75,IF(A76&lt;'Données projet'!$A$36,$K$205^A76,IF(A76='Données projet'!$A$36,'Données projet'!$B$36,N75+M76-V75)))</f>
        <v>187</v>
      </c>
      <c r="O76" s="14">
        <f>N76*VLOOKUP('Données projet'!$B$9,Paramètres!$A$1:$I$89,3,0)*VLOOKUP('Données projet'!$B$9,Paramètres!$A$1:$I$89,5,0)</f>
        <v>169.19759999999999</v>
      </c>
      <c r="P76" s="14">
        <f t="shared" si="87"/>
        <v>42.910263223432885</v>
      </c>
      <c r="Q76" s="22">
        <f t="shared" si="54"/>
        <v>369.42119511414558</v>
      </c>
      <c r="R76" s="62">
        <f t="shared" si="55"/>
        <v>662.75452844747883</v>
      </c>
      <c r="S76" s="62">
        <f ca="1">AVERAGE(OFFSET($R$3,0,0,'Données projet'!$E$9+1,1))-AVERAGE(OFFSET($H$3,0,0,'Données projet'!$E$9+1,1))</f>
        <v>177.70053246230015</v>
      </c>
      <c r="T76" s="62">
        <f t="shared" si="88"/>
        <v>85.631326020763254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</v>
      </c>
      <c r="AI76" s="14">
        <f>IF('Données projet'!$A$62&gt;35,AI75+AH76-AQ75,IF(A76&lt;'Données projet'!$A$62,$AF$205^A76,IF(A76='Données projet'!$A$62,'Données projet'!$B$62,AI75+AH76-AQ75)))</f>
        <v>197.19999999999996</v>
      </c>
      <c r="AJ76" s="14">
        <f>AI76*VLOOKUP('Données projet'!$B$10,Paramètres!$A$1:$I$89,3,0)*VLOOKUP('Données projet'!$B$10,Paramètres!$A$1:$I$89,5,0)</f>
        <v>172.27391999999998</v>
      </c>
      <c r="AK76" s="14">
        <f t="shared" si="89"/>
        <v>43.598911513699605</v>
      </c>
      <c r="AL76" s="22">
        <f t="shared" si="58"/>
        <v>375.97851488636002</v>
      </c>
      <c r="AM76" s="62">
        <f t="shared" si="59"/>
        <v>669.31184821969327</v>
      </c>
      <c r="AN76" s="62">
        <f ca="1">AVERAGE(OFFSET($AM$3,0,0,'Données projet'!$E$10+1,1))-AVERAGE(OFFSET($H$3,0,0,'Données projet'!$E$10+1,1))</f>
        <v>212.11273590951606</v>
      </c>
      <c r="AO76" s="62">
        <f t="shared" si="90"/>
        <v>240.9595690943346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2.2737367544323206E-13</v>
      </c>
      <c r="BE76" s="14">
        <f>BD76*VLOOKUP('Données projet'!$B$11,Paramètres!$A$1:$I$89,3,0)*VLOOKUP('Données projet'!$B$11,Paramètres!$A$1:$I$89,5,0)</f>
        <v>1.3596945791505279E-13</v>
      </c>
      <c r="BF76" s="14">
        <f t="shared" si="91"/>
        <v>1.9708830566360721E-12</v>
      </c>
      <c r="BG76" s="22">
        <f t="shared" si="61"/>
        <v>3.669434796176543E-12</v>
      </c>
      <c r="BH76" s="62">
        <f t="shared" si="62"/>
        <v>293.33333333333701</v>
      </c>
      <c r="BI76" s="62">
        <f ca="1">AVERAGE(OFFSET($BH$3,0,0,'Données projet'!$E$11+1,1))-AVERAGE(OFFSET($H$3,0,0,'Données projet'!$E$11+1,1))</f>
        <v>172.49153247238672</v>
      </c>
      <c r="BJ76" s="62">
        <f t="shared" si="92"/>
        <v>301.94982606323254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12.321394871228877</v>
      </c>
      <c r="BQ76" s="23">
        <f>EXP(-LN(2)/25)*BQ75+(1-EXP(-LN(2)/25))/(LN(2)/25)*Calculateur!BL76*Calculateur!BN76*VLOOKUP('Données projet'!$B$11,Paramètres!$A$1:$I$89,3,0)*0.475*44/12</f>
        <v>4.1977803908371847</v>
      </c>
      <c r="BR76" s="23">
        <f>EXP(-LN(2)/2)*BR75+(1-EXP(-LN(2)/2))/(LN(2)/2)*BL76*BO76*VLOOKUP('Données projet'!$B$11,Paramètres!$A$1:$I$89,3,0)*0.475*44/12</f>
        <v>1.9637142639009319E-6</v>
      </c>
      <c r="BS76" s="24">
        <f t="shared" si="63"/>
        <v>16.519177225780329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8.3000000000000007</v>
      </c>
      <c r="BY76" s="13">
        <f>IF('Données projet'!$A$114&gt;35,BY75+BX76-CG75,IF(A76&lt;'Données projet'!$A$114,$BV$205^A76,IF(A76='Données projet'!$A$114,'Données projet'!$B$114,BY75+BX76-CG75)))</f>
        <v>336.90000000000026</v>
      </c>
      <c r="BZ76" s="14">
        <f>BY76*VLOOKUP('Données projet'!$B$12,Paramètres!$A$1:$I$89,3,0)*VLOOKUP('Données projet'!$B$12,Paramètres!$A$1:$I$89,5,0)</f>
        <v>192.70680000000013</v>
      </c>
      <c r="CA76" s="14">
        <f t="shared" si="93"/>
        <v>48.137894326591152</v>
      </c>
      <c r="CB76" s="22">
        <f t="shared" si="64"/>
        <v>419.4711759521465</v>
      </c>
      <c r="CC76" s="62">
        <f t="shared" si="65"/>
        <v>712.80450928547975</v>
      </c>
      <c r="CD76" s="62">
        <f ca="1">AVERAGE(OFFSET($CC$3,0,0,'Données projet'!$E$12+1,1))-AVERAGE(OFFSET($H$3,0,0,'Données projet'!$E$12+1,1))</f>
        <v>177.71338645688661</v>
      </c>
      <c r="CE76" s="62">
        <f t="shared" si="94"/>
        <v>153.65872713651345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0.53925874861789858</v>
      </c>
      <c r="CM76" s="23">
        <f>EXP(-LN(2)/2)*CM75+(1-EXP(-LN(2)/2))/(LN(2)/2)*CG76*CJ76*VLOOKUP('Données projet'!$B$12,Paramètres!$A$1:$I$89,3,0)*0.475*44/12</f>
        <v>2.3161299497549807E-7</v>
      </c>
      <c r="CN76" s="24">
        <f t="shared" si="66"/>
        <v>0.53925898023089358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3.6</v>
      </c>
      <c r="CT76" s="13">
        <f>IF('Données projet'!$A$140&gt;35,CT75+CS76-DB75,IF(A76&lt;'Données projet'!$A$140,$CQ$205^A76,IF(A76='Données projet'!$A$140,'Données projet'!$B$140,CT75+CS76-DB75)))</f>
        <v>182.79999999999981</v>
      </c>
      <c r="CU76" s="18">
        <f>CT76*VLOOKUP('Données projet'!$B$13,Paramètres!$A$1:$I$89,3,0)*VLOOKUP('Données projet'!$B$13,Paramètres!$A$1:$I$89,5,0)</f>
        <v>119.77055999999989</v>
      </c>
      <c r="CV76" s="14">
        <f t="shared" si="95"/>
        <v>31.621480222860772</v>
      </c>
      <c r="CW76" s="22">
        <f t="shared" si="67"/>
        <v>263.67447005481563</v>
      </c>
      <c r="CX76" s="62">
        <f t="shared" si="68"/>
        <v>557.00780338814889</v>
      </c>
      <c r="CY76" s="62">
        <f ca="1">AVERAGE(OFFSET($CX$3,0,0,'Données projet'!$E$13+1,1))-AVERAGE(OFFSET($H$3,0,0,'Données projet'!$E$13+1,1))</f>
        <v>118.65321241325523</v>
      </c>
      <c r="CZ76" s="62">
        <f t="shared" si="96"/>
        <v>140.55041555757327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260.59999999999991</v>
      </c>
      <c r="DP76" s="18">
        <f>DO76*VLOOKUP('Données projet'!$B$14,Paramètres!$A$1:$I$89,3,0)*VLOOKUP('Données projet'!$B$14,Paramètres!$A$1:$I$89,5,0)</f>
        <v>264.24839999999995</v>
      </c>
      <c r="DQ76" s="14">
        <f t="shared" si="97"/>
        <v>63.627109143733414</v>
      </c>
      <c r="DR76" s="22">
        <f t="shared" si="70"/>
        <v>571.04984509200233</v>
      </c>
      <c r="DS76" s="62">
        <f t="shared" si="71"/>
        <v>864.3831784253357</v>
      </c>
      <c r="DT76" s="62">
        <f ca="1">AVERAGE(OFFSET($DS$3,0,0,'Données projet'!$E$14+1,1))-AVERAGE(OFFSET($H$3,0,0,'Données projet'!$E$14+1,1))</f>
        <v>328.70784159273131</v>
      </c>
      <c r="DU76" s="62">
        <f t="shared" si="98"/>
        <v>193.18009444354601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</v>
      </c>
      <c r="N77" s="14">
        <f>IF('Données projet'!$A$36&gt;35,N76+M77-V76,IF(A77&lt;'Données projet'!$A$36,$K$205^A77,IF(A77='Données projet'!$A$36,'Données projet'!$B$36,N76+M77-V76)))</f>
        <v>192</v>
      </c>
      <c r="O77" s="14">
        <f>N77*VLOOKUP('Données projet'!$B$9,Paramètres!$A$1:$I$89,3,0)*VLOOKUP('Données projet'!$B$9,Paramètres!$A$1:$I$89,5,0)</f>
        <v>173.7216</v>
      </c>
      <c r="P77" s="14">
        <f t="shared" si="87"/>
        <v>43.922484755075111</v>
      </c>
      <c r="Q77" s="22">
        <f t="shared" si="54"/>
        <v>379.06344761508916</v>
      </c>
      <c r="R77" s="62">
        <f t="shared" si="55"/>
        <v>672.39678094842247</v>
      </c>
      <c r="S77" s="62">
        <f ca="1">AVERAGE(OFFSET($R$3,0,0,'Données projet'!$E$9+1,1))-AVERAGE(OFFSET($H$3,0,0,'Données projet'!$E$9+1,1))</f>
        <v>177.70053246230015</v>
      </c>
      <c r="T77" s="62">
        <f t="shared" si="88"/>
        <v>85.631326020763254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</v>
      </c>
      <c r="AI77" s="14">
        <f>IF('Données projet'!$A$62&gt;35,AI76+AH77-AQ76,IF(A77&lt;'Données projet'!$A$62,$AF$205^A77,IF(A77='Données projet'!$A$62,'Données projet'!$B$62,AI76+AH77-AQ76)))</f>
        <v>200.59999999999997</v>
      </c>
      <c r="AJ77" s="14">
        <f>AI77*VLOOKUP('Données projet'!$B$10,Paramètres!$A$1:$I$89,3,0)*VLOOKUP('Données projet'!$B$10,Paramètres!$A$1:$I$89,5,0)</f>
        <v>175.24415999999999</v>
      </c>
      <c r="AK77" s="14">
        <f t="shared" si="89"/>
        <v>44.262456119927037</v>
      </c>
      <c r="AL77" s="22">
        <f t="shared" si="58"/>
        <v>382.30735640887292</v>
      </c>
      <c r="AM77" s="62">
        <f t="shared" si="59"/>
        <v>675.64068974220618</v>
      </c>
      <c r="AN77" s="62">
        <f ca="1">AVERAGE(OFFSET($AM$3,0,0,'Données projet'!$E$10+1,1))-AVERAGE(OFFSET($H$3,0,0,'Données projet'!$E$10+1,1))</f>
        <v>212.11273590951606</v>
      </c>
      <c r="AO77" s="62">
        <f t="shared" si="90"/>
        <v>240.9595690943346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2.2737367544323206E-13</v>
      </c>
      <c r="BE77" s="14">
        <f>BD77*VLOOKUP('Données projet'!$B$11,Paramètres!$A$1:$I$89,3,0)*VLOOKUP('Données projet'!$B$11,Paramètres!$A$1:$I$89,5,0)</f>
        <v>1.3596945791505279E-13</v>
      </c>
      <c r="BF77" s="14">
        <f t="shared" si="91"/>
        <v>1.9708830566360721E-12</v>
      </c>
      <c r="BG77" s="22">
        <f t="shared" si="61"/>
        <v>3.669434796176543E-12</v>
      </c>
      <c r="BH77" s="62">
        <f t="shared" si="62"/>
        <v>293.33333333333701</v>
      </c>
      <c r="BI77" s="62">
        <f ca="1">AVERAGE(OFFSET($BH$3,0,0,'Données projet'!$E$11+1,1))-AVERAGE(OFFSET($H$3,0,0,'Données projet'!$E$11+1,1))</f>
        <v>172.49153247238672</v>
      </c>
      <c r="BJ77" s="62">
        <f t="shared" si="92"/>
        <v>301.94982606323254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12.079779833112875</v>
      </c>
      <c r="BQ77" s="23">
        <f>EXP(-LN(2)/25)*BQ76+(1-EXP(-LN(2)/25))/(LN(2)/25)*Calculateur!BL77*Calculateur!BN77*VLOOKUP('Données projet'!$B$11,Paramètres!$A$1:$I$89,3,0)*0.475*44/12</f>
        <v>4.082991865298065</v>
      </c>
      <c r="BR77" s="23">
        <f>EXP(-LN(2)/2)*BR76+(1-EXP(-LN(2)/2))/(LN(2)/2)*BL77*BO77*VLOOKUP('Données projet'!$B$11,Paramètres!$A$1:$I$89,3,0)*0.475*44/12</f>
        <v>1.3885556723170985E-6</v>
      </c>
      <c r="BS77" s="24">
        <f t="shared" si="63"/>
        <v>16.162773086966613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8.3000000000000007</v>
      </c>
      <c r="BY77" s="13">
        <f>IF('Données projet'!$A$114&gt;35,BY76+BX77-CG76,IF(A77&lt;'Données projet'!$A$114,$BV$205^A77,IF(A77='Données projet'!$A$114,'Données projet'!$B$114,BY76+BX77-CG76)))</f>
        <v>345.20000000000027</v>
      </c>
      <c r="BZ77" s="14">
        <f>BY77*VLOOKUP('Données projet'!$B$12,Paramètres!$A$1:$I$89,3,0)*VLOOKUP('Données projet'!$B$12,Paramètres!$A$1:$I$89,5,0)</f>
        <v>197.45440000000016</v>
      </c>
      <c r="CA77" s="14">
        <f t="shared" si="93"/>
        <v>49.184305496332875</v>
      </c>
      <c r="CB77" s="22">
        <f t="shared" si="64"/>
        <v>429.56241207278003</v>
      </c>
      <c r="CC77" s="62">
        <f t="shared" si="65"/>
        <v>722.89574540611329</v>
      </c>
      <c r="CD77" s="62">
        <f ca="1">AVERAGE(OFFSET($CC$3,0,0,'Données projet'!$E$12+1,1))-AVERAGE(OFFSET($H$3,0,0,'Données projet'!$E$12+1,1))</f>
        <v>177.71338645688661</v>
      </c>
      <c r="CE77" s="62">
        <f t="shared" si="94"/>
        <v>153.65872713651345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0.52451268977855703</v>
      </c>
      <c r="CM77" s="23">
        <f>EXP(-LN(2)/2)*CM76+(1-EXP(-LN(2)/2))/(LN(2)/2)*CG77*CJ77*VLOOKUP('Données projet'!$B$12,Paramètres!$A$1:$I$89,3,0)*0.475*44/12</f>
        <v>1.6377511935810047E-7</v>
      </c>
      <c r="CN77" s="24">
        <f t="shared" si="66"/>
        <v>0.52451285355367638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3.6</v>
      </c>
      <c r="CT77" s="13">
        <f>IF('Données projet'!$A$140&gt;35,CT76+CS77-DB76,IF(A77&lt;'Données projet'!$A$140,$CQ$205^A77,IF(A77='Données projet'!$A$140,'Données projet'!$B$140,CT76+CS77-DB76)))</f>
        <v>186.39999999999981</v>
      </c>
      <c r="CU77" s="18">
        <f>CT77*VLOOKUP('Données projet'!$B$13,Paramètres!$A$1:$I$89,3,0)*VLOOKUP('Données projet'!$B$13,Paramètres!$A$1:$I$89,5,0)</f>
        <v>122.12927999999987</v>
      </c>
      <c r="CV77" s="14">
        <f t="shared" si="95"/>
        <v>32.171109382958136</v>
      </c>
      <c r="CW77" s="22">
        <f t="shared" si="67"/>
        <v>268.73984484198519</v>
      </c>
      <c r="CX77" s="62">
        <f t="shared" si="68"/>
        <v>562.0731781753185</v>
      </c>
      <c r="CY77" s="62">
        <f ca="1">AVERAGE(OFFSET($CX$3,0,0,'Données projet'!$E$13+1,1))-AVERAGE(OFFSET($H$3,0,0,'Données projet'!$E$13+1,1))</f>
        <v>118.65321241325523</v>
      </c>
      <c r="CZ77" s="62">
        <f t="shared" si="96"/>
        <v>140.55041555757327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266.7999999999999</v>
      </c>
      <c r="DP77" s="18">
        <f>DO77*VLOOKUP('Données projet'!$B$14,Paramètres!$A$1:$I$89,3,0)*VLOOKUP('Données projet'!$B$14,Paramètres!$A$1:$I$89,5,0)</f>
        <v>270.53519999999992</v>
      </c>
      <c r="DQ77" s="14">
        <f t="shared" si="97"/>
        <v>64.962839141501405</v>
      </c>
      <c r="DR77" s="22">
        <f t="shared" si="70"/>
        <v>584.32575150478135</v>
      </c>
      <c r="DS77" s="62">
        <f t="shared" si="71"/>
        <v>877.65908483811472</v>
      </c>
      <c r="DT77" s="62">
        <f ca="1">AVERAGE(OFFSET($DS$3,0,0,'Données projet'!$E$14+1,1))-AVERAGE(OFFSET($H$3,0,0,'Données projet'!$E$14+1,1))</f>
        <v>328.70784159273131</v>
      </c>
      <c r="DU77" s="62">
        <f t="shared" si="98"/>
        <v>193.18009444354601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197</v>
      </c>
      <c r="L78" s="13">
        <f>VLOOKUP(A78,'Données projet'!$A$35:$I$55,9,0)</f>
        <v>5</v>
      </c>
      <c r="M78" s="13">
        <f t="array" ref="M78">INDEX(L:L,MIN(IF(ISNUMBER(L78:L274),ROW(L78:L274),"")))</f>
        <v>5</v>
      </c>
      <c r="N78" s="14">
        <f>IF('Données projet'!$A$36&gt;35,N77+M78-V77,IF(A78&lt;'Données projet'!$A$36,$K$205^A78,IF(A78='Données projet'!$A$36,'Données projet'!$B$36,N77+M78-V77)))</f>
        <v>197</v>
      </c>
      <c r="O78" s="14">
        <f>N78*VLOOKUP('Données projet'!$B$9,Paramètres!$A$1:$I$89,3,0)*VLOOKUP('Données projet'!$B$9,Paramètres!$A$1:$I$89,5,0)</f>
        <v>178.2456</v>
      </c>
      <c r="P78" s="14">
        <f t="shared" si="87"/>
        <v>44.931642269910427</v>
      </c>
      <c r="Q78" s="22">
        <f t="shared" si="54"/>
        <v>388.70036362009404</v>
      </c>
      <c r="R78" s="62">
        <f t="shared" si="55"/>
        <v>682.03369695342735</v>
      </c>
      <c r="S78" s="62">
        <f ca="1">AVERAGE(OFFSET($R$3,0,0,'Données projet'!$E$9+1,1))-AVERAGE(OFFSET($H$3,0,0,'Données projet'!$E$9+1,1))</f>
        <v>177.70053246230015</v>
      </c>
      <c r="T78" s="62">
        <f t="shared" si="88"/>
        <v>85.631326020763254</v>
      </c>
      <c r="U78" s="16">
        <f>IF(ISNA(VLOOKUP(A78,'Données projet'!$A$35:$I$55,3,0)),0,VLOOKUP(A78,'Données projet'!$A$35:$I$55,3,0))</f>
        <v>5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204</v>
      </c>
      <c r="AG78" s="13">
        <f>VLOOKUP(A78,'Données projet'!$A$61:$I$81,9,0)</f>
        <v>3.4</v>
      </c>
      <c r="AH78" s="13">
        <f t="array" ref="AH78">INDEX(AG:AG,MIN(IF(ISNUMBER(AG78:AG274),ROW(AG78:AG274),"")))</f>
        <v>3.4</v>
      </c>
      <c r="AI78" s="14">
        <f>IF('Données projet'!$A$62&gt;35,AI77+AH78-AQ77,IF(A78&lt;'Données projet'!$A$62,$AF$205^A78,IF(A78='Données projet'!$A$62,'Données projet'!$B$62,AI77+AH78-AQ77)))</f>
        <v>203.99999999999997</v>
      </c>
      <c r="AJ78" s="14">
        <f>AI78*VLOOKUP('Données projet'!$B$10,Paramètres!$A$1:$I$89,3,0)*VLOOKUP('Données projet'!$B$10,Paramètres!$A$1:$I$89,5,0)</f>
        <v>178.21440000000001</v>
      </c>
      <c r="AK78" s="14">
        <f t="shared" si="89"/>
        <v>44.924692855664368</v>
      </c>
      <c r="AL78" s="22">
        <f t="shared" si="58"/>
        <v>388.63392005694874</v>
      </c>
      <c r="AM78" s="62">
        <f t="shared" si="59"/>
        <v>681.96725339028205</v>
      </c>
      <c r="AN78" s="62">
        <f ca="1">AVERAGE(OFFSET($AM$3,0,0,'Données projet'!$E$10+1,1))-AVERAGE(OFFSET($H$3,0,0,'Données projet'!$E$10+1,1))</f>
        <v>212.11273590951606</v>
      </c>
      <c r="AO78" s="62">
        <f t="shared" si="90"/>
        <v>240.9595690943346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2.2737367544323206E-13</v>
      </c>
      <c r="BE78" s="14">
        <f>BD78*VLOOKUP('Données projet'!$B$11,Paramètres!$A$1:$I$89,3,0)*VLOOKUP('Données projet'!$B$11,Paramètres!$A$1:$I$89,5,0)</f>
        <v>1.3596945791505279E-13</v>
      </c>
      <c r="BF78" s="14">
        <f t="shared" si="91"/>
        <v>1.9708830566360721E-12</v>
      </c>
      <c r="BG78" s="22">
        <f t="shared" si="61"/>
        <v>3.669434796176543E-12</v>
      </c>
      <c r="BH78" s="62">
        <f t="shared" si="62"/>
        <v>293.33333333333701</v>
      </c>
      <c r="BI78" s="62">
        <f ca="1">AVERAGE(OFFSET($BH$3,0,0,'Données projet'!$E$11+1,1))-AVERAGE(OFFSET($H$3,0,0,'Données projet'!$E$11+1,1))</f>
        <v>172.49153247238672</v>
      </c>
      <c r="BJ78" s="62">
        <f t="shared" si="92"/>
        <v>301.94982606323254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11.842902718523707</v>
      </c>
      <c r="BQ78" s="23">
        <f>EXP(-LN(2)/25)*BQ77+(1-EXP(-LN(2)/25))/(LN(2)/25)*Calculateur!BL78*Calculateur!BN78*VLOOKUP('Données projet'!$B$11,Paramètres!$A$1:$I$89,3,0)*0.475*44/12</f>
        <v>3.9713422380262791</v>
      </c>
      <c r="BR78" s="23">
        <f>EXP(-LN(2)/2)*BR77+(1-EXP(-LN(2)/2))/(LN(2)/2)*BL78*BO78*VLOOKUP('Données projet'!$B$11,Paramètres!$A$1:$I$89,3,0)*0.475*44/12</f>
        <v>9.8185713195046594E-7</v>
      </c>
      <c r="BS78" s="24">
        <f t="shared" si="63"/>
        <v>15.814245938407119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8.3000000000000007</v>
      </c>
      <c r="BY78" s="13">
        <f>IF('Données projet'!$A$114&gt;35,BY77+BX78-CG77,IF(A78&lt;'Données projet'!$A$114,$BV$205^A78,IF(A78='Données projet'!$A$114,'Données projet'!$B$114,BY77+BX78-CG77)))</f>
        <v>353.50000000000028</v>
      </c>
      <c r="BZ78" s="14">
        <f>BY78*VLOOKUP('Données projet'!$B$12,Paramètres!$A$1:$I$89,3,0)*VLOOKUP('Données projet'!$B$12,Paramètres!$A$1:$I$89,5,0)</f>
        <v>202.20200000000017</v>
      </c>
      <c r="CA78" s="14">
        <f t="shared" si="93"/>
        <v>50.227791845116791</v>
      </c>
      <c r="CB78" s="22">
        <f t="shared" si="64"/>
        <v>439.64855413024537</v>
      </c>
      <c r="CC78" s="62">
        <f t="shared" si="65"/>
        <v>732.98188746357869</v>
      </c>
      <c r="CD78" s="62">
        <f ca="1">AVERAGE(OFFSET($CC$3,0,0,'Données projet'!$E$12+1,1))-AVERAGE(OFFSET($H$3,0,0,'Données projet'!$E$12+1,1))</f>
        <v>177.71338645688661</v>
      </c>
      <c r="CE78" s="62">
        <f t="shared" si="94"/>
        <v>153.65872713651345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0.51016986269363884</v>
      </c>
      <c r="CM78" s="23">
        <f>EXP(-LN(2)/2)*CM77+(1-EXP(-LN(2)/2))/(LN(2)/2)*CG78*CJ78*VLOOKUP('Données projet'!$B$12,Paramètres!$A$1:$I$89,3,0)*0.475*44/12</f>
        <v>1.1580649748774906E-7</v>
      </c>
      <c r="CN78" s="24">
        <f t="shared" si="66"/>
        <v>0.51016997850013635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190</v>
      </c>
      <c r="CR78" s="13">
        <f>VLOOKUP(A78,'Données projet'!$A$139:$I$159,9,0)</f>
        <v>3.6</v>
      </c>
      <c r="CS78" s="13">
        <f t="array" ref="CS78">INDEX(CR:CR,MIN(IF(ISNUMBER(CR78:CR274),ROW(CR78:CR274),"")))</f>
        <v>3.6</v>
      </c>
      <c r="CT78" s="13">
        <f>IF('Données projet'!$A$140&gt;35,CT77+CS78-DB77,IF(A78&lt;'Données projet'!$A$140,$CQ$205^A78,IF(A78='Données projet'!$A$140,'Données projet'!$B$140,CT77+CS78-DB77)))</f>
        <v>189.9999999999998</v>
      </c>
      <c r="CU78" s="18">
        <f>CT78*VLOOKUP('Données projet'!$B$13,Paramètres!$A$1:$I$89,3,0)*VLOOKUP('Données projet'!$B$13,Paramètres!$A$1:$I$89,5,0)</f>
        <v>124.48799999999987</v>
      </c>
      <c r="CV78" s="14">
        <f t="shared" si="95"/>
        <v>32.719504245667238</v>
      </c>
      <c r="CW78" s="22">
        <f t="shared" si="67"/>
        <v>273.80306989453686</v>
      </c>
      <c r="CX78" s="62">
        <f t="shared" si="68"/>
        <v>567.13640322787023</v>
      </c>
      <c r="CY78" s="62">
        <f ca="1">AVERAGE(OFFSET($CX$3,0,0,'Données projet'!$E$13+1,1))-AVERAGE(OFFSET($H$3,0,0,'Données projet'!$E$13+1,1))</f>
        <v>118.65321241325523</v>
      </c>
      <c r="CZ78" s="62">
        <f t="shared" si="96"/>
        <v>140.55041555757327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29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273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272.99999999999989</v>
      </c>
      <c r="DP78" s="18">
        <f>DO78*VLOOKUP('Données projet'!$B$14,Paramètres!$A$1:$I$89,3,0)*VLOOKUP('Données projet'!$B$14,Paramètres!$A$1:$I$89,5,0)</f>
        <v>276.82199999999989</v>
      </c>
      <c r="DQ78" s="14">
        <f t="shared" si="97"/>
        <v>66.29496059864374</v>
      </c>
      <c r="DR78" s="22">
        <f t="shared" si="70"/>
        <v>597.59537304263756</v>
      </c>
      <c r="DS78" s="62">
        <f t="shared" si="71"/>
        <v>890.92870637597093</v>
      </c>
      <c r="DT78" s="62">
        <f ca="1">AVERAGE(OFFSET($DS$3,0,0,'Données projet'!$E$14+1,1))-AVERAGE(OFFSET($H$3,0,0,'Données projet'!$E$14+1,1))</f>
        <v>328.70784159273131</v>
      </c>
      <c r="DU78" s="62">
        <f t="shared" si="98"/>
        <v>193.18009444354601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42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4.5999999999999996</v>
      </c>
      <c r="N79" s="14">
        <f>IF('Données projet'!$A$36&gt;35,N78+M79-V78,IF(A79&lt;'Données projet'!$A$36,$K$205^A79,IF(A79='Données projet'!$A$36,'Données projet'!$B$36,N78+M79-V78)))</f>
        <v>173.6</v>
      </c>
      <c r="O79" s="14">
        <f>N79*VLOOKUP('Données projet'!$B$9,Paramètres!$A$1:$I$89,3,0)*VLOOKUP('Données projet'!$B$9,Paramètres!$A$1:$I$89,5,0)</f>
        <v>157.07327999999998</v>
      </c>
      <c r="P79" s="14">
        <f t="shared" si="87"/>
        <v>40.181677940049241</v>
      </c>
      <c r="Q79" s="22">
        <f t="shared" si="54"/>
        <v>343.55238507891909</v>
      </c>
      <c r="R79" s="62">
        <f t="shared" si="55"/>
        <v>636.88571841225234</v>
      </c>
      <c r="S79" s="62">
        <f ca="1">AVERAGE(OFFSET($R$3,0,0,'Données projet'!$E$9+1,1))-AVERAGE(OFFSET($H$3,0,0,'Données projet'!$E$9+1,1))</f>
        <v>177.70053246230015</v>
      </c>
      <c r="T79" s="62">
        <f t="shared" si="88"/>
        <v>85.631326020763254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3.2</v>
      </c>
      <c r="AI79" s="14">
        <f>IF('Données projet'!$A$62&gt;35,AI78+AH79-AQ78,IF(A79&lt;'Données projet'!$A$62,$AF$205^A79,IF(A79='Données projet'!$A$62,'Données projet'!$B$62,AI78+AH79-AQ78)))</f>
        <v>207.19999999999996</v>
      </c>
      <c r="AJ79" s="14">
        <f>AI79*VLOOKUP('Données projet'!$B$10,Paramètres!$A$1:$I$89,3,0)*VLOOKUP('Données projet'!$B$10,Paramètres!$A$1:$I$89,5,0)</f>
        <v>181.00991999999997</v>
      </c>
      <c r="AK79" s="14">
        <f t="shared" si="89"/>
        <v>45.546801542636274</v>
      </c>
      <c r="AL79" s="22">
        <f t="shared" si="58"/>
        <v>394.58629002009144</v>
      </c>
      <c r="AM79" s="62">
        <f t="shared" si="59"/>
        <v>687.91962335342475</v>
      </c>
      <c r="AN79" s="62">
        <f ca="1">AVERAGE(OFFSET($AM$3,0,0,'Données projet'!$E$10+1,1))-AVERAGE(OFFSET($H$3,0,0,'Données projet'!$E$10+1,1))</f>
        <v>212.11273590951606</v>
      </c>
      <c r="AO79" s="62">
        <f t="shared" si="90"/>
        <v>240.9595690943346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2.2737367544323206E-13</v>
      </c>
      <c r="BE79" s="14">
        <f>BD79*VLOOKUP('Données projet'!$B$11,Paramètres!$A$1:$I$89,3,0)*VLOOKUP('Données projet'!$B$11,Paramètres!$A$1:$I$89,5,0)</f>
        <v>1.3596945791505279E-13</v>
      </c>
      <c r="BF79" s="14">
        <f t="shared" si="91"/>
        <v>1.9708830566360721E-12</v>
      </c>
      <c r="BG79" s="22">
        <f t="shared" si="61"/>
        <v>3.669434796176543E-12</v>
      </c>
      <c r="BH79" s="62">
        <f t="shared" si="62"/>
        <v>293.33333333333701</v>
      </c>
      <c r="BI79" s="62">
        <f ca="1">AVERAGE(OFFSET($BH$3,0,0,'Données projet'!$E$11+1,1))-AVERAGE(OFFSET($H$3,0,0,'Données projet'!$E$11+1,1))</f>
        <v>172.49153247238672</v>
      </c>
      <c r="BJ79" s="62">
        <f t="shared" si="92"/>
        <v>301.94982606323254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11.610670619670858</v>
      </c>
      <c r="BQ79" s="23">
        <f>EXP(-LN(2)/25)*BQ78+(1-EXP(-LN(2)/25))/(LN(2)/25)*Calculateur!BL79*Calculateur!BN79*VLOOKUP('Données projet'!$B$11,Paramètres!$A$1:$I$89,3,0)*0.475*44/12</f>
        <v>3.8627456756836387</v>
      </c>
      <c r="BR79" s="23">
        <f>EXP(-LN(2)/2)*BR78+(1-EXP(-LN(2)/2))/(LN(2)/2)*BL79*BO79*VLOOKUP('Données projet'!$B$11,Paramètres!$A$1:$I$89,3,0)*0.475*44/12</f>
        <v>6.9427783615854925E-7</v>
      </c>
      <c r="BS79" s="24">
        <f t="shared" si="63"/>
        <v>15.473416989632334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8.3000000000000007</v>
      </c>
      <c r="BY79" s="13">
        <f>IF('Données projet'!$A$114&gt;35,BY78+BX79-CG78,IF(A79&lt;'Données projet'!$A$114,$BV$205^A79,IF(A79='Données projet'!$A$114,'Données projet'!$B$114,BY78+BX79-CG78)))</f>
        <v>361.8000000000003</v>
      </c>
      <c r="BZ79" s="14">
        <f>BY79*VLOOKUP('Données projet'!$B$12,Paramètres!$A$1:$I$89,3,0)*VLOOKUP('Données projet'!$B$12,Paramètres!$A$1:$I$89,5,0)</f>
        <v>206.94960000000017</v>
      </c>
      <c r="CA79" s="14">
        <f t="shared" si="93"/>
        <v>51.268429949375587</v>
      </c>
      <c r="CB79" s="22">
        <f t="shared" si="64"/>
        <v>449.72973549516274</v>
      </c>
      <c r="CC79" s="62">
        <f t="shared" si="65"/>
        <v>743.06306882849606</v>
      </c>
      <c r="CD79" s="62">
        <f ca="1">AVERAGE(OFFSET($CC$3,0,0,'Données projet'!$E$12+1,1))-AVERAGE(OFFSET($H$3,0,0,'Données projet'!$E$12+1,1))</f>
        <v>177.71338645688661</v>
      </c>
      <c r="CE79" s="62">
        <f t="shared" si="94"/>
        <v>153.65872713651345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0.49621924096961423</v>
      </c>
      <c r="CM79" s="23">
        <f>EXP(-LN(2)/2)*CM78+(1-EXP(-LN(2)/2))/(LN(2)/2)*CG79*CJ79*VLOOKUP('Données projet'!$B$12,Paramètres!$A$1:$I$89,3,0)*0.475*44/12</f>
        <v>8.1887559679050247E-8</v>
      </c>
      <c r="CN79" s="24">
        <f t="shared" si="66"/>
        <v>0.49621932285717391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3.4</v>
      </c>
      <c r="CT79" s="13">
        <f>IF('Données projet'!$A$140&gt;35,CT78+CS79-DB78,IF(A79&lt;'Données projet'!$A$140,$CQ$205^A79,IF(A79='Données projet'!$A$140,'Données projet'!$B$140,CT78+CS79-DB78)))</f>
        <v>164.39999999999981</v>
      </c>
      <c r="CU79" s="18">
        <f>CT79*VLOOKUP('Données projet'!$B$13,Paramètres!$A$1:$I$89,3,0)*VLOOKUP('Données projet'!$B$13,Paramètres!$A$1:$I$89,5,0)</f>
        <v>107.71487999999988</v>
      </c>
      <c r="CV79" s="14">
        <f t="shared" si="95"/>
        <v>28.791936453559583</v>
      </c>
      <c r="CW79" s="22">
        <f t="shared" si="67"/>
        <v>237.74937198994937</v>
      </c>
      <c r="CX79" s="62">
        <f t="shared" si="68"/>
        <v>531.08270532328265</v>
      </c>
      <c r="CY79" s="62">
        <f ca="1">AVERAGE(OFFSET($CX$3,0,0,'Données projet'!$E$13+1,1))-AVERAGE(OFFSET($H$3,0,0,'Données projet'!$E$13+1,1))</f>
        <v>118.65321241325523</v>
      </c>
      <c r="CZ79" s="62">
        <f t="shared" si="96"/>
        <v>140.55041555757327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5.9</v>
      </c>
      <c r="DO79" s="13">
        <f>IF('Données projet'!$A$166&gt;35,DO78+DN79-DW78,IF(A79&lt;'Données projet'!$A$166,$DL$205^A79,IF(A79='Données projet'!$A$166,'Données projet'!$B$166,DO78+DN79-DW78)))</f>
        <v>236.89999999999986</v>
      </c>
      <c r="DP79" s="18">
        <f>DO79*VLOOKUP('Données projet'!$B$14,Paramètres!$A$1:$I$89,3,0)*VLOOKUP('Données projet'!$B$14,Paramètres!$A$1:$I$89,5,0)</f>
        <v>240.21659999999989</v>
      </c>
      <c r="DQ79" s="14">
        <f t="shared" si="97"/>
        <v>58.486130580357745</v>
      </c>
      <c r="DR79" s="22">
        <f t="shared" si="70"/>
        <v>520.24058909412281</v>
      </c>
      <c r="DS79" s="62">
        <f t="shared" si="71"/>
        <v>813.57392242745618</v>
      </c>
      <c r="DT79" s="62">
        <f ca="1">AVERAGE(OFFSET($DS$3,0,0,'Données projet'!$E$14+1,1))-AVERAGE(OFFSET($H$3,0,0,'Données projet'!$E$14+1,1))</f>
        <v>328.70784159273131</v>
      </c>
      <c r="DU79" s="62">
        <f t="shared" si="98"/>
        <v>193.18009444354601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4.5999999999999996</v>
      </c>
      <c r="N80" s="14">
        <f>IF('Données projet'!$A$36&gt;35,N79+M80-V79,IF(A80&lt;'Données projet'!$A$36,$K$205^A80,IF(A80='Données projet'!$A$36,'Données projet'!$B$36,N79+M80-V79)))</f>
        <v>178.2</v>
      </c>
      <c r="O80" s="14">
        <f>N80*VLOOKUP('Données projet'!$B$9,Paramètres!$A$1:$I$89,3,0)*VLOOKUP('Données projet'!$B$9,Paramètres!$A$1:$I$89,5,0)</f>
        <v>161.23535999999999</v>
      </c>
      <c r="P80" s="14">
        <f t="shared" si="87"/>
        <v>41.121029451505414</v>
      </c>
      <c r="Q80" s="22">
        <f t="shared" si="54"/>
        <v>352.43737829470524</v>
      </c>
      <c r="R80" s="62">
        <f t="shared" si="55"/>
        <v>645.7707116280385</v>
      </c>
      <c r="S80" s="62">
        <f ca="1">AVERAGE(OFFSET($R$3,0,0,'Données projet'!$E$9+1,1))-AVERAGE(OFFSET($H$3,0,0,'Données projet'!$E$9+1,1))</f>
        <v>177.70053246230015</v>
      </c>
      <c r="T80" s="62">
        <f t="shared" si="88"/>
        <v>85.631326020763254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3.2</v>
      </c>
      <c r="AI80" s="14">
        <f>IF('Données projet'!$A$62&gt;35,AI79+AH80-AQ79,IF(A80&lt;'Données projet'!$A$62,$AF$205^A80,IF(A80='Données projet'!$A$62,'Données projet'!$B$62,AI79+AH80-AQ79)))</f>
        <v>210.39999999999995</v>
      </c>
      <c r="AJ80" s="14">
        <f>AI80*VLOOKUP('Données projet'!$B$10,Paramètres!$A$1:$I$89,3,0)*VLOOKUP('Données projet'!$B$10,Paramètres!$A$1:$I$89,5,0)</f>
        <v>183.80543999999998</v>
      </c>
      <c r="AK80" s="14">
        <f t="shared" si="89"/>
        <v>46.167792832806036</v>
      </c>
      <c r="AL80" s="22">
        <f t="shared" si="58"/>
        <v>400.53671385047045</v>
      </c>
      <c r="AM80" s="62">
        <f t="shared" si="59"/>
        <v>693.87004718380376</v>
      </c>
      <c r="AN80" s="62">
        <f ca="1">AVERAGE(OFFSET($AM$3,0,0,'Données projet'!$E$10+1,1))-AVERAGE(OFFSET($H$3,0,0,'Données projet'!$E$10+1,1))</f>
        <v>212.11273590951606</v>
      </c>
      <c r="AO80" s="62">
        <f t="shared" si="90"/>
        <v>240.9595690943346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2.2737367544323206E-13</v>
      </c>
      <c r="BE80" s="14">
        <f>BD80*VLOOKUP('Données projet'!$B$11,Paramètres!$A$1:$I$89,3,0)*VLOOKUP('Données projet'!$B$11,Paramètres!$A$1:$I$89,5,0)</f>
        <v>1.3596945791505279E-13</v>
      </c>
      <c r="BF80" s="14">
        <f t="shared" si="91"/>
        <v>1.9708830566360721E-12</v>
      </c>
      <c r="BG80" s="22">
        <f t="shared" si="61"/>
        <v>3.669434796176543E-12</v>
      </c>
      <c r="BH80" s="62">
        <f t="shared" si="62"/>
        <v>293.33333333333701</v>
      </c>
      <c r="BI80" s="62">
        <f ca="1">AVERAGE(OFFSET($BH$3,0,0,'Données projet'!$E$11+1,1))-AVERAGE(OFFSET($H$3,0,0,'Données projet'!$E$11+1,1))</f>
        <v>172.49153247238672</v>
      </c>
      <c r="BJ80" s="62">
        <f t="shared" si="92"/>
        <v>301.94982606323254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11.382992450628919</v>
      </c>
      <c r="BQ80" s="23">
        <f>EXP(-LN(2)/25)*BQ79+(1-EXP(-LN(2)/25))/(LN(2)/25)*Calculateur!BL80*Calculateur!BN80*VLOOKUP('Données projet'!$B$11,Paramètres!$A$1:$I$89,3,0)*0.475*44/12</f>
        <v>3.7571186920491031</v>
      </c>
      <c r="BR80" s="23">
        <f>EXP(-LN(2)/2)*BR79+(1-EXP(-LN(2)/2))/(LN(2)/2)*BL80*BO80*VLOOKUP('Données projet'!$B$11,Paramètres!$A$1:$I$89,3,0)*0.475*44/12</f>
        <v>4.9092856597523297E-7</v>
      </c>
      <c r="BS80" s="24">
        <f t="shared" si="63"/>
        <v>15.140111633606587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8.3000000000000007</v>
      </c>
      <c r="BY80" s="13">
        <f>IF('Données projet'!$A$114&gt;35,BY79+BX80-CG79,IF(A80&lt;'Données projet'!$A$114,$BV$205^A80,IF(A80='Données projet'!$A$114,'Données projet'!$B$114,BY79+BX80-CG79)))</f>
        <v>370.10000000000031</v>
      </c>
      <c r="BZ80" s="14">
        <f>BY80*VLOOKUP('Données projet'!$B$12,Paramètres!$A$1:$I$89,3,0)*VLOOKUP('Données projet'!$B$12,Paramètres!$A$1:$I$89,5,0)</f>
        <v>211.69720000000018</v>
      </c>
      <c r="CA80" s="14">
        <f t="shared" si="93"/>
        <v>52.306292671581474</v>
      </c>
      <c r="CB80" s="22">
        <f t="shared" si="64"/>
        <v>459.80608306967133</v>
      </c>
      <c r="CC80" s="62">
        <f t="shared" si="65"/>
        <v>753.13941640300459</v>
      </c>
      <c r="CD80" s="62">
        <f ca="1">AVERAGE(OFFSET($CC$3,0,0,'Données projet'!$E$12+1,1))-AVERAGE(OFFSET($H$3,0,0,'Données projet'!$E$12+1,1))</f>
        <v>177.71338645688661</v>
      </c>
      <c r="CE80" s="62">
        <f t="shared" si="94"/>
        <v>153.65872713651345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0.48265009973026435</v>
      </c>
      <c r="CM80" s="23">
        <f>EXP(-LN(2)/2)*CM79+(1-EXP(-LN(2)/2))/(LN(2)/2)*CG80*CJ80*VLOOKUP('Données projet'!$B$12,Paramètres!$A$1:$I$89,3,0)*0.475*44/12</f>
        <v>5.7903248743874537E-8</v>
      </c>
      <c r="CN80" s="24">
        <f t="shared" si="66"/>
        <v>0.4826501576335131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3.4</v>
      </c>
      <c r="CT80" s="13">
        <f>IF('Données projet'!$A$140&gt;35,CT79+CS80-DB79,IF(A80&lt;'Données projet'!$A$140,$CQ$205^A80,IF(A80='Données projet'!$A$140,'Données projet'!$B$140,CT79+CS80-DB79)))</f>
        <v>167.79999999999981</v>
      </c>
      <c r="CU80" s="18">
        <f>CT80*VLOOKUP('Données projet'!$B$13,Paramètres!$A$1:$I$89,3,0)*VLOOKUP('Données projet'!$B$13,Paramètres!$A$1:$I$89,5,0)</f>
        <v>109.94255999999987</v>
      </c>
      <c r="CV80" s="14">
        <f t="shared" si="95"/>
        <v>29.31745084917295</v>
      </c>
      <c r="CW80" s="22">
        <f t="shared" si="67"/>
        <v>242.54451889564268</v>
      </c>
      <c r="CX80" s="62">
        <f t="shared" si="68"/>
        <v>535.87785222897605</v>
      </c>
      <c r="CY80" s="62">
        <f ca="1">AVERAGE(OFFSET($CX$3,0,0,'Données projet'!$E$13+1,1))-AVERAGE(OFFSET($H$3,0,0,'Données projet'!$E$13+1,1))</f>
        <v>118.65321241325523</v>
      </c>
      <c r="CZ80" s="62">
        <f t="shared" si="96"/>
        <v>140.55041555757327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5.9</v>
      </c>
      <c r="DO80" s="13">
        <f>IF('Données projet'!$A$166&gt;35,DO79+DN80-DW79,IF(A80&lt;'Données projet'!$A$166,$DL$205^A80,IF(A80='Données projet'!$A$166,'Données projet'!$B$166,DO79+DN80-DW79)))</f>
        <v>242.79999999999987</v>
      </c>
      <c r="DP80" s="18">
        <f>DO80*VLOOKUP('Données projet'!$B$14,Paramètres!$A$1:$I$89,3,0)*VLOOKUP('Données projet'!$B$14,Paramètres!$A$1:$I$89,5,0)</f>
        <v>246.19919999999988</v>
      </c>
      <c r="DQ80" s="14">
        <f t="shared" si="97"/>
        <v>59.77133248344078</v>
      </c>
      <c r="DR80" s="22">
        <f t="shared" si="70"/>
        <v>532.89867740865918</v>
      </c>
      <c r="DS80" s="62">
        <f t="shared" si="71"/>
        <v>826.23201074199255</v>
      </c>
      <c r="DT80" s="62">
        <f ca="1">AVERAGE(OFFSET($DS$3,0,0,'Données projet'!$E$14+1,1))-AVERAGE(OFFSET($H$3,0,0,'Données projet'!$E$14+1,1))</f>
        <v>328.70784159273131</v>
      </c>
      <c r="DU80" s="62">
        <f t="shared" si="98"/>
        <v>193.18009444354601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4.5999999999999996</v>
      </c>
      <c r="N81" s="14">
        <f>IF('Données projet'!$A$36&gt;35,N80+M81-V80,IF(A81&lt;'Données projet'!$A$36,$K$205^A81,IF(A81='Données projet'!$A$36,'Données projet'!$B$36,N80+M81-V80)))</f>
        <v>182.79999999999998</v>
      </c>
      <c r="O81" s="14">
        <f>N81*VLOOKUP('Données projet'!$B$9,Paramètres!$A$1:$I$89,3,0)*VLOOKUP('Données projet'!$B$9,Paramètres!$A$1:$I$89,5,0)</f>
        <v>165.39743999999999</v>
      </c>
      <c r="P81" s="14">
        <f t="shared" si="87"/>
        <v>42.057562385840804</v>
      </c>
      <c r="Q81" s="22">
        <f t="shared" si="54"/>
        <v>361.31746248867267</v>
      </c>
      <c r="R81" s="62">
        <f t="shared" si="55"/>
        <v>654.65079582200599</v>
      </c>
      <c r="S81" s="62">
        <f ca="1">AVERAGE(OFFSET($R$3,0,0,'Données projet'!$E$9+1,1))-AVERAGE(OFFSET($H$3,0,0,'Données projet'!$E$9+1,1))</f>
        <v>177.70053246230015</v>
      </c>
      <c r="T81" s="62">
        <f t="shared" si="88"/>
        <v>85.631326020763254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3.2</v>
      </c>
      <c r="AI81" s="14">
        <f>IF('Données projet'!$A$62&gt;35,AI80+AH81-AQ80,IF(A81&lt;'Données projet'!$A$62,$AF$205^A81,IF(A81='Données projet'!$A$62,'Données projet'!$B$62,AI80+AH81-AQ80)))</f>
        <v>213.59999999999994</v>
      </c>
      <c r="AJ81" s="14">
        <f>AI81*VLOOKUP('Données projet'!$B$10,Paramètres!$A$1:$I$89,3,0)*VLOOKUP('Données projet'!$B$10,Paramètres!$A$1:$I$89,5,0)</f>
        <v>186.60095999999996</v>
      </c>
      <c r="AK81" s="14">
        <f t="shared" si="89"/>
        <v>46.787685683664144</v>
      </c>
      <c r="AL81" s="22">
        <f t="shared" si="58"/>
        <v>406.48522456571499</v>
      </c>
      <c r="AM81" s="62">
        <f t="shared" si="59"/>
        <v>699.8185578990483</v>
      </c>
      <c r="AN81" s="62">
        <f ca="1">AVERAGE(OFFSET($AM$3,0,0,'Données projet'!$E$10+1,1))-AVERAGE(OFFSET($H$3,0,0,'Données projet'!$E$10+1,1))</f>
        <v>212.11273590951606</v>
      </c>
      <c r="AO81" s="62">
        <f t="shared" si="90"/>
        <v>240.9595690943346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2.2737367544323206E-13</v>
      </c>
      <c r="BE81" s="14">
        <f>BD81*VLOOKUP('Données projet'!$B$11,Paramètres!$A$1:$I$89,3,0)*VLOOKUP('Données projet'!$B$11,Paramètres!$A$1:$I$89,5,0)</f>
        <v>1.3596945791505279E-13</v>
      </c>
      <c r="BF81" s="14">
        <f t="shared" si="91"/>
        <v>1.9708830566360721E-12</v>
      </c>
      <c r="BG81" s="22">
        <f t="shared" si="61"/>
        <v>3.669434796176543E-12</v>
      </c>
      <c r="BH81" s="62">
        <f t="shared" si="62"/>
        <v>293.33333333333701</v>
      </c>
      <c r="BI81" s="62">
        <f ca="1">AVERAGE(OFFSET($BH$3,0,0,'Données projet'!$E$11+1,1))-AVERAGE(OFFSET($H$3,0,0,'Données projet'!$E$11+1,1))</f>
        <v>172.49153247238672</v>
      </c>
      <c r="BJ81" s="62">
        <f t="shared" si="92"/>
        <v>301.94982606323254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11.159778911611923</v>
      </c>
      <c r="BQ81" s="23">
        <f>EXP(-LN(2)/25)*BQ80+(1-EXP(-LN(2)/25))/(LN(2)/25)*Calculateur!BL81*Calculateur!BN81*VLOOKUP('Données projet'!$B$11,Paramètres!$A$1:$I$89,3,0)*0.475*44/12</f>
        <v>3.6543800838367355</v>
      </c>
      <c r="BR81" s="23">
        <f>EXP(-LN(2)/2)*BR80+(1-EXP(-LN(2)/2))/(LN(2)/2)*BL81*BO81*VLOOKUP('Données projet'!$B$11,Paramètres!$A$1:$I$89,3,0)*0.475*44/12</f>
        <v>3.4713891807927462E-7</v>
      </c>
      <c r="BS81" s="24">
        <f t="shared" si="63"/>
        <v>14.814159342587576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8.3000000000000007</v>
      </c>
      <c r="BY81" s="13">
        <f>IF('Données projet'!$A$114&gt;35,BY80+BX81-CG80,IF(A81&lt;'Données projet'!$A$114,$BV$205^A81,IF(A81='Données projet'!$A$114,'Données projet'!$B$114,BY80+BX81-CG80)))</f>
        <v>378.40000000000032</v>
      </c>
      <c r="BZ81" s="14">
        <f>BY81*VLOOKUP('Données projet'!$B$12,Paramètres!$A$1:$I$89,3,0)*VLOOKUP('Données projet'!$B$12,Paramètres!$A$1:$I$89,5,0)</f>
        <v>216.44480000000021</v>
      </c>
      <c r="CA81" s="14">
        <f t="shared" si="93"/>
        <v>53.341449419561577</v>
      </c>
      <c r="CB81" s="22">
        <f t="shared" si="64"/>
        <v>469.87771773907002</v>
      </c>
      <c r="CC81" s="62">
        <f t="shared" si="65"/>
        <v>763.21105107240328</v>
      </c>
      <c r="CD81" s="62">
        <f ca="1">AVERAGE(OFFSET($CC$3,0,0,'Données projet'!$E$12+1,1))-AVERAGE(OFFSET($H$3,0,0,'Données projet'!$E$12+1,1))</f>
        <v>177.71338645688661</v>
      </c>
      <c r="CE81" s="62">
        <f t="shared" si="94"/>
        <v>153.65872713651345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0.46945200737167464</v>
      </c>
      <c r="CM81" s="23">
        <f>EXP(-LN(2)/2)*CM80+(1-EXP(-LN(2)/2))/(LN(2)/2)*CG81*CJ81*VLOOKUP('Données projet'!$B$12,Paramètres!$A$1:$I$89,3,0)*0.475*44/12</f>
        <v>4.094377983952513E-8</v>
      </c>
      <c r="CN81" s="24">
        <f t="shared" si="66"/>
        <v>0.46945204831545451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3.4</v>
      </c>
      <c r="CT81" s="13">
        <f>IF('Données projet'!$A$140&gt;35,CT80+CS81-DB80,IF(A81&lt;'Données projet'!$A$140,$CQ$205^A81,IF(A81='Données projet'!$A$140,'Données projet'!$B$140,CT80+CS81-DB80)))</f>
        <v>171.19999999999982</v>
      </c>
      <c r="CU81" s="18">
        <f>CT81*VLOOKUP('Données projet'!$B$13,Paramètres!$A$1:$I$89,3,0)*VLOOKUP('Données projet'!$B$13,Paramètres!$A$1:$I$89,5,0)</f>
        <v>112.17023999999989</v>
      </c>
      <c r="CV81" s="14">
        <f t="shared" si="95"/>
        <v>29.841727178418427</v>
      </c>
      <c r="CW81" s="22">
        <f t="shared" si="67"/>
        <v>247.33750950241188</v>
      </c>
      <c r="CX81" s="62">
        <f t="shared" si="68"/>
        <v>540.67084283574513</v>
      </c>
      <c r="CY81" s="62">
        <f ca="1">AVERAGE(OFFSET($CX$3,0,0,'Données projet'!$E$13+1,1))-AVERAGE(OFFSET($H$3,0,0,'Données projet'!$E$13+1,1))</f>
        <v>118.65321241325523</v>
      </c>
      <c r="CZ81" s="62">
        <f t="shared" si="96"/>
        <v>140.55041555757327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5.9</v>
      </c>
      <c r="DO81" s="13">
        <f>IF('Données projet'!$A$166&gt;35,DO80+DN81-DW80,IF(A81&lt;'Données projet'!$A$166,$DL$205^A81,IF(A81='Données projet'!$A$166,'Données projet'!$B$166,DO80+DN81-DW80)))</f>
        <v>248.69999999999987</v>
      </c>
      <c r="DP81" s="18">
        <f>DO81*VLOOKUP('Données projet'!$B$14,Paramètres!$A$1:$I$89,3,0)*VLOOKUP('Données projet'!$B$14,Paramètres!$A$1:$I$89,5,0)</f>
        <v>252.18179999999987</v>
      </c>
      <c r="DQ81" s="14">
        <f t="shared" si="97"/>
        <v>61.052903950515969</v>
      </c>
      <c r="DR81" s="22">
        <f t="shared" si="70"/>
        <v>545.55044271381507</v>
      </c>
      <c r="DS81" s="62">
        <f t="shared" si="71"/>
        <v>838.88377604714833</v>
      </c>
      <c r="DT81" s="62">
        <f ca="1">AVERAGE(OFFSET($DS$3,0,0,'Données projet'!$E$14+1,1))-AVERAGE(OFFSET($H$3,0,0,'Données projet'!$E$14+1,1))</f>
        <v>328.70784159273131</v>
      </c>
      <c r="DU81" s="62">
        <f t="shared" si="98"/>
        <v>193.18009444354601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4.5999999999999996</v>
      </c>
      <c r="N82" s="14">
        <f>IF('Données projet'!$A$36&gt;35,N81+M82-V81,IF(A82&lt;'Données projet'!$A$36,$K$205^A82,IF(A82='Données projet'!$A$36,'Données projet'!$B$36,N81+M82-V81)))</f>
        <v>187.39999999999998</v>
      </c>
      <c r="O82" s="14">
        <f>N82*VLOOKUP('Données projet'!$B$9,Paramètres!$A$1:$I$89,3,0)*VLOOKUP('Données projet'!$B$9,Paramètres!$A$1:$I$89,5,0)</f>
        <v>169.55951999999996</v>
      </c>
      <c r="P82" s="14">
        <f t="shared" si="87"/>
        <v>42.991355826984922</v>
      </c>
      <c r="Q82" s="22">
        <f t="shared" si="54"/>
        <v>370.19277539866533</v>
      </c>
      <c r="R82" s="62">
        <f t="shared" si="55"/>
        <v>663.52610873199865</v>
      </c>
      <c r="S82" s="62">
        <f ca="1">AVERAGE(OFFSET($R$3,0,0,'Données projet'!$E$9+1,1))-AVERAGE(OFFSET($H$3,0,0,'Données projet'!$E$9+1,1))</f>
        <v>177.70053246230015</v>
      </c>
      <c r="T82" s="62">
        <f t="shared" si="88"/>
        <v>85.631326020763254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3.2</v>
      </c>
      <c r="AI82" s="14">
        <f>IF('Données projet'!$A$62&gt;35,AI81+AH82-AQ81,IF(A82&lt;'Données projet'!$A$62,$AF$205^A82,IF(A82='Données projet'!$A$62,'Données projet'!$B$62,AI81+AH82-AQ81)))</f>
        <v>216.79999999999993</v>
      </c>
      <c r="AJ82" s="14">
        <f>AI82*VLOOKUP('Données projet'!$B$10,Paramètres!$A$1:$I$89,3,0)*VLOOKUP('Données projet'!$B$10,Paramètres!$A$1:$I$89,5,0)</f>
        <v>189.39647999999997</v>
      </c>
      <c r="AK82" s="14">
        <f t="shared" si="89"/>
        <v>47.406498452084506</v>
      </c>
      <c r="AL82" s="22">
        <f t="shared" si="58"/>
        <v>412.43185413738041</v>
      </c>
      <c r="AM82" s="62">
        <f t="shared" si="59"/>
        <v>705.76518747071373</v>
      </c>
      <c r="AN82" s="62">
        <f ca="1">AVERAGE(OFFSET($AM$3,0,0,'Données projet'!$E$10+1,1))-AVERAGE(OFFSET($H$3,0,0,'Données projet'!$E$10+1,1))</f>
        <v>212.11273590951606</v>
      </c>
      <c r="AO82" s="62">
        <f t="shared" si="90"/>
        <v>240.9595690943346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2.2737367544323206E-13</v>
      </c>
      <c r="BE82" s="14">
        <f>BD82*VLOOKUP('Données projet'!$B$11,Paramètres!$A$1:$I$89,3,0)*VLOOKUP('Données projet'!$B$11,Paramètres!$A$1:$I$89,5,0)</f>
        <v>1.3596945791505279E-13</v>
      </c>
      <c r="BF82" s="14">
        <f t="shared" si="91"/>
        <v>1.9708830566360721E-12</v>
      </c>
      <c r="BG82" s="22">
        <f t="shared" si="61"/>
        <v>3.669434796176543E-12</v>
      </c>
      <c r="BH82" s="62">
        <f t="shared" si="62"/>
        <v>293.33333333333701</v>
      </c>
      <c r="BI82" s="62">
        <f ca="1">AVERAGE(OFFSET($BH$3,0,0,'Données projet'!$E$11+1,1))-AVERAGE(OFFSET($H$3,0,0,'Données projet'!$E$11+1,1))</f>
        <v>172.49153247238672</v>
      </c>
      <c r="BJ82" s="62">
        <f t="shared" si="92"/>
        <v>301.94982606323254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10.940942453948235</v>
      </c>
      <c r="BQ82" s="23">
        <f>EXP(-LN(2)/25)*BQ81+(1-EXP(-LN(2)/25))/(LN(2)/25)*Calculateur!BL82*Calculateur!BN82*VLOOKUP('Données projet'!$B$11,Paramètres!$A$1:$I$89,3,0)*0.475*44/12</f>
        <v>3.5544508682687237</v>
      </c>
      <c r="BR82" s="23">
        <f>EXP(-LN(2)/2)*BR81+(1-EXP(-LN(2)/2))/(LN(2)/2)*BL82*BO82*VLOOKUP('Données projet'!$B$11,Paramètres!$A$1:$I$89,3,0)*0.475*44/12</f>
        <v>2.4546428298761649E-7</v>
      </c>
      <c r="BS82" s="24">
        <f t="shared" si="63"/>
        <v>14.495393567681242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8.3000000000000007</v>
      </c>
      <c r="BY82" s="13">
        <f>IF('Données projet'!$A$114&gt;35,BY81+BX82-CG81,IF(A82&lt;'Données projet'!$A$114,$BV$205^A82,IF(A82='Données projet'!$A$114,'Données projet'!$B$114,BY81+BX82-CG81)))</f>
        <v>386.70000000000033</v>
      </c>
      <c r="BZ82" s="14">
        <f>BY82*VLOOKUP('Données projet'!$B$12,Paramètres!$A$1:$I$89,3,0)*VLOOKUP('Données projet'!$B$12,Paramètres!$A$1:$I$89,5,0)</f>
        <v>221.19240000000019</v>
      </c>
      <c r="CA82" s="14">
        <f t="shared" si="93"/>
        <v>54.373966382420612</v>
      </c>
      <c r="CB82" s="22">
        <f t="shared" si="64"/>
        <v>479.94475478271625</v>
      </c>
      <c r="CC82" s="62">
        <f t="shared" si="65"/>
        <v>773.2780881160495</v>
      </c>
      <c r="CD82" s="62">
        <f ca="1">AVERAGE(OFFSET($CC$3,0,0,'Données projet'!$E$12+1,1))-AVERAGE(OFFSET($H$3,0,0,'Données projet'!$E$12+1,1))</f>
        <v>177.71338645688661</v>
      </c>
      <c r="CE82" s="62">
        <f t="shared" si="94"/>
        <v>153.65872713651345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0.45661481754268807</v>
      </c>
      <c r="CM82" s="23">
        <f>EXP(-LN(2)/2)*CM81+(1-EXP(-LN(2)/2))/(LN(2)/2)*CG82*CJ82*VLOOKUP('Données projet'!$B$12,Paramètres!$A$1:$I$89,3,0)*0.475*44/12</f>
        <v>2.8951624371937275E-8</v>
      </c>
      <c r="CN82" s="24">
        <f t="shared" si="66"/>
        <v>0.45661484649431244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3.4</v>
      </c>
      <c r="CT82" s="13">
        <f>IF('Données projet'!$A$140&gt;35,CT81+CS82-DB81,IF(A82&lt;'Données projet'!$A$140,$CQ$205^A82,IF(A82='Données projet'!$A$140,'Données projet'!$B$140,CT81+CS82-DB81)))</f>
        <v>174.59999999999982</v>
      </c>
      <c r="CU82" s="18">
        <f>CT82*VLOOKUP('Données projet'!$B$13,Paramètres!$A$1:$I$89,3,0)*VLOOKUP('Données projet'!$B$13,Paramètres!$A$1:$I$89,5,0)</f>
        <v>114.39791999999989</v>
      </c>
      <c r="CV82" s="14">
        <f t="shared" si="95"/>
        <v>30.364792863013271</v>
      </c>
      <c r="CW82" s="22">
        <f t="shared" si="67"/>
        <v>252.12839156974792</v>
      </c>
      <c r="CX82" s="62">
        <f t="shared" si="68"/>
        <v>545.46172490308118</v>
      </c>
      <c r="CY82" s="62">
        <f ca="1">AVERAGE(OFFSET($CX$3,0,0,'Données projet'!$E$13+1,1))-AVERAGE(OFFSET($H$3,0,0,'Données projet'!$E$13+1,1))</f>
        <v>118.65321241325523</v>
      </c>
      <c r="CZ82" s="62">
        <f t="shared" si="96"/>
        <v>140.55041555757327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5.9</v>
      </c>
      <c r="DO82" s="13">
        <f>IF('Données projet'!$A$166&gt;35,DO81+DN82-DW81,IF(A82&lt;'Données projet'!$A$166,$DL$205^A82,IF(A82='Données projet'!$A$166,'Données projet'!$B$166,DO81+DN82-DW81)))</f>
        <v>254.59999999999988</v>
      </c>
      <c r="DP82" s="18">
        <f>DO82*VLOOKUP('Données projet'!$B$14,Paramètres!$A$1:$I$89,3,0)*VLOOKUP('Données projet'!$B$14,Paramètres!$A$1:$I$89,5,0)</f>
        <v>258.16439999999989</v>
      </c>
      <c r="DQ82" s="14">
        <f t="shared" si="97"/>
        <v>62.3309410183914</v>
      </c>
      <c r="DR82" s="22">
        <f t="shared" si="70"/>
        <v>558.19605227369811</v>
      </c>
      <c r="DS82" s="62">
        <f t="shared" si="71"/>
        <v>851.52938560703137</v>
      </c>
      <c r="DT82" s="62">
        <f ca="1">AVERAGE(OFFSET($DS$3,0,0,'Données projet'!$E$14+1,1))-AVERAGE(OFFSET($H$3,0,0,'Données projet'!$E$14+1,1))</f>
        <v>328.70784159273131</v>
      </c>
      <c r="DU82" s="62">
        <f t="shared" si="98"/>
        <v>193.18009444354601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192</v>
      </c>
      <c r="L83" s="13">
        <f>VLOOKUP(A83,'Données projet'!$A$35:$I$55,9,0)</f>
        <v>4.5999999999999996</v>
      </c>
      <c r="M83" s="13">
        <f t="array" ref="M83">INDEX(L:L,MIN(IF(ISNUMBER(L83:L279),ROW(L83:L279),"")))</f>
        <v>4.5999999999999996</v>
      </c>
      <c r="N83" s="14">
        <f>IF('Données projet'!$A$36&gt;35,N82+M83-V82,IF(A83&lt;'Données projet'!$A$36,$K$205^A83,IF(A83='Données projet'!$A$36,'Données projet'!$B$36,N82+M83-V82)))</f>
        <v>191.99999999999997</v>
      </c>
      <c r="O83" s="14">
        <f>N83*VLOOKUP('Données projet'!$B$9,Paramètres!$A$1:$I$89,3,0)*VLOOKUP('Données projet'!$B$9,Paramètres!$A$1:$I$89,5,0)</f>
        <v>173.72159999999997</v>
      </c>
      <c r="P83" s="14">
        <f t="shared" si="87"/>
        <v>43.922484755075111</v>
      </c>
      <c r="Q83" s="22">
        <f t="shared" si="54"/>
        <v>379.06344761508905</v>
      </c>
      <c r="R83" s="62">
        <f t="shared" si="55"/>
        <v>672.39678094842236</v>
      </c>
      <c r="S83" s="62">
        <f ca="1">AVERAGE(OFFSET($R$3,0,0,'Données projet'!$E$9+1,1))-AVERAGE(OFFSET($H$3,0,0,'Données projet'!$E$9+1,1))</f>
        <v>177.70053246230015</v>
      </c>
      <c r="T83" s="62">
        <f t="shared" si="88"/>
        <v>85.631326020763254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220</v>
      </c>
      <c r="AG83" s="13">
        <f>VLOOKUP(A83,'Données projet'!$A$61:$I$81,9,0)</f>
        <v>3.2</v>
      </c>
      <c r="AH83" s="13">
        <f t="array" ref="AH83">INDEX(AG:AG,MIN(IF(ISNUMBER(AG83:AG279),ROW(AG83:AG279),"")))</f>
        <v>3.2</v>
      </c>
      <c r="AI83" s="14">
        <f>IF('Données projet'!$A$62&gt;35,AI82+AH83-AQ82,IF(A83&lt;'Données projet'!$A$62,$AF$205^A83,IF(A83='Données projet'!$A$62,'Données projet'!$B$62,AI82+AH83-AQ82)))</f>
        <v>219.99999999999991</v>
      </c>
      <c r="AJ83" s="14">
        <f>AI83*VLOOKUP('Données projet'!$B$10,Paramètres!$A$1:$I$89,3,0)*VLOOKUP('Données projet'!$B$10,Paramètres!$A$1:$I$89,5,0)</f>
        <v>192.19199999999995</v>
      </c>
      <c r="AK83" s="14">
        <f t="shared" si="89"/>
        <v>48.02424892193244</v>
      </c>
      <c r="AL83" s="22">
        <f t="shared" si="58"/>
        <v>418.37663353903218</v>
      </c>
      <c r="AM83" s="62">
        <f t="shared" si="59"/>
        <v>711.7099668723655</v>
      </c>
      <c r="AN83" s="62">
        <f ca="1">AVERAGE(OFFSET($AM$3,0,0,'Données projet'!$E$10+1,1))-AVERAGE(OFFSET($H$3,0,0,'Données projet'!$E$10+1,1))</f>
        <v>212.11273590951606</v>
      </c>
      <c r="AO83" s="62">
        <f t="shared" si="90"/>
        <v>240.9595690943346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2.2737367544323206E-13</v>
      </c>
      <c r="BE83" s="14">
        <f>BD83*VLOOKUP('Données projet'!$B$11,Paramètres!$A$1:$I$89,3,0)*VLOOKUP('Données projet'!$B$11,Paramètres!$A$1:$I$89,5,0)</f>
        <v>1.3596945791505279E-13</v>
      </c>
      <c r="BF83" s="14">
        <f t="shared" si="91"/>
        <v>1.9708830566360721E-12</v>
      </c>
      <c r="BG83" s="22">
        <f t="shared" si="61"/>
        <v>3.669434796176543E-12</v>
      </c>
      <c r="BH83" s="62">
        <f t="shared" si="62"/>
        <v>293.33333333333701</v>
      </c>
      <c r="BI83" s="62">
        <f ca="1">AVERAGE(OFFSET($BH$3,0,0,'Données projet'!$E$11+1,1))-AVERAGE(OFFSET($H$3,0,0,'Données projet'!$E$11+1,1))</f>
        <v>172.49153247238672</v>
      </c>
      <c r="BJ83" s="62">
        <f t="shared" si="92"/>
        <v>301.94982606323254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10.726397245742271</v>
      </c>
      <c r="BQ83" s="23">
        <f>EXP(-LN(2)/25)*BQ82+(1-EXP(-LN(2)/25))/(LN(2)/25)*Calculateur!BL83*Calculateur!BN83*VLOOKUP('Données projet'!$B$11,Paramètres!$A$1:$I$89,3,0)*0.475*44/12</f>
        <v>3.4572542223554681</v>
      </c>
      <c r="BR83" s="23">
        <f>EXP(-LN(2)/2)*BR82+(1-EXP(-LN(2)/2))/(LN(2)/2)*BL83*BO83*VLOOKUP('Données projet'!$B$11,Paramètres!$A$1:$I$89,3,0)*0.475*44/12</f>
        <v>1.7356945903963731E-7</v>
      </c>
      <c r="BS83" s="24">
        <f t="shared" si="63"/>
        <v>14.183651641667199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395</v>
      </c>
      <c r="BW83" s="13">
        <f>VLOOKUP(A83,'Données projet'!$A$113:$I$133,9,0)</f>
        <v>8.3000000000000007</v>
      </c>
      <c r="BX83" s="13">
        <f t="array" ref="BX83">INDEX(BW:BW,MIN(IF(ISNUMBER(BW83:BW279),ROW(BW83:BW279),"")))</f>
        <v>8.3000000000000007</v>
      </c>
      <c r="BY83" s="13">
        <f>IF('Données projet'!$A$114&gt;35,BY82+BX83-CG82,IF(A83&lt;'Données projet'!$A$114,$BV$205^A83,IF(A83='Données projet'!$A$114,'Données projet'!$B$114,BY82+BX83-CG82)))</f>
        <v>395.00000000000034</v>
      </c>
      <c r="BZ83" s="14">
        <f>BY83*VLOOKUP('Données projet'!$B$12,Paramètres!$A$1:$I$89,3,0)*VLOOKUP('Données projet'!$B$12,Paramètres!$A$1:$I$89,5,0)</f>
        <v>225.9400000000002</v>
      </c>
      <c r="CA83" s="14">
        <f t="shared" si="93"/>
        <v>55.403906745636547</v>
      </c>
      <c r="CB83" s="22">
        <f t="shared" si="64"/>
        <v>490.0073042486506</v>
      </c>
      <c r="CC83" s="62">
        <f t="shared" si="65"/>
        <v>783.34063758198386</v>
      </c>
      <c r="CD83" s="62">
        <f ca="1">AVERAGE(OFFSET($CC$3,0,0,'Données projet'!$E$12+1,1))-AVERAGE(OFFSET($H$3,0,0,'Données projet'!$E$12+1,1))</f>
        <v>177.71338645688661</v>
      </c>
      <c r="CE83" s="62">
        <f t="shared" si="94"/>
        <v>153.65872713651345</v>
      </c>
      <c r="CF83" s="16">
        <f>IF(ISNA(VLOOKUP(A83,'Données projet'!$A$113:$I$133,3,0)),0,VLOOKUP(A83,'Données projet'!$A$113:$I$133,3,0))</f>
        <v>8</v>
      </c>
      <c r="CG83" s="16">
        <f>IF(ISNA(VLOOKUP(A83,'Données projet'!$A$113:$I$133,4,0)),0,VLOOKUP(A83,'Données projet'!$A$113:$I$133,4,0))</f>
        <v>395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0.44412866134465362</v>
      </c>
      <c r="CM83" s="23">
        <f>EXP(-LN(2)/2)*CM82+(1-EXP(-LN(2)/2))/(LN(2)/2)*CG83*CJ83*VLOOKUP('Données projet'!$B$12,Paramètres!$A$1:$I$89,3,0)*0.475*44/12</f>
        <v>2.0471889919762568E-8</v>
      </c>
      <c r="CN83" s="24">
        <f t="shared" si="66"/>
        <v>0.44412868181654352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178</v>
      </c>
      <c r="CR83" s="13">
        <f>VLOOKUP(A83,'Données projet'!$A$139:$I$159,9,0)</f>
        <v>3.4</v>
      </c>
      <c r="CS83" s="13">
        <f t="array" ref="CS83">INDEX(CR:CR,MIN(IF(ISNUMBER(CR83:CR279),ROW(CR83:CR279),"")))</f>
        <v>3.4</v>
      </c>
      <c r="CT83" s="13">
        <f>IF('Données projet'!$A$140&gt;35,CT82+CS83-DB82,IF(A83&lt;'Données projet'!$A$140,$CQ$205^A83,IF(A83='Données projet'!$A$140,'Données projet'!$B$140,CT82+CS83-DB82)))</f>
        <v>177.99999999999983</v>
      </c>
      <c r="CU83" s="18">
        <f>CT83*VLOOKUP('Données projet'!$B$13,Paramètres!$A$1:$I$89,3,0)*VLOOKUP('Données projet'!$B$13,Paramètres!$A$1:$I$89,5,0)</f>
        <v>116.62559999999988</v>
      </c>
      <c r="CV83" s="14">
        <f t="shared" si="95"/>
        <v>30.886674195614191</v>
      </c>
      <c r="CW83" s="22">
        <f t="shared" si="67"/>
        <v>256.91721089069443</v>
      </c>
      <c r="CX83" s="62">
        <f t="shared" si="68"/>
        <v>550.25054422402775</v>
      </c>
      <c r="CY83" s="62">
        <f ca="1">AVERAGE(OFFSET($CX$3,0,0,'Données projet'!$E$13+1,1))-AVERAGE(OFFSET($H$3,0,0,'Données projet'!$E$13+1,1))</f>
        <v>118.65321241325523</v>
      </c>
      <c r="CZ83" s="62">
        <f t="shared" si="96"/>
        <v>140.55041555757327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5.9</v>
      </c>
      <c r="DO83" s="13">
        <f>IF('Données projet'!$A$166&gt;35,DO82+DN83-DW82,IF(A83&lt;'Données projet'!$A$166,$DL$205^A83,IF(A83='Données projet'!$A$166,'Données projet'!$B$166,DO82+DN83-DW82)))</f>
        <v>260.49999999999989</v>
      </c>
      <c r="DP83" s="18">
        <f>DO83*VLOOKUP('Données projet'!$B$14,Paramètres!$A$1:$I$89,3,0)*VLOOKUP('Données projet'!$B$14,Paramètres!$A$1:$I$89,5,0)</f>
        <v>264.14699999999988</v>
      </c>
      <c r="DQ83" s="14">
        <f t="shared" si="97"/>
        <v>63.605535018865886</v>
      </c>
      <c r="DR83" s="22">
        <f t="shared" si="70"/>
        <v>570.83566515785787</v>
      </c>
      <c r="DS83" s="62">
        <f t="shared" si="71"/>
        <v>864.16899849119113</v>
      </c>
      <c r="DT83" s="62">
        <f ca="1">AVERAGE(OFFSET($DS$3,0,0,'Données projet'!$E$14+1,1))-AVERAGE(OFFSET($H$3,0,0,'Données projet'!$E$14+1,1))</f>
        <v>328.70784159273131</v>
      </c>
      <c r="DU83" s="62">
        <f t="shared" si="98"/>
        <v>193.18009444354601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4.4000000000000004</v>
      </c>
      <c r="N84" s="14">
        <f>IF('Données projet'!$A$36&gt;35,N83+M84-V83,IF(A84&lt;'Données projet'!$A$36,$K$205^A84,IF(A84='Données projet'!$A$36,'Données projet'!$B$36,N83+M84-V83)))</f>
        <v>196.39999999999998</v>
      </c>
      <c r="O84" s="14">
        <f>N84*VLOOKUP('Données projet'!$B$9,Paramètres!$A$1:$I$89,3,0)*VLOOKUP('Données projet'!$B$9,Paramètres!$A$1:$I$89,5,0)</f>
        <v>177.70271999999997</v>
      </c>
      <c r="P84" s="14">
        <f t="shared" si="87"/>
        <v>44.810702235717677</v>
      </c>
      <c r="Q84" s="22">
        <f t="shared" si="54"/>
        <v>387.54421039387489</v>
      </c>
      <c r="R84" s="62">
        <f t="shared" si="55"/>
        <v>680.87754372720815</v>
      </c>
      <c r="S84" s="62">
        <f ca="1">AVERAGE(OFFSET($R$3,0,0,'Données projet'!$E$9+1,1))-AVERAGE(OFFSET($H$3,0,0,'Données projet'!$E$9+1,1))</f>
        <v>177.70053246230015</v>
      </c>
      <c r="T84" s="62">
        <f t="shared" si="88"/>
        <v>85.631326020763254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2.8</v>
      </c>
      <c r="AI84" s="14">
        <f>IF('Données projet'!$A$62&gt;35,AI83+AH84-AQ83,IF(A84&lt;'Données projet'!$A$62,$AF$205^A84,IF(A84='Données projet'!$A$62,'Données projet'!$B$62,AI83+AH84-AQ83)))</f>
        <v>199.79999999999993</v>
      </c>
      <c r="AJ84" s="14">
        <f>AI84*VLOOKUP('Données projet'!$B$10,Paramètres!$A$1:$I$89,3,0)*VLOOKUP('Données projet'!$B$10,Paramètres!$A$1:$I$89,5,0)</f>
        <v>174.54527999999993</v>
      </c>
      <c r="AK84" s="14">
        <f t="shared" si="89"/>
        <v>44.106446559111959</v>
      </c>
      <c r="AL84" s="22">
        <f t="shared" si="58"/>
        <v>380.81842375711989</v>
      </c>
      <c r="AM84" s="62">
        <f t="shared" si="59"/>
        <v>674.1517570904532</v>
      </c>
      <c r="AN84" s="62">
        <f ca="1">AVERAGE(OFFSET($AM$3,0,0,'Données projet'!$E$10+1,1))-AVERAGE(OFFSET($H$3,0,0,'Données projet'!$E$10+1,1))</f>
        <v>212.11273590951606</v>
      </c>
      <c r="AO84" s="62">
        <f t="shared" si="90"/>
        <v>240.9595690943346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2.2737367544323206E-13</v>
      </c>
      <c r="BE84" s="14">
        <f>BD84*VLOOKUP('Données projet'!$B$11,Paramètres!$A$1:$I$89,3,0)*VLOOKUP('Données projet'!$B$11,Paramètres!$A$1:$I$89,5,0)</f>
        <v>1.3596945791505279E-13</v>
      </c>
      <c r="BF84" s="14">
        <f t="shared" si="91"/>
        <v>1.9708830566360721E-12</v>
      </c>
      <c r="BG84" s="22">
        <f t="shared" si="61"/>
        <v>3.669434796176543E-12</v>
      </c>
      <c r="BH84" s="62">
        <f t="shared" si="62"/>
        <v>293.33333333333701</v>
      </c>
      <c r="BI84" s="62">
        <f ca="1">AVERAGE(OFFSET($BH$3,0,0,'Données projet'!$E$11+1,1))-AVERAGE(OFFSET($H$3,0,0,'Données projet'!$E$11+1,1))</f>
        <v>172.49153247238672</v>
      </c>
      <c r="BJ84" s="62">
        <f t="shared" si="92"/>
        <v>301.94982606323254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10.516059138209572</v>
      </c>
      <c r="BQ84" s="23">
        <f>EXP(-LN(2)/25)*BQ83+(1-EXP(-LN(2)/25))/(LN(2)/25)*Calculateur!BL84*Calculateur!BN84*VLOOKUP('Données projet'!$B$11,Paramètres!$A$1:$I$89,3,0)*0.475*44/12</f>
        <v>3.3627154238360597</v>
      </c>
      <c r="BR84" s="23">
        <f>EXP(-LN(2)/2)*BR83+(1-EXP(-LN(2)/2))/(LN(2)/2)*BL84*BO84*VLOOKUP('Données projet'!$B$11,Paramètres!$A$1:$I$89,3,0)*0.475*44/12</f>
        <v>1.2273214149380824E-7</v>
      </c>
      <c r="BS84" s="24">
        <f t="shared" si="63"/>
        <v>13.878774684777772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3.4106051316484809E-13</v>
      </c>
      <c r="BZ84" s="14">
        <f>BY84*VLOOKUP('Données projet'!$B$12,Paramètres!$A$1:$I$89,3,0)*VLOOKUP('Données projet'!$B$12,Paramètres!$A$1:$I$89,5,0)</f>
        <v>1.9508661353029313E-13</v>
      </c>
      <c r="CA84" s="14">
        <f t="shared" si="93"/>
        <v>2.711421636700695E-12</v>
      </c>
      <c r="CB84" s="22">
        <f t="shared" si="64"/>
        <v>5.0621685358189711E-12</v>
      </c>
      <c r="CC84" s="62">
        <f t="shared" si="65"/>
        <v>293.33333333333837</v>
      </c>
      <c r="CD84" s="62">
        <f ca="1">AVERAGE(OFFSET($CC$3,0,0,'Données projet'!$E$12+1,1))-AVERAGE(OFFSET($H$3,0,0,'Données projet'!$E$12+1,1))</f>
        <v>177.71338645688661</v>
      </c>
      <c r="CE84" s="62">
        <f t="shared" si="94"/>
        <v>153.65872713651345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0.43198393974447286</v>
      </c>
      <c r="CM84" s="23">
        <f>EXP(-LN(2)/2)*CM83+(1-EXP(-LN(2)/2))/(LN(2)/2)*CG84*CJ84*VLOOKUP('Données projet'!$B$12,Paramètres!$A$1:$I$89,3,0)*0.475*44/12</f>
        <v>1.4475812185968639E-8</v>
      </c>
      <c r="CN84" s="24">
        <f t="shared" si="66"/>
        <v>0.43198395422028502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</v>
      </c>
      <c r="CT84" s="13">
        <f>IF('Données projet'!$A$140&gt;35,CT83+CS84-DB83,IF(A84&lt;'Données projet'!$A$140,$CQ$205^A84,IF(A84='Données projet'!$A$140,'Données projet'!$B$140,CT83+CS84-DB83)))</f>
        <v>180.99999999999983</v>
      </c>
      <c r="CU84" s="18">
        <f>CT84*VLOOKUP('Données projet'!$B$13,Paramètres!$A$1:$I$89,3,0)*VLOOKUP('Données projet'!$B$13,Paramètres!$A$1:$I$89,5,0)</f>
        <v>118.59119999999989</v>
      </c>
      <c r="CV84" s="14">
        <f t="shared" si="95"/>
        <v>31.346194334434038</v>
      </c>
      <c r="CW84" s="22">
        <f t="shared" si="67"/>
        <v>261.14096179913906</v>
      </c>
      <c r="CX84" s="62">
        <f t="shared" si="68"/>
        <v>554.47429513247243</v>
      </c>
      <c r="CY84" s="62">
        <f ca="1">AVERAGE(OFFSET($CX$3,0,0,'Données projet'!$E$13+1,1))-AVERAGE(OFFSET($H$3,0,0,'Données projet'!$E$13+1,1))</f>
        <v>118.65321241325523</v>
      </c>
      <c r="CZ84" s="62">
        <f t="shared" si="96"/>
        <v>140.55041555757327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5.9</v>
      </c>
      <c r="DO84" s="13">
        <f>IF('Données projet'!$A$166&gt;35,DO83+DN84-DW83,IF(A84&lt;'Données projet'!$A$166,$DL$205^A84,IF(A84='Données projet'!$A$166,'Données projet'!$B$166,DO83+DN84-DW83)))</f>
        <v>266.39999999999986</v>
      </c>
      <c r="DP84" s="18">
        <f>DO84*VLOOKUP('Données projet'!$B$14,Paramètres!$A$1:$I$89,3,0)*VLOOKUP('Données projet'!$B$14,Paramètres!$A$1:$I$89,5,0)</f>
        <v>270.12959999999987</v>
      </c>
      <c r="DQ84" s="14">
        <f t="shared" si="97"/>
        <v>64.876772910497735</v>
      </c>
      <c r="DR84" s="22">
        <f t="shared" si="70"/>
        <v>583.46943281911661</v>
      </c>
      <c r="DS84" s="62">
        <f t="shared" si="71"/>
        <v>876.80276615244998</v>
      </c>
      <c r="DT84" s="62">
        <f ca="1">AVERAGE(OFFSET($DS$3,0,0,'Données projet'!$E$14+1,1))-AVERAGE(OFFSET($H$3,0,0,'Données projet'!$E$14+1,1))</f>
        <v>328.70784159273131</v>
      </c>
      <c r="DU84" s="62">
        <f t="shared" si="98"/>
        <v>193.18009444354601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4.4000000000000004</v>
      </c>
      <c r="N85" s="14">
        <f>IF('Données projet'!$A$36&gt;35,N84+M85-V84,IF(A85&lt;'Données projet'!$A$36,$K$205^A85,IF(A85='Données projet'!$A$36,'Données projet'!$B$36,N84+M85-V84)))</f>
        <v>200.79999999999998</v>
      </c>
      <c r="O85" s="14">
        <f>N85*VLOOKUP('Données projet'!$B$9,Paramètres!$A$1:$I$89,3,0)*VLOOKUP('Données projet'!$B$9,Paramètres!$A$1:$I$89,5,0)</f>
        <v>181.68383999999998</v>
      </c>
      <c r="P85" s="14">
        <f t="shared" si="87"/>
        <v>45.696606289632072</v>
      </c>
      <c r="Q85" s="22">
        <f t="shared" si="54"/>
        <v>396.02094395444254</v>
      </c>
      <c r="R85" s="62">
        <f t="shared" si="55"/>
        <v>689.35427728777586</v>
      </c>
      <c r="S85" s="62">
        <f ca="1">AVERAGE(OFFSET($R$3,0,0,'Données projet'!$E$9+1,1))-AVERAGE(OFFSET($H$3,0,0,'Données projet'!$E$9+1,1))</f>
        <v>177.70053246230015</v>
      </c>
      <c r="T85" s="62">
        <f t="shared" si="88"/>
        <v>85.631326020763254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2.8</v>
      </c>
      <c r="AI85" s="14">
        <f>IF('Données projet'!$A$62&gt;35,AI84+AH85-AQ84,IF(A85&lt;'Données projet'!$A$62,$AF$205^A85,IF(A85='Données projet'!$A$62,'Données projet'!$B$62,AI84+AH85-AQ84)))</f>
        <v>202.59999999999994</v>
      </c>
      <c r="AJ85" s="14">
        <f>AI85*VLOOKUP('Données projet'!$B$10,Paramètres!$A$1:$I$89,3,0)*VLOOKUP('Données projet'!$B$10,Paramètres!$A$1:$I$89,5,0)</f>
        <v>176.99135999999996</v>
      </c>
      <c r="AK85" s="14">
        <f t="shared" si="89"/>
        <v>44.65216395512175</v>
      </c>
      <c r="AL85" s="22">
        <f t="shared" si="58"/>
        <v>386.02913755517028</v>
      </c>
      <c r="AM85" s="62">
        <f t="shared" si="59"/>
        <v>679.36247088850359</v>
      </c>
      <c r="AN85" s="62">
        <f ca="1">AVERAGE(OFFSET($AM$3,0,0,'Données projet'!$E$10+1,1))-AVERAGE(OFFSET($H$3,0,0,'Données projet'!$E$10+1,1))</f>
        <v>212.11273590951606</v>
      </c>
      <c r="AO85" s="62">
        <f t="shared" si="90"/>
        <v>240.9595690943346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2.2737367544323206E-13</v>
      </c>
      <c r="BE85" s="14">
        <f>BD85*VLOOKUP('Données projet'!$B$11,Paramètres!$A$1:$I$89,3,0)*VLOOKUP('Données projet'!$B$11,Paramètres!$A$1:$I$89,5,0)</f>
        <v>1.3596945791505279E-13</v>
      </c>
      <c r="BF85" s="14">
        <f t="shared" si="91"/>
        <v>1.9708830566360721E-12</v>
      </c>
      <c r="BG85" s="22">
        <f t="shared" si="61"/>
        <v>3.669434796176543E-12</v>
      </c>
      <c r="BH85" s="62">
        <f t="shared" si="62"/>
        <v>293.33333333333701</v>
      </c>
      <c r="BI85" s="62">
        <f ca="1">AVERAGE(OFFSET($BH$3,0,0,'Données projet'!$E$11+1,1))-AVERAGE(OFFSET($H$3,0,0,'Données projet'!$E$11+1,1))</f>
        <v>172.49153247238672</v>
      </c>
      <c r="BJ85" s="62">
        <f t="shared" si="92"/>
        <v>301.94982606323254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10.30984563267201</v>
      </c>
      <c r="BQ85" s="23">
        <f>EXP(-LN(2)/25)*BQ84+(1-EXP(-LN(2)/25))/(LN(2)/25)*Calculateur!BL85*Calculateur!BN85*VLOOKUP('Données projet'!$B$11,Paramètres!$A$1:$I$89,3,0)*0.475*44/12</f>
        <v>3.2707617937337443</v>
      </c>
      <c r="BR85" s="23">
        <f>EXP(-LN(2)/2)*BR84+(1-EXP(-LN(2)/2))/(LN(2)/2)*BL85*BO85*VLOOKUP('Données projet'!$B$11,Paramètres!$A$1:$I$89,3,0)*0.475*44/12</f>
        <v>8.6784729519818656E-8</v>
      </c>
      <c r="BS85" s="24">
        <f t="shared" si="63"/>
        <v>13.580607513190483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3.4106051316484809E-13</v>
      </c>
      <c r="BZ85" s="14">
        <f>BY85*VLOOKUP('Données projet'!$B$12,Paramètres!$A$1:$I$89,3,0)*VLOOKUP('Données projet'!$B$12,Paramètres!$A$1:$I$89,5,0)</f>
        <v>1.9508661353029313E-13</v>
      </c>
      <c r="CA85" s="14">
        <f t="shared" si="93"/>
        <v>2.711421636700695E-12</v>
      </c>
      <c r="CB85" s="22">
        <f t="shared" si="64"/>
        <v>5.0621685358189711E-12</v>
      </c>
      <c r="CC85" s="62">
        <f t="shared" si="65"/>
        <v>293.33333333333837</v>
      </c>
      <c r="CD85" s="62">
        <f ca="1">AVERAGE(OFFSET($CC$3,0,0,'Données projet'!$E$12+1,1))-AVERAGE(OFFSET($H$3,0,0,'Données projet'!$E$12+1,1))</f>
        <v>177.71338645688661</v>
      </c>
      <c r="CE85" s="62">
        <f t="shared" si="94"/>
        <v>153.65872713651345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0.42017131619511217</v>
      </c>
      <c r="CM85" s="23">
        <f>EXP(-LN(2)/2)*CM84+(1-EXP(-LN(2)/2))/(LN(2)/2)*CG85*CJ85*VLOOKUP('Données projet'!$B$12,Paramètres!$A$1:$I$89,3,0)*0.475*44/12</f>
        <v>1.0235944959881286E-8</v>
      </c>
      <c r="CN85" s="24">
        <f t="shared" si="66"/>
        <v>0.42017132643105715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</v>
      </c>
      <c r="CT85" s="13">
        <f>IF('Données projet'!$A$140&gt;35,CT84+CS85-DB84,IF(A85&lt;'Données projet'!$A$140,$CQ$205^A85,IF(A85='Données projet'!$A$140,'Données projet'!$B$140,CT84+CS85-DB84)))</f>
        <v>183.99999999999983</v>
      </c>
      <c r="CU85" s="18">
        <f>CT85*VLOOKUP('Données projet'!$B$13,Paramètres!$A$1:$I$89,3,0)*VLOOKUP('Données projet'!$B$13,Paramètres!$A$1:$I$89,5,0)</f>
        <v>120.5567999999999</v>
      </c>
      <c r="CV85" s="14">
        <f t="shared" si="95"/>
        <v>31.804828741198751</v>
      </c>
      <c r="CW85" s="22">
        <f t="shared" si="67"/>
        <v>265.36317005758764</v>
      </c>
      <c r="CX85" s="62">
        <f t="shared" si="68"/>
        <v>558.69650339092095</v>
      </c>
      <c r="CY85" s="62">
        <f ca="1">AVERAGE(OFFSET($CX$3,0,0,'Données projet'!$E$13+1,1))-AVERAGE(OFFSET($H$3,0,0,'Données projet'!$E$13+1,1))</f>
        <v>118.65321241325523</v>
      </c>
      <c r="CZ85" s="62">
        <f t="shared" si="96"/>
        <v>140.55041555757327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5.9</v>
      </c>
      <c r="DO85" s="13">
        <f>IF('Données projet'!$A$166&gt;35,DO84+DN85-DW84,IF(A85&lt;'Données projet'!$A$166,$DL$205^A85,IF(A85='Données projet'!$A$166,'Données projet'!$B$166,DO84+DN85-DW84)))</f>
        <v>272.29999999999984</v>
      </c>
      <c r="DP85" s="18">
        <f>DO85*VLOOKUP('Données projet'!$B$14,Paramètres!$A$1:$I$89,3,0)*VLOOKUP('Données projet'!$B$14,Paramètres!$A$1:$I$89,5,0)</f>
        <v>276.11219999999986</v>
      </c>
      <c r="DQ85" s="14">
        <f t="shared" si="97"/>
        <v>66.144737580152963</v>
      </c>
      <c r="DR85" s="22">
        <f t="shared" si="70"/>
        <v>596.09749961876616</v>
      </c>
      <c r="DS85" s="62">
        <f t="shared" si="71"/>
        <v>889.43083295209954</v>
      </c>
      <c r="DT85" s="62">
        <f ca="1">AVERAGE(OFFSET($DS$3,0,0,'Données projet'!$E$14+1,1))-AVERAGE(OFFSET($H$3,0,0,'Données projet'!$E$14+1,1))</f>
        <v>328.70784159273131</v>
      </c>
      <c r="DU85" s="62">
        <f t="shared" si="98"/>
        <v>193.18009444354601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4.4000000000000004</v>
      </c>
      <c r="N86" s="14">
        <f>IF('Données projet'!$A$36&gt;35,N85+M86-V85,IF(A86&lt;'Données projet'!$A$36,$K$205^A86,IF(A86='Données projet'!$A$36,'Données projet'!$B$36,N85+M86-V85)))</f>
        <v>205.2</v>
      </c>
      <c r="O86" s="14">
        <f>N86*VLOOKUP('Données projet'!$B$9,Paramètres!$A$1:$I$89,3,0)*VLOOKUP('Données projet'!$B$9,Paramètres!$A$1:$I$89,5,0)</f>
        <v>185.66495999999998</v>
      </c>
      <c r="P86" s="14">
        <f t="shared" si="87"/>
        <v>46.580253447083031</v>
      </c>
      <c r="Q86" s="22">
        <f t="shared" si="54"/>
        <v>404.49374675366954</v>
      </c>
      <c r="R86" s="62">
        <f t="shared" si="55"/>
        <v>697.82708008700286</v>
      </c>
      <c r="S86" s="62">
        <f ca="1">AVERAGE(OFFSET($R$3,0,0,'Données projet'!$E$9+1,1))-AVERAGE(OFFSET($H$3,0,0,'Données projet'!$E$9+1,1))</f>
        <v>177.70053246230015</v>
      </c>
      <c r="T86" s="62">
        <f t="shared" si="88"/>
        <v>85.631326020763254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2.8</v>
      </c>
      <c r="AI86" s="14">
        <f>IF('Données projet'!$A$62&gt;35,AI85+AH86-AQ85,IF(A86&lt;'Données projet'!$A$62,$AF$205^A86,IF(A86='Données projet'!$A$62,'Données projet'!$B$62,AI85+AH86-AQ85)))</f>
        <v>205.39999999999995</v>
      </c>
      <c r="AJ86" s="14">
        <f>AI86*VLOOKUP('Données projet'!$B$10,Paramètres!$A$1:$I$89,3,0)*VLOOKUP('Données projet'!$B$10,Paramètres!$A$1:$I$89,5,0)</f>
        <v>179.43743999999998</v>
      </c>
      <c r="AK86" s="14">
        <f t="shared" si="89"/>
        <v>45.197004138831623</v>
      </c>
      <c r="AL86" s="22">
        <f t="shared" si="58"/>
        <v>391.23832354179837</v>
      </c>
      <c r="AM86" s="62">
        <f t="shared" si="59"/>
        <v>684.57165687513168</v>
      </c>
      <c r="AN86" s="62">
        <f ca="1">AVERAGE(OFFSET($AM$3,0,0,'Données projet'!$E$10+1,1))-AVERAGE(OFFSET($H$3,0,0,'Données projet'!$E$10+1,1))</f>
        <v>212.11273590951606</v>
      </c>
      <c r="AO86" s="62">
        <f t="shared" si="90"/>
        <v>240.9595690943346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2.2737367544323206E-13</v>
      </c>
      <c r="BE86" s="14">
        <f>BD86*VLOOKUP('Données projet'!$B$11,Paramètres!$A$1:$I$89,3,0)*VLOOKUP('Données projet'!$B$11,Paramètres!$A$1:$I$89,5,0)</f>
        <v>1.3596945791505279E-13</v>
      </c>
      <c r="BF86" s="14">
        <f t="shared" si="91"/>
        <v>1.9708830566360721E-12</v>
      </c>
      <c r="BG86" s="22">
        <f t="shared" si="61"/>
        <v>3.669434796176543E-12</v>
      </c>
      <c r="BH86" s="62">
        <f t="shared" si="62"/>
        <v>293.33333333333701</v>
      </c>
      <c r="BI86" s="62">
        <f ca="1">AVERAGE(OFFSET($BH$3,0,0,'Données projet'!$E$11+1,1))-AVERAGE(OFFSET($H$3,0,0,'Données projet'!$E$11+1,1))</f>
        <v>172.49153247238672</v>
      </c>
      <c r="BJ86" s="62">
        <f t="shared" si="92"/>
        <v>301.94982606323254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10.107675848200222</v>
      </c>
      <c r="BQ86" s="23">
        <f>EXP(-LN(2)/25)*BQ85+(1-EXP(-LN(2)/25))/(LN(2)/25)*Calculateur!BL86*Calculateur!BN86*VLOOKUP('Données projet'!$B$11,Paramètres!$A$1:$I$89,3,0)*0.475*44/12</f>
        <v>3.1813226404822079</v>
      </c>
      <c r="BR86" s="23">
        <f>EXP(-LN(2)/2)*BR85+(1-EXP(-LN(2)/2))/(LN(2)/2)*BL86*BO86*VLOOKUP('Données projet'!$B$11,Paramètres!$A$1:$I$89,3,0)*0.475*44/12</f>
        <v>6.1366070746904121E-8</v>
      </c>
      <c r="BS86" s="24">
        <f t="shared" si="63"/>
        <v>13.2889985500485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3.4106051316484809E-13</v>
      </c>
      <c r="BZ86" s="14">
        <f>BY86*VLOOKUP('Données projet'!$B$12,Paramètres!$A$1:$I$89,3,0)*VLOOKUP('Données projet'!$B$12,Paramètres!$A$1:$I$89,5,0)</f>
        <v>1.9508661353029313E-13</v>
      </c>
      <c r="CA86" s="14">
        <f t="shared" si="93"/>
        <v>2.711421636700695E-12</v>
      </c>
      <c r="CB86" s="22">
        <f t="shared" si="64"/>
        <v>5.0621685358189711E-12</v>
      </c>
      <c r="CC86" s="62">
        <f t="shared" si="65"/>
        <v>293.33333333333837</v>
      </c>
      <c r="CD86" s="62">
        <f ca="1">AVERAGE(OFFSET($CC$3,0,0,'Données projet'!$E$12+1,1))-AVERAGE(OFFSET($H$3,0,0,'Données projet'!$E$12+1,1))</f>
        <v>177.71338645688661</v>
      </c>
      <c r="CE86" s="62">
        <f t="shared" si="94"/>
        <v>153.65872713651345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0.4086817094579076</v>
      </c>
      <c r="CM86" s="23">
        <f>EXP(-LN(2)/2)*CM85+(1-EXP(-LN(2)/2))/(LN(2)/2)*CG86*CJ86*VLOOKUP('Données projet'!$B$12,Paramètres!$A$1:$I$89,3,0)*0.475*44/12</f>
        <v>7.2379060929843204E-9</v>
      </c>
      <c r="CN86" s="24">
        <f t="shared" si="66"/>
        <v>0.40868171669581371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</v>
      </c>
      <c r="CT86" s="13">
        <f>IF('Données projet'!$A$140&gt;35,CT85+CS86-DB85,IF(A86&lt;'Données projet'!$A$140,$CQ$205^A86,IF(A86='Données projet'!$A$140,'Données projet'!$B$140,CT85+CS86-DB85)))</f>
        <v>186.99999999999983</v>
      </c>
      <c r="CU86" s="18">
        <f>CT86*VLOOKUP('Données projet'!$B$13,Paramètres!$A$1:$I$89,3,0)*VLOOKUP('Données projet'!$B$13,Paramètres!$A$1:$I$89,5,0)</f>
        <v>122.52239999999988</v>
      </c>
      <c r="CV86" s="14">
        <f t="shared" si="95"/>
        <v>32.262593524306261</v>
      </c>
      <c r="CW86" s="22">
        <f t="shared" si="67"/>
        <v>269.58386372149988</v>
      </c>
      <c r="CX86" s="62">
        <f t="shared" si="68"/>
        <v>562.9171970548332</v>
      </c>
      <c r="CY86" s="62">
        <f ca="1">AVERAGE(OFFSET($CX$3,0,0,'Données projet'!$E$13+1,1))-AVERAGE(OFFSET($H$3,0,0,'Données projet'!$E$13+1,1))</f>
        <v>118.65321241325523</v>
      </c>
      <c r="CZ86" s="62">
        <f t="shared" si="96"/>
        <v>140.55041555757327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5.9</v>
      </c>
      <c r="DO86" s="13">
        <f>IF('Données projet'!$A$166&gt;35,DO85+DN86-DW85,IF(A86&lt;'Données projet'!$A$166,$DL$205^A86,IF(A86='Données projet'!$A$166,'Données projet'!$B$166,DO85+DN86-DW85)))</f>
        <v>278.19999999999982</v>
      </c>
      <c r="DP86" s="18">
        <f>DO86*VLOOKUP('Données projet'!$B$14,Paramètres!$A$1:$I$89,3,0)*VLOOKUP('Données projet'!$B$14,Paramètres!$A$1:$I$89,5,0)</f>
        <v>282.09479999999985</v>
      </c>
      <c r="DQ86" s="14">
        <f t="shared" si="97"/>
        <v>67.409508117681739</v>
      </c>
      <c r="DR86" s="22">
        <f t="shared" si="70"/>
        <v>608.72000330496201</v>
      </c>
      <c r="DS86" s="62">
        <f t="shared" si="71"/>
        <v>902.05333663829538</v>
      </c>
      <c r="DT86" s="62">
        <f ca="1">AVERAGE(OFFSET($DS$3,0,0,'Données projet'!$E$14+1,1))-AVERAGE(OFFSET($H$3,0,0,'Données projet'!$E$14+1,1))</f>
        <v>328.70784159273131</v>
      </c>
      <c r="DU86" s="62">
        <f t="shared" si="98"/>
        <v>193.18009444354601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4.4000000000000004</v>
      </c>
      <c r="N87" s="14">
        <f>IF('Données projet'!$A$36&gt;35,N86+M87-V86,IF(A87&lt;'Données projet'!$A$36,$K$205^A87,IF(A87='Données projet'!$A$36,'Données projet'!$B$36,N86+M87-V86)))</f>
        <v>209.6</v>
      </c>
      <c r="O87" s="14">
        <f>N87*VLOOKUP('Données projet'!$B$9,Paramètres!$A$1:$I$89,3,0)*VLOOKUP('Données projet'!$B$9,Paramètres!$A$1:$I$89,5,0)</f>
        <v>189.64607999999998</v>
      </c>
      <c r="P87" s="14">
        <f t="shared" si="87"/>
        <v>47.461697675550099</v>
      </c>
      <c r="Q87" s="22">
        <f t="shared" si="54"/>
        <v>412.96271278491639</v>
      </c>
      <c r="R87" s="62">
        <f t="shared" si="55"/>
        <v>706.29604611824971</v>
      </c>
      <c r="S87" s="62">
        <f ca="1">AVERAGE(OFFSET($R$3,0,0,'Données projet'!$E$9+1,1))-AVERAGE(OFFSET($H$3,0,0,'Données projet'!$E$9+1,1))</f>
        <v>177.70053246230015</v>
      </c>
      <c r="T87" s="62">
        <f t="shared" si="88"/>
        <v>85.631326020763254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2.8</v>
      </c>
      <c r="AI87" s="14">
        <f>IF('Données projet'!$A$62&gt;35,AI86+AH87-AQ86,IF(A87&lt;'Données projet'!$A$62,$AF$205^A87,IF(A87='Données projet'!$A$62,'Données projet'!$B$62,AI86+AH87-AQ86)))</f>
        <v>208.19999999999996</v>
      </c>
      <c r="AJ87" s="14">
        <f>AI87*VLOOKUP('Données projet'!$B$10,Paramètres!$A$1:$I$89,3,0)*VLOOKUP('Données projet'!$B$10,Paramètres!$A$1:$I$89,5,0)</f>
        <v>181.88351999999998</v>
      </c>
      <c r="AK87" s="14">
        <f t="shared" si="89"/>
        <v>45.740980450513447</v>
      </c>
      <c r="AL87" s="22">
        <f t="shared" si="58"/>
        <v>396.4460049513109</v>
      </c>
      <c r="AM87" s="62">
        <f t="shared" si="59"/>
        <v>689.77933828464415</v>
      </c>
      <c r="AN87" s="62">
        <f ca="1">AVERAGE(OFFSET($AM$3,0,0,'Données projet'!$E$10+1,1))-AVERAGE(OFFSET($H$3,0,0,'Données projet'!$E$10+1,1))</f>
        <v>212.11273590951606</v>
      </c>
      <c r="AO87" s="62">
        <f t="shared" si="90"/>
        <v>240.9595690943346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2.2737367544323206E-13</v>
      </c>
      <c r="BE87" s="14">
        <f>BD87*VLOOKUP('Données projet'!$B$11,Paramètres!$A$1:$I$89,3,0)*VLOOKUP('Données projet'!$B$11,Paramètres!$A$1:$I$89,5,0)</f>
        <v>1.3596945791505279E-13</v>
      </c>
      <c r="BF87" s="14">
        <f t="shared" si="91"/>
        <v>1.9708830566360721E-12</v>
      </c>
      <c r="BG87" s="22">
        <f t="shared" si="61"/>
        <v>3.669434796176543E-12</v>
      </c>
      <c r="BH87" s="62">
        <f t="shared" si="62"/>
        <v>293.33333333333701</v>
      </c>
      <c r="BI87" s="62">
        <f ca="1">AVERAGE(OFFSET($BH$3,0,0,'Données projet'!$E$11+1,1))-AVERAGE(OFFSET($H$3,0,0,'Données projet'!$E$11+1,1))</f>
        <v>172.49153247238672</v>
      </c>
      <c r="BJ87" s="62">
        <f t="shared" si="92"/>
        <v>301.94982606323254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9.9094704898905324</v>
      </c>
      <c r="BQ87" s="23">
        <f>EXP(-LN(2)/25)*BQ86+(1-EXP(-LN(2)/25))/(LN(2)/25)*Calculateur!BL87*Calculateur!BN87*VLOOKUP('Données projet'!$B$11,Paramètres!$A$1:$I$89,3,0)*0.475*44/12</f>
        <v>3.0943292055797351</v>
      </c>
      <c r="BR87" s="23">
        <f>EXP(-LN(2)/2)*BR86+(1-EXP(-LN(2)/2))/(LN(2)/2)*BL87*BO87*VLOOKUP('Données projet'!$B$11,Paramètres!$A$1:$I$89,3,0)*0.475*44/12</f>
        <v>4.3392364759909328E-8</v>
      </c>
      <c r="BS87" s="24">
        <f t="shared" si="63"/>
        <v>13.003799738862632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3.4106051316484809E-13</v>
      </c>
      <c r="BZ87" s="14">
        <f>BY87*VLOOKUP('Données projet'!$B$12,Paramètres!$A$1:$I$89,3,0)*VLOOKUP('Données projet'!$B$12,Paramètres!$A$1:$I$89,5,0)</f>
        <v>1.9508661353029313E-13</v>
      </c>
      <c r="CA87" s="14">
        <f t="shared" si="93"/>
        <v>2.711421636700695E-12</v>
      </c>
      <c r="CB87" s="22">
        <f t="shared" si="64"/>
        <v>5.0621685358189711E-12</v>
      </c>
      <c r="CC87" s="62">
        <f t="shared" si="65"/>
        <v>293.33333333333837</v>
      </c>
      <c r="CD87" s="62">
        <f ca="1">AVERAGE(OFFSET($CC$3,0,0,'Données projet'!$E$12+1,1))-AVERAGE(OFFSET($H$3,0,0,'Données projet'!$E$12+1,1))</f>
        <v>177.71338645688661</v>
      </c>
      <c r="CE87" s="62">
        <f t="shared" si="94"/>
        <v>153.65872713651345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0.39750628662114407</v>
      </c>
      <c r="CM87" s="23">
        <f>EXP(-LN(2)/2)*CM86+(1-EXP(-LN(2)/2))/(LN(2)/2)*CG87*CJ87*VLOOKUP('Données projet'!$B$12,Paramètres!$A$1:$I$89,3,0)*0.475*44/12</f>
        <v>5.1179724799406437E-9</v>
      </c>
      <c r="CN87" s="24">
        <f t="shared" si="66"/>
        <v>0.39750629173911656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</v>
      </c>
      <c r="CT87" s="13">
        <f>IF('Données projet'!$A$140&gt;35,CT86+CS87-DB86,IF(A87&lt;'Données projet'!$A$140,$CQ$205^A87,IF(A87='Données projet'!$A$140,'Données projet'!$B$140,CT86+CS87-DB86)))</f>
        <v>189.99999999999983</v>
      </c>
      <c r="CU87" s="18">
        <f>CT87*VLOOKUP('Données projet'!$B$13,Paramètres!$A$1:$I$89,3,0)*VLOOKUP('Données projet'!$B$13,Paramètres!$A$1:$I$89,5,0)</f>
        <v>124.48799999999989</v>
      </c>
      <c r="CV87" s="14">
        <f t="shared" si="95"/>
        <v>32.719504245667238</v>
      </c>
      <c r="CW87" s="22">
        <f t="shared" si="67"/>
        <v>273.80306989453686</v>
      </c>
      <c r="CX87" s="62">
        <f t="shared" si="68"/>
        <v>567.13640322787023</v>
      </c>
      <c r="CY87" s="62">
        <f ca="1">AVERAGE(OFFSET($CX$3,0,0,'Données projet'!$E$13+1,1))-AVERAGE(OFFSET($H$3,0,0,'Données projet'!$E$13+1,1))</f>
        <v>118.65321241325523</v>
      </c>
      <c r="CZ87" s="62">
        <f t="shared" si="96"/>
        <v>140.55041555757327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5.9</v>
      </c>
      <c r="DO87" s="13">
        <f>IF('Données projet'!$A$166&gt;35,DO86+DN87-DW86,IF(A87&lt;'Données projet'!$A$166,$DL$205^A87,IF(A87='Données projet'!$A$166,'Données projet'!$B$166,DO86+DN87-DW86)))</f>
        <v>284.0999999999998</v>
      </c>
      <c r="DP87" s="18">
        <f>DO87*VLOOKUP('Données projet'!$B$14,Paramètres!$A$1:$I$89,3,0)*VLOOKUP('Données projet'!$B$14,Paramètres!$A$1:$I$89,5,0)</f>
        <v>288.07739999999984</v>
      </c>
      <c r="DQ87" s="14">
        <f t="shared" si="97"/>
        <v>68.671160066636261</v>
      </c>
      <c r="DR87" s="22">
        <f t="shared" si="70"/>
        <v>621.33707544939125</v>
      </c>
      <c r="DS87" s="62">
        <f t="shared" si="71"/>
        <v>914.67040878272451</v>
      </c>
      <c r="DT87" s="62">
        <f ca="1">AVERAGE(OFFSET($DS$3,0,0,'Données projet'!$E$14+1,1))-AVERAGE(OFFSET($H$3,0,0,'Données projet'!$E$14+1,1))</f>
        <v>328.70784159273131</v>
      </c>
      <c r="DU87" s="62">
        <f t="shared" si="98"/>
        <v>193.18009444354601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214</v>
      </c>
      <c r="L88" s="13">
        <f>VLOOKUP(A88,'Données projet'!$A$35:$I$55,9,0)</f>
        <v>4.4000000000000004</v>
      </c>
      <c r="M88" s="13">
        <f t="array" ref="M88">INDEX(L:L,MIN(IF(ISNUMBER(L88:L284),ROW(L88:L284),"")))</f>
        <v>4.4000000000000004</v>
      </c>
      <c r="N88" s="14">
        <f>IF('Données projet'!$A$36&gt;35,N87+M88-V87,IF(A88&lt;'Données projet'!$A$36,$K$205^A88,IF(A88='Données projet'!$A$36,'Données projet'!$B$36,N87+M88-V87)))</f>
        <v>214</v>
      </c>
      <c r="O88" s="14">
        <f>N88*VLOOKUP('Données projet'!$B$9,Paramètres!$A$1:$I$89,3,0)*VLOOKUP('Données projet'!$B$9,Paramètres!$A$1:$I$89,5,0)</f>
        <v>193.62719999999999</v>
      </c>
      <c r="P88" s="14">
        <f t="shared" si="87"/>
        <v>48.340990547231193</v>
      </c>
      <c r="Q88" s="22">
        <f t="shared" si="54"/>
        <v>421.42793186976093</v>
      </c>
      <c r="R88" s="62">
        <f t="shared" si="55"/>
        <v>714.76126520309424</v>
      </c>
      <c r="S88" s="62">
        <f ca="1">AVERAGE(OFFSET($R$3,0,0,'Données projet'!$E$9+1,1))-AVERAGE(OFFSET($H$3,0,0,'Données projet'!$E$9+1,1))</f>
        <v>177.70053246230015</v>
      </c>
      <c r="T88" s="62">
        <f t="shared" si="88"/>
        <v>85.631326020763254</v>
      </c>
      <c r="U88" s="16">
        <f>IF(ISNA(VLOOKUP(A88,'Données projet'!$A$35:$I$55,3,0)),0,VLOOKUP(A88,'Données projet'!$A$35:$I$55,3,0))</f>
        <v>6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211</v>
      </c>
      <c r="AG88" s="13">
        <f>VLOOKUP(A88,'Données projet'!$A$61:$I$81,9,0)</f>
        <v>2.8</v>
      </c>
      <c r="AH88" s="13">
        <f t="array" ref="AH88">INDEX(AG:AG,MIN(IF(ISNUMBER(AG88:AG284),ROW(AG88:AG284),"")))</f>
        <v>2.8</v>
      </c>
      <c r="AI88" s="14">
        <f>IF('Données projet'!$A$62&gt;35,AI87+AH88-AQ87,IF(A88&lt;'Données projet'!$A$62,$AF$205^A88,IF(A88='Données projet'!$A$62,'Données projet'!$B$62,AI87+AH88-AQ87)))</f>
        <v>210.99999999999997</v>
      </c>
      <c r="AJ88" s="14">
        <f>AI88*VLOOKUP('Données projet'!$B$10,Paramètres!$A$1:$I$89,3,0)*VLOOKUP('Données projet'!$B$10,Paramètres!$A$1:$I$89,5,0)</f>
        <v>184.3296</v>
      </c>
      <c r="AK88" s="14">
        <f t="shared" si="89"/>
        <v>46.284105851003062</v>
      </c>
      <c r="AL88" s="22">
        <f t="shared" si="58"/>
        <v>401.65220435716361</v>
      </c>
      <c r="AM88" s="62">
        <f t="shared" si="59"/>
        <v>694.98553769049693</v>
      </c>
      <c r="AN88" s="62">
        <f ca="1">AVERAGE(OFFSET($AM$3,0,0,'Données projet'!$E$10+1,1))-AVERAGE(OFFSET($H$3,0,0,'Données projet'!$E$10+1,1))</f>
        <v>212.11273590951606</v>
      </c>
      <c r="AO88" s="62">
        <f t="shared" si="90"/>
        <v>240.9595690943346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2.2737367544323206E-13</v>
      </c>
      <c r="BE88" s="14">
        <f>BD88*VLOOKUP('Données projet'!$B$11,Paramètres!$A$1:$I$89,3,0)*VLOOKUP('Données projet'!$B$11,Paramètres!$A$1:$I$89,5,0)</f>
        <v>1.3596945791505279E-13</v>
      </c>
      <c r="BF88" s="14">
        <f t="shared" si="91"/>
        <v>1.9708830566360721E-12</v>
      </c>
      <c r="BG88" s="22">
        <f t="shared" si="61"/>
        <v>3.669434796176543E-12</v>
      </c>
      <c r="BH88" s="62">
        <f t="shared" si="62"/>
        <v>293.33333333333701</v>
      </c>
      <c r="BI88" s="62">
        <f ca="1">AVERAGE(OFFSET($BH$3,0,0,'Données projet'!$E$11+1,1))-AVERAGE(OFFSET($H$3,0,0,'Données projet'!$E$11+1,1))</f>
        <v>172.49153247238672</v>
      </c>
      <c r="BJ88" s="62">
        <f t="shared" si="92"/>
        <v>301.94982606323254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9.7151518177639637</v>
      </c>
      <c r="BQ88" s="23">
        <f>EXP(-LN(2)/25)*BQ87+(1-EXP(-LN(2)/25))/(LN(2)/25)*Calculateur!BL88*Calculateur!BN88*VLOOKUP('Données projet'!$B$11,Paramètres!$A$1:$I$89,3,0)*0.475*44/12</f>
        <v>3.0097146107294566</v>
      </c>
      <c r="BR88" s="23">
        <f>EXP(-LN(2)/2)*BR87+(1-EXP(-LN(2)/2))/(LN(2)/2)*BL88*BO88*VLOOKUP('Données projet'!$B$11,Paramètres!$A$1:$I$89,3,0)*0.475*44/12</f>
        <v>3.0683035373452061E-8</v>
      </c>
      <c r="BS88" s="24">
        <f t="shared" si="63"/>
        <v>12.724866459176456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3.4106051316484809E-13</v>
      </c>
      <c r="BZ88" s="14">
        <f>BY88*VLOOKUP('Données projet'!$B$12,Paramètres!$A$1:$I$89,3,0)*VLOOKUP('Données projet'!$B$12,Paramètres!$A$1:$I$89,5,0)</f>
        <v>1.9508661353029313E-13</v>
      </c>
      <c r="CA88" s="14">
        <f t="shared" si="93"/>
        <v>2.711421636700695E-12</v>
      </c>
      <c r="CB88" s="22">
        <f t="shared" si="64"/>
        <v>5.0621685358189711E-12</v>
      </c>
      <c r="CC88" s="62">
        <f t="shared" si="65"/>
        <v>293.33333333333837</v>
      </c>
      <c r="CD88" s="62">
        <f ca="1">AVERAGE(OFFSET($CC$3,0,0,'Données projet'!$E$12+1,1))-AVERAGE(OFFSET($H$3,0,0,'Données projet'!$E$12+1,1))</f>
        <v>177.71338645688661</v>
      </c>
      <c r="CE88" s="62">
        <f t="shared" si="94"/>
        <v>153.65872713651345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0.3866364563095418</v>
      </c>
      <c r="CM88" s="23">
        <f>EXP(-LN(2)/2)*CM87+(1-EXP(-LN(2)/2))/(LN(2)/2)*CG88*CJ88*VLOOKUP('Données projet'!$B$12,Paramètres!$A$1:$I$89,3,0)*0.475*44/12</f>
        <v>3.6189530464921611E-9</v>
      </c>
      <c r="CN88" s="24">
        <f t="shared" si="66"/>
        <v>0.38663645992849482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193</v>
      </c>
      <c r="CR88" s="13">
        <f>VLOOKUP(A88,'Données projet'!$A$139:$I$159,9,0)</f>
        <v>3</v>
      </c>
      <c r="CS88" s="13">
        <f t="array" ref="CS88">INDEX(CR:CR,MIN(IF(ISNUMBER(CR88:CR284),ROW(CR88:CR284),"")))</f>
        <v>3</v>
      </c>
      <c r="CT88" s="13">
        <f>IF('Données projet'!$A$140&gt;35,CT87+CS88-DB87,IF(A88&lt;'Données projet'!$A$140,$CQ$205^A88,IF(A88='Données projet'!$A$140,'Données projet'!$B$140,CT87+CS88-DB87)))</f>
        <v>192.99999999999983</v>
      </c>
      <c r="CU88" s="18">
        <f>CT88*VLOOKUP('Données projet'!$B$13,Paramètres!$A$1:$I$89,3,0)*VLOOKUP('Données projet'!$B$13,Paramètres!$A$1:$I$89,5,0)</f>
        <v>126.45359999999989</v>
      </c>
      <c r="CV88" s="14">
        <f t="shared" si="95"/>
        <v>33.175575947575631</v>
      </c>
      <c r="CW88" s="22">
        <f t="shared" si="67"/>
        <v>278.02081477536069</v>
      </c>
      <c r="CX88" s="62">
        <f t="shared" si="68"/>
        <v>571.35414810869406</v>
      </c>
      <c r="CY88" s="62">
        <f ca="1">AVERAGE(OFFSET($CX$3,0,0,'Données projet'!$E$13+1,1))-AVERAGE(OFFSET($H$3,0,0,'Données projet'!$E$13+1,1))</f>
        <v>118.65321241325523</v>
      </c>
      <c r="CZ88" s="62">
        <f t="shared" si="96"/>
        <v>140.55041555757327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290</v>
      </c>
      <c r="DM88" s="13">
        <f>VLOOKUP(A88,'Données projet'!$A$165:$I$185,9,0)</f>
        <v>5.9</v>
      </c>
      <c r="DN88" s="13">
        <f t="array" ref="DN88">INDEX(DM:DM,MIN(IF(ISNUMBER(DM88:DM284),ROW(DM88:DM284),"")))</f>
        <v>5.9</v>
      </c>
      <c r="DO88" s="13">
        <f>IF('Données projet'!$A$166&gt;35,DO87+DN88-DW87,IF(A88&lt;'Données projet'!$A$166,$DL$205^A88,IF(A88='Données projet'!$A$166,'Données projet'!$B$166,DO87+DN88-DW87)))</f>
        <v>289.99999999999977</v>
      </c>
      <c r="DP88" s="18">
        <f>DO88*VLOOKUP('Données projet'!$B$14,Paramètres!$A$1:$I$89,3,0)*VLOOKUP('Données projet'!$B$14,Paramètres!$A$1:$I$89,5,0)</f>
        <v>294.05999999999977</v>
      </c>
      <c r="DQ88" s="14">
        <f t="shared" si="97"/>
        <v>69.929765653573313</v>
      </c>
      <c r="DR88" s="22">
        <f t="shared" si="70"/>
        <v>633.94884184663977</v>
      </c>
      <c r="DS88" s="62">
        <f t="shared" si="71"/>
        <v>927.28217517997314</v>
      </c>
      <c r="DT88" s="62">
        <f ca="1">AVERAGE(OFFSET($DS$3,0,0,'Données projet'!$E$14+1,1))-AVERAGE(OFFSET($H$3,0,0,'Données projet'!$E$14+1,1))</f>
        <v>328.70784159273131</v>
      </c>
      <c r="DU88" s="62">
        <f t="shared" si="98"/>
        <v>193.18009444354601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42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</v>
      </c>
      <c r="N89" s="14">
        <f>IF('Données projet'!$A$36&gt;35,N88+M89-V88,IF(A89&lt;'Données projet'!$A$36,$K$205^A89,IF(A89='Données projet'!$A$36,'Données projet'!$B$36,N88+M89-V88)))</f>
        <v>190</v>
      </c>
      <c r="O89" s="14">
        <f>N89*VLOOKUP('Données projet'!$B$9,Paramètres!$A$1:$I$89,3,0)*VLOOKUP('Données projet'!$B$9,Paramètres!$A$1:$I$89,5,0)</f>
        <v>171.91199999999998</v>
      </c>
      <c r="P89" s="14">
        <f t="shared" si="87"/>
        <v>43.517968841037288</v>
      </c>
      <c r="Q89" s="22">
        <f t="shared" si="54"/>
        <v>375.20719573147318</v>
      </c>
      <c r="R89" s="62">
        <f t="shared" si="55"/>
        <v>668.54052906480649</v>
      </c>
      <c r="S89" s="62">
        <f ca="1">AVERAGE(OFFSET($R$3,0,0,'Données projet'!$E$9+1,1))-AVERAGE(OFFSET($H$3,0,0,'Données projet'!$E$9+1,1))</f>
        <v>177.70053246230015</v>
      </c>
      <c r="T89" s="62">
        <f t="shared" si="88"/>
        <v>85.631326020763254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2.8</v>
      </c>
      <c r="AI89" s="14">
        <f>IF('Données projet'!$A$62&gt;35,AI88+AH89-AQ88,IF(A89&lt;'Données projet'!$A$62,$AF$205^A89,IF(A89='Données projet'!$A$62,'Données projet'!$B$62,AI88+AH89-AQ88)))</f>
        <v>213.79999999999998</v>
      </c>
      <c r="AJ89" s="14">
        <f>AI89*VLOOKUP('Données projet'!$B$10,Paramètres!$A$1:$I$89,3,0)*VLOOKUP('Données projet'!$B$10,Paramètres!$A$1:$I$89,5,0)</f>
        <v>186.77568000000002</v>
      </c>
      <c r="AK89" s="14">
        <f t="shared" si="89"/>
        <v>46.826392937381165</v>
      </c>
      <c r="AL89" s="22">
        <f t="shared" si="58"/>
        <v>406.85694369927222</v>
      </c>
      <c r="AM89" s="62">
        <f t="shared" si="59"/>
        <v>700.19027703260554</v>
      </c>
      <c r="AN89" s="62">
        <f ca="1">AVERAGE(OFFSET($AM$3,0,0,'Données projet'!$E$10+1,1))-AVERAGE(OFFSET($H$3,0,0,'Données projet'!$E$10+1,1))</f>
        <v>212.11273590951606</v>
      </c>
      <c r="AO89" s="62">
        <f t="shared" si="90"/>
        <v>240.9595690943346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2.2737367544323206E-13</v>
      </c>
      <c r="BE89" s="14">
        <f>BD89*VLOOKUP('Données projet'!$B$11,Paramètres!$A$1:$I$89,3,0)*VLOOKUP('Données projet'!$B$11,Paramètres!$A$1:$I$89,5,0)</f>
        <v>1.3596945791505279E-13</v>
      </c>
      <c r="BF89" s="14">
        <f t="shared" si="91"/>
        <v>1.9708830566360721E-12</v>
      </c>
      <c r="BG89" s="22">
        <f t="shared" si="61"/>
        <v>3.669434796176543E-12</v>
      </c>
      <c r="BH89" s="62">
        <f t="shared" si="62"/>
        <v>293.33333333333701</v>
      </c>
      <c r="BI89" s="62">
        <f ca="1">AVERAGE(OFFSET($BH$3,0,0,'Données projet'!$E$11+1,1))-AVERAGE(OFFSET($H$3,0,0,'Données projet'!$E$11+1,1))</f>
        <v>172.49153247238672</v>
      </c>
      <c r="BJ89" s="62">
        <f t="shared" si="92"/>
        <v>301.94982606323254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9.524643616275112</v>
      </c>
      <c r="BQ89" s="23">
        <f>EXP(-LN(2)/25)*BQ88+(1-EXP(-LN(2)/25))/(LN(2)/25)*Calculateur!BL89*Calculateur!BN89*VLOOKUP('Données projet'!$B$11,Paramètres!$A$1:$I$89,3,0)*0.475*44/12</f>
        <v>2.9274138064250468</v>
      </c>
      <c r="BR89" s="23">
        <f>EXP(-LN(2)/2)*BR88+(1-EXP(-LN(2)/2))/(LN(2)/2)*BL89*BO89*VLOOKUP('Données projet'!$B$11,Paramètres!$A$1:$I$89,3,0)*0.475*44/12</f>
        <v>2.1696182379954664E-8</v>
      </c>
      <c r="BS89" s="24">
        <f t="shared" si="63"/>
        <v>12.452057444396342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3.4106051316484809E-13</v>
      </c>
      <c r="BZ89" s="14">
        <f>BY89*VLOOKUP('Données projet'!$B$12,Paramètres!$A$1:$I$89,3,0)*VLOOKUP('Données projet'!$B$12,Paramètres!$A$1:$I$89,5,0)</f>
        <v>1.9508661353029313E-13</v>
      </c>
      <c r="CA89" s="14">
        <f t="shared" si="93"/>
        <v>2.711421636700695E-12</v>
      </c>
      <c r="CB89" s="22">
        <f t="shared" si="64"/>
        <v>5.0621685358189711E-12</v>
      </c>
      <c r="CC89" s="62">
        <f t="shared" si="65"/>
        <v>293.33333333333837</v>
      </c>
      <c r="CD89" s="62">
        <f ca="1">AVERAGE(OFFSET($CC$3,0,0,'Données projet'!$E$12+1,1))-AVERAGE(OFFSET($H$3,0,0,'Données projet'!$E$12+1,1))</f>
        <v>177.71338645688661</v>
      </c>
      <c r="CE89" s="62">
        <f t="shared" si="94"/>
        <v>153.65872713651345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0.37606386207942982</v>
      </c>
      <c r="CM89" s="23">
        <f>EXP(-LN(2)/2)*CM88+(1-EXP(-LN(2)/2))/(LN(2)/2)*CG89*CJ89*VLOOKUP('Données projet'!$B$12,Paramètres!$A$1:$I$89,3,0)*0.475*44/12</f>
        <v>2.5589862399703223E-9</v>
      </c>
      <c r="CN89" s="24">
        <f t="shared" si="66"/>
        <v>0.37606386463841607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2.8</v>
      </c>
      <c r="CT89" s="13">
        <f>IF('Données projet'!$A$140&gt;35,CT88+CS89-DB88,IF(A89&lt;'Données projet'!$A$140,$CQ$205^A89,IF(A89='Données projet'!$A$140,'Données projet'!$B$140,CT88+CS89-DB88)))</f>
        <v>195.79999999999984</v>
      </c>
      <c r="CU89" s="18">
        <f>CT89*VLOOKUP('Données projet'!$B$13,Paramètres!$A$1:$I$89,3,0)*VLOOKUP('Données projet'!$B$13,Paramètres!$A$1:$I$89,5,0)</f>
        <v>128.28815999999989</v>
      </c>
      <c r="CV89" s="14">
        <f t="shared" si="95"/>
        <v>33.600498728056053</v>
      </c>
      <c r="CW89" s="22">
        <f t="shared" si="67"/>
        <v>281.95608061803074</v>
      </c>
      <c r="CX89" s="62">
        <f t="shared" si="68"/>
        <v>575.28941395136405</v>
      </c>
      <c r="CY89" s="62">
        <f ca="1">AVERAGE(OFFSET($CX$3,0,0,'Données projet'!$E$13+1,1))-AVERAGE(OFFSET($H$3,0,0,'Données projet'!$E$13+1,1))</f>
        <v>118.65321241325523</v>
      </c>
      <c r="CZ89" s="62">
        <f t="shared" si="96"/>
        <v>140.55041555757327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5.2</v>
      </c>
      <c r="DO89" s="13">
        <f>IF('Données projet'!$A$166&gt;35,DO88+DN89-DW88,IF(A89&lt;'Données projet'!$A$166,$DL$205^A89,IF(A89='Données projet'!$A$166,'Données projet'!$B$166,DO88+DN89-DW88)))</f>
        <v>253.19999999999976</v>
      </c>
      <c r="DP89" s="18">
        <f>DO89*VLOOKUP('Données projet'!$B$14,Paramètres!$A$1:$I$89,3,0)*VLOOKUP('Données projet'!$B$14,Paramètres!$A$1:$I$89,5,0)</f>
        <v>256.74479999999977</v>
      </c>
      <c r="DQ89" s="14">
        <f t="shared" si="97"/>
        <v>62.027992887126103</v>
      </c>
      <c r="DR89" s="22">
        <f t="shared" si="70"/>
        <v>555.19594761174415</v>
      </c>
      <c r="DS89" s="62">
        <f t="shared" si="71"/>
        <v>848.52928094507752</v>
      </c>
      <c r="DT89" s="62">
        <f ca="1">AVERAGE(OFFSET($DS$3,0,0,'Données projet'!$E$14+1,1))-AVERAGE(OFFSET($H$3,0,0,'Données projet'!$E$14+1,1))</f>
        <v>328.70784159273131</v>
      </c>
      <c r="DU89" s="62">
        <f t="shared" si="98"/>
        <v>193.18009444354601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</v>
      </c>
      <c r="N90" s="14">
        <f>IF('Données projet'!$A$36&gt;35,N89+M90-V89,IF(A90&lt;'Données projet'!$A$36,$K$205^A90,IF(A90='Données projet'!$A$36,'Données projet'!$B$36,N89+M90-V89)))</f>
        <v>194</v>
      </c>
      <c r="O90" s="14">
        <f>N90*VLOOKUP('Données projet'!$B$9,Paramètres!$A$1:$I$89,3,0)*VLOOKUP('Données projet'!$B$9,Paramètres!$A$1:$I$89,5,0)</f>
        <v>175.53120000000001</v>
      </c>
      <c r="P90" s="14">
        <f t="shared" si="87"/>
        <v>44.326510481422488</v>
      </c>
      <c r="Q90" s="22">
        <f t="shared" si="54"/>
        <v>382.9188457551441</v>
      </c>
      <c r="R90" s="62">
        <f t="shared" si="55"/>
        <v>676.25217908847742</v>
      </c>
      <c r="S90" s="62">
        <f ca="1">AVERAGE(OFFSET($R$3,0,0,'Données projet'!$E$9+1,1))-AVERAGE(OFFSET($H$3,0,0,'Données projet'!$E$9+1,1))</f>
        <v>177.70053246230015</v>
      </c>
      <c r="T90" s="62">
        <f t="shared" si="88"/>
        <v>85.631326020763254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2.8</v>
      </c>
      <c r="AI90" s="14">
        <f>IF('Données projet'!$A$62&gt;35,AI89+AH90-AQ89,IF(A90&lt;'Données projet'!$A$62,$AF$205^A90,IF(A90='Données projet'!$A$62,'Données projet'!$B$62,AI89+AH90-AQ89)))</f>
        <v>216.6</v>
      </c>
      <c r="AJ90" s="14">
        <f>AI90*VLOOKUP('Données projet'!$B$10,Paramètres!$A$1:$I$89,3,0)*VLOOKUP('Données projet'!$B$10,Paramètres!$A$1:$I$89,5,0)</f>
        <v>189.22176000000002</v>
      </c>
      <c r="AK90" s="14">
        <f t="shared" si="89"/>
        <v>47.367853957810077</v>
      </c>
      <c r="AL90" s="22">
        <f t="shared" si="58"/>
        <v>412.06024430985258</v>
      </c>
      <c r="AM90" s="62">
        <f t="shared" si="59"/>
        <v>705.39357764318584</v>
      </c>
      <c r="AN90" s="62">
        <f ca="1">AVERAGE(OFFSET($AM$3,0,0,'Données projet'!$E$10+1,1))-AVERAGE(OFFSET($H$3,0,0,'Données projet'!$E$10+1,1))</f>
        <v>212.11273590951606</v>
      </c>
      <c r="AO90" s="62">
        <f t="shared" si="90"/>
        <v>240.9595690943346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2.2737367544323206E-13</v>
      </c>
      <c r="BE90" s="14">
        <f>BD90*VLOOKUP('Données projet'!$B$11,Paramètres!$A$1:$I$89,3,0)*VLOOKUP('Données projet'!$B$11,Paramètres!$A$1:$I$89,5,0)</f>
        <v>1.3596945791505279E-13</v>
      </c>
      <c r="BF90" s="14">
        <f t="shared" si="91"/>
        <v>1.9708830566360721E-12</v>
      </c>
      <c r="BG90" s="22">
        <f t="shared" si="61"/>
        <v>3.669434796176543E-12</v>
      </c>
      <c r="BH90" s="62">
        <f t="shared" si="62"/>
        <v>293.33333333333701</v>
      </c>
      <c r="BI90" s="62">
        <f ca="1">AVERAGE(OFFSET($BH$3,0,0,'Données projet'!$E$11+1,1))-AVERAGE(OFFSET($H$3,0,0,'Données projet'!$E$11+1,1))</f>
        <v>172.49153247238672</v>
      </c>
      <c r="BJ90" s="62">
        <f t="shared" si="92"/>
        <v>301.94982606323254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9.3378711644189263</v>
      </c>
      <c r="BQ90" s="23">
        <f>EXP(-LN(2)/25)*BQ89+(1-EXP(-LN(2)/25))/(LN(2)/25)*Calculateur!BL90*Calculateur!BN90*VLOOKUP('Données projet'!$B$11,Paramètres!$A$1:$I$89,3,0)*0.475*44/12</f>
        <v>2.8473635219423525</v>
      </c>
      <c r="BR90" s="23">
        <f>EXP(-LN(2)/2)*BR89+(1-EXP(-LN(2)/2))/(LN(2)/2)*BL90*BO90*VLOOKUP('Données projet'!$B$11,Paramètres!$A$1:$I$89,3,0)*0.475*44/12</f>
        <v>1.534151768672603E-8</v>
      </c>
      <c r="BS90" s="24">
        <f t="shared" si="63"/>
        <v>12.185234701702797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3.4106051316484809E-13</v>
      </c>
      <c r="BZ90" s="14">
        <f>BY90*VLOOKUP('Données projet'!$B$12,Paramètres!$A$1:$I$89,3,0)*VLOOKUP('Données projet'!$B$12,Paramètres!$A$1:$I$89,5,0)</f>
        <v>1.9508661353029313E-13</v>
      </c>
      <c r="CA90" s="14">
        <f t="shared" si="93"/>
        <v>2.711421636700695E-12</v>
      </c>
      <c r="CB90" s="22">
        <f t="shared" si="64"/>
        <v>5.0621685358189711E-12</v>
      </c>
      <c r="CC90" s="62">
        <f t="shared" si="65"/>
        <v>293.33333333333837</v>
      </c>
      <c r="CD90" s="62">
        <f ca="1">AVERAGE(OFFSET($CC$3,0,0,'Données projet'!$E$12+1,1))-AVERAGE(OFFSET($H$3,0,0,'Données projet'!$E$12+1,1))</f>
        <v>177.71338645688661</v>
      </c>
      <c r="CE90" s="62">
        <f t="shared" si="94"/>
        <v>153.65872713651345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0.36578037599452884</v>
      </c>
      <c r="CM90" s="23">
        <f>EXP(-LN(2)/2)*CM89+(1-EXP(-LN(2)/2))/(LN(2)/2)*CG90*CJ90*VLOOKUP('Données projet'!$B$12,Paramètres!$A$1:$I$89,3,0)*0.475*44/12</f>
        <v>1.8094765232460807E-9</v>
      </c>
      <c r="CN90" s="24">
        <f t="shared" si="66"/>
        <v>0.36578037780400535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2.8</v>
      </c>
      <c r="CT90" s="13">
        <f>IF('Données projet'!$A$140&gt;35,CT89+CS90-DB89,IF(A90&lt;'Données projet'!$A$140,$CQ$205^A90,IF(A90='Données projet'!$A$140,'Données projet'!$B$140,CT89+CS90-DB89)))</f>
        <v>198.59999999999985</v>
      </c>
      <c r="CU90" s="18">
        <f>CT90*VLOOKUP('Données projet'!$B$13,Paramètres!$A$1:$I$89,3,0)*VLOOKUP('Données projet'!$B$13,Paramètres!$A$1:$I$89,5,0)</f>
        <v>130.1227199999999</v>
      </c>
      <c r="CV90" s="14">
        <f t="shared" si="95"/>
        <v>34.024714763793234</v>
      </c>
      <c r="CW90" s="22">
        <f t="shared" si="67"/>
        <v>285.89011554693974</v>
      </c>
      <c r="CX90" s="62">
        <f t="shared" si="68"/>
        <v>579.22344888027305</v>
      </c>
      <c r="CY90" s="62">
        <f ca="1">AVERAGE(OFFSET($CX$3,0,0,'Données projet'!$E$13+1,1))-AVERAGE(OFFSET($H$3,0,0,'Données projet'!$E$13+1,1))</f>
        <v>118.65321241325523</v>
      </c>
      <c r="CZ90" s="62">
        <f t="shared" si="96"/>
        <v>140.55041555757327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5.2</v>
      </c>
      <c r="DO90" s="13">
        <f>IF('Données projet'!$A$166&gt;35,DO89+DN90-DW89,IF(A90&lt;'Données projet'!$A$166,$DL$205^A90,IF(A90='Données projet'!$A$166,'Données projet'!$B$166,DO89+DN90-DW89)))</f>
        <v>258.39999999999975</v>
      </c>
      <c r="DP90" s="18">
        <f>DO90*VLOOKUP('Données projet'!$B$14,Paramètres!$A$1:$I$89,3,0)*VLOOKUP('Données projet'!$B$14,Paramètres!$A$1:$I$89,5,0)</f>
        <v>262.01759999999973</v>
      </c>
      <c r="DQ90" s="14">
        <f t="shared" si="97"/>
        <v>63.152255067978103</v>
      </c>
      <c r="DR90" s="22">
        <f t="shared" si="70"/>
        <v>566.33749757672797</v>
      </c>
      <c r="DS90" s="62">
        <f t="shared" si="71"/>
        <v>859.67083091006134</v>
      </c>
      <c r="DT90" s="62">
        <f ca="1">AVERAGE(OFFSET($DS$3,0,0,'Données projet'!$E$14+1,1))-AVERAGE(OFFSET($H$3,0,0,'Données projet'!$E$14+1,1))</f>
        <v>328.70784159273131</v>
      </c>
      <c r="DU90" s="62">
        <f t="shared" si="98"/>
        <v>193.18009444354601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</v>
      </c>
      <c r="N91" s="14">
        <f>IF('Données projet'!$A$36&gt;35,N90+M91-V90,IF(A91&lt;'Données projet'!$A$36,$K$205^A91,IF(A91='Données projet'!$A$36,'Données projet'!$B$36,N90+M91-V90)))</f>
        <v>198</v>
      </c>
      <c r="O91" s="14">
        <f>N91*VLOOKUP('Données projet'!$B$9,Paramètres!$A$1:$I$89,3,0)*VLOOKUP('Données projet'!$B$9,Paramètres!$A$1:$I$89,5,0)</f>
        <v>179.15039999999999</v>
      </c>
      <c r="P91" s="14">
        <f t="shared" si="87"/>
        <v>45.133113803437304</v>
      </c>
      <c r="Q91" s="22">
        <f t="shared" si="54"/>
        <v>390.62711987431993</v>
      </c>
      <c r="R91" s="62">
        <f t="shared" si="55"/>
        <v>683.96045320765325</v>
      </c>
      <c r="S91" s="62">
        <f ca="1">AVERAGE(OFFSET($R$3,0,0,'Données projet'!$E$9+1,1))-AVERAGE(OFFSET($H$3,0,0,'Données projet'!$E$9+1,1))</f>
        <v>177.70053246230015</v>
      </c>
      <c r="T91" s="62">
        <f t="shared" si="88"/>
        <v>85.631326020763254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2.8</v>
      </c>
      <c r="AI91" s="14">
        <f>IF('Données projet'!$A$62&gt;35,AI90+AH91-AQ90,IF(A91&lt;'Données projet'!$A$62,$AF$205^A91,IF(A91='Données projet'!$A$62,'Données projet'!$B$62,AI90+AH91-AQ90)))</f>
        <v>219.4</v>
      </c>
      <c r="AJ91" s="14">
        <f>AI91*VLOOKUP('Données projet'!$B$10,Paramètres!$A$1:$I$89,3,0)*VLOOKUP('Données projet'!$B$10,Paramètres!$A$1:$I$89,5,0)</f>
        <v>191.66784000000004</v>
      </c>
      <c r="AK91" s="14">
        <f t="shared" si="89"/>
        <v>47.908500825580958</v>
      </c>
      <c r="AL91" s="22">
        <f t="shared" si="58"/>
        <v>417.26212693788688</v>
      </c>
      <c r="AM91" s="62">
        <f t="shared" si="59"/>
        <v>710.59546027122019</v>
      </c>
      <c r="AN91" s="62">
        <f ca="1">AVERAGE(OFFSET($AM$3,0,0,'Données projet'!$E$10+1,1))-AVERAGE(OFFSET($H$3,0,0,'Données projet'!$E$10+1,1))</f>
        <v>212.11273590951606</v>
      </c>
      <c r="AO91" s="62">
        <f t="shared" si="90"/>
        <v>240.9595690943346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2.2737367544323206E-13</v>
      </c>
      <c r="BE91" s="14">
        <f>BD91*VLOOKUP('Données projet'!$B$11,Paramètres!$A$1:$I$89,3,0)*VLOOKUP('Données projet'!$B$11,Paramètres!$A$1:$I$89,5,0)</f>
        <v>1.3596945791505279E-13</v>
      </c>
      <c r="BF91" s="14">
        <f t="shared" si="91"/>
        <v>1.9708830566360721E-12</v>
      </c>
      <c r="BG91" s="22">
        <f t="shared" si="61"/>
        <v>3.669434796176543E-12</v>
      </c>
      <c r="BH91" s="62">
        <f t="shared" si="62"/>
        <v>293.33333333333701</v>
      </c>
      <c r="BI91" s="62">
        <f ca="1">AVERAGE(OFFSET($BH$3,0,0,'Données projet'!$E$11+1,1))-AVERAGE(OFFSET($H$3,0,0,'Données projet'!$E$11+1,1))</f>
        <v>172.49153247238672</v>
      </c>
      <c r="BJ91" s="62">
        <f t="shared" si="92"/>
        <v>301.94982606323254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9.154761206423693</v>
      </c>
      <c r="BQ91" s="23">
        <f>EXP(-LN(2)/25)*BQ90+(1-EXP(-LN(2)/25))/(LN(2)/25)*Calculateur!BL91*Calculateur!BN91*VLOOKUP('Données projet'!$B$11,Paramètres!$A$1:$I$89,3,0)*0.475*44/12</f>
        <v>2.7695022166984988</v>
      </c>
      <c r="BR91" s="23">
        <f>EXP(-LN(2)/2)*BR90+(1-EXP(-LN(2)/2))/(LN(2)/2)*BL91*BO91*VLOOKUP('Données projet'!$B$11,Paramètres!$A$1:$I$89,3,0)*0.475*44/12</f>
        <v>1.0848091189977332E-8</v>
      </c>
      <c r="BS91" s="24">
        <f t="shared" si="63"/>
        <v>11.924263433970282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3.4106051316484809E-13</v>
      </c>
      <c r="BZ91" s="14">
        <f>BY91*VLOOKUP('Données projet'!$B$12,Paramètres!$A$1:$I$89,3,0)*VLOOKUP('Données projet'!$B$12,Paramètres!$A$1:$I$89,5,0)</f>
        <v>1.9508661353029313E-13</v>
      </c>
      <c r="CA91" s="14">
        <f t="shared" si="93"/>
        <v>2.711421636700695E-12</v>
      </c>
      <c r="CB91" s="22">
        <f t="shared" si="64"/>
        <v>5.0621685358189711E-12</v>
      </c>
      <c r="CC91" s="62">
        <f t="shared" si="65"/>
        <v>293.33333333333837</v>
      </c>
      <c r="CD91" s="62">
        <f ca="1">AVERAGE(OFFSET($CC$3,0,0,'Données projet'!$E$12+1,1))-AVERAGE(OFFSET($H$3,0,0,'Données projet'!$E$12+1,1))</f>
        <v>177.71338645688661</v>
      </c>
      <c r="CE91" s="62">
        <f t="shared" si="94"/>
        <v>153.65872713651345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0.35577809237740449</v>
      </c>
      <c r="CM91" s="23">
        <f>EXP(-LN(2)/2)*CM90+(1-EXP(-LN(2)/2))/(LN(2)/2)*CG91*CJ91*VLOOKUP('Données projet'!$B$12,Paramètres!$A$1:$I$89,3,0)*0.475*44/12</f>
        <v>1.2794931199851613E-9</v>
      </c>
      <c r="CN91" s="24">
        <f t="shared" si="66"/>
        <v>0.35577809365689761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2.8</v>
      </c>
      <c r="CT91" s="13">
        <f>IF('Données projet'!$A$140&gt;35,CT90+CS91-DB90,IF(A91&lt;'Données projet'!$A$140,$CQ$205^A91,IF(A91='Données projet'!$A$140,'Données projet'!$B$140,CT90+CS91-DB90)))</f>
        <v>201.39999999999986</v>
      </c>
      <c r="CU91" s="18">
        <f>CT91*VLOOKUP('Données projet'!$B$13,Paramètres!$A$1:$I$89,3,0)*VLOOKUP('Données projet'!$B$13,Paramètres!$A$1:$I$89,5,0)</f>
        <v>131.95727999999991</v>
      </c>
      <c r="CV91" s="14">
        <f t="shared" si="95"/>
        <v>34.448235170411273</v>
      </c>
      <c r="CW91" s="22">
        <f t="shared" si="67"/>
        <v>289.82293892179945</v>
      </c>
      <c r="CX91" s="62">
        <f t="shared" si="68"/>
        <v>583.15627225513276</v>
      </c>
      <c r="CY91" s="62">
        <f ca="1">AVERAGE(OFFSET($CX$3,0,0,'Données projet'!$E$13+1,1))-AVERAGE(OFFSET($H$3,0,0,'Données projet'!$E$13+1,1))</f>
        <v>118.65321241325523</v>
      </c>
      <c r="CZ91" s="62">
        <f t="shared" si="96"/>
        <v>140.55041555757327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5.2</v>
      </c>
      <c r="DO91" s="13">
        <f>IF('Données projet'!$A$166&gt;35,DO90+DN91-DW90,IF(A91&lt;'Données projet'!$A$166,$DL$205^A91,IF(A91='Données projet'!$A$166,'Données projet'!$B$166,DO90+DN91-DW90)))</f>
        <v>263.59999999999974</v>
      </c>
      <c r="DP91" s="18">
        <f>DO91*VLOOKUP('Données projet'!$B$14,Paramètres!$A$1:$I$89,3,0)*VLOOKUP('Données projet'!$B$14,Paramètres!$A$1:$I$89,5,0)</f>
        <v>267.29039999999975</v>
      </c>
      <c r="DQ91" s="14">
        <f t="shared" si="97"/>
        <v>64.273886654661325</v>
      </c>
      <c r="DR91" s="22">
        <f t="shared" si="70"/>
        <v>577.47446592353469</v>
      </c>
      <c r="DS91" s="62">
        <f t="shared" si="71"/>
        <v>870.80779925686807</v>
      </c>
      <c r="DT91" s="62">
        <f ca="1">AVERAGE(OFFSET($DS$3,0,0,'Données projet'!$E$14+1,1))-AVERAGE(OFFSET($H$3,0,0,'Données projet'!$E$14+1,1))</f>
        <v>328.70784159273131</v>
      </c>
      <c r="DU91" s="62">
        <f t="shared" si="98"/>
        <v>193.18009444354601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</v>
      </c>
      <c r="N92" s="14">
        <f>IF('Données projet'!$A$36&gt;35,N91+M92-V91,IF(A92&lt;'Données projet'!$A$36,$K$205^A92,IF(A92='Données projet'!$A$36,'Données projet'!$B$36,N91+M92-V91)))</f>
        <v>202</v>
      </c>
      <c r="O92" s="14">
        <f>N92*VLOOKUP('Données projet'!$B$9,Paramètres!$A$1:$I$89,3,0)*VLOOKUP('Données projet'!$B$9,Paramètres!$A$1:$I$89,5,0)</f>
        <v>182.7696</v>
      </c>
      <c r="P92" s="14">
        <f t="shared" si="87"/>
        <v>45.937822477650357</v>
      </c>
      <c r="Q92" s="22">
        <f t="shared" si="54"/>
        <v>398.33209414857441</v>
      </c>
      <c r="R92" s="62">
        <f t="shared" si="55"/>
        <v>691.66542748190773</v>
      </c>
      <c r="S92" s="62">
        <f ca="1">AVERAGE(OFFSET($R$3,0,0,'Données projet'!$E$9+1,1))-AVERAGE(OFFSET($H$3,0,0,'Données projet'!$E$9+1,1))</f>
        <v>177.70053246230015</v>
      </c>
      <c r="T92" s="62">
        <f t="shared" si="88"/>
        <v>85.631326020763254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2.8</v>
      </c>
      <c r="AI92" s="14">
        <f>IF('Données projet'!$A$62&gt;35,AI91+AH92-AQ91,IF(A92&lt;'Données projet'!$A$62,$AF$205^A92,IF(A92='Données projet'!$A$62,'Données projet'!$B$62,AI91+AH92-AQ91)))</f>
        <v>222.20000000000002</v>
      </c>
      <c r="AJ92" s="14">
        <f>AI92*VLOOKUP('Données projet'!$B$10,Paramètres!$A$1:$I$89,3,0)*VLOOKUP('Données projet'!$B$10,Paramètres!$A$1:$I$89,5,0)</f>
        <v>194.11392000000004</v>
      </c>
      <c r="AK92" s="14">
        <f t="shared" si="89"/>
        <v>48.44834513242396</v>
      </c>
      <c r="AL92" s="22">
        <f t="shared" si="58"/>
        <v>422.46261177230508</v>
      </c>
      <c r="AM92" s="62">
        <f t="shared" si="59"/>
        <v>715.79594510563834</v>
      </c>
      <c r="AN92" s="62">
        <f ca="1">AVERAGE(OFFSET($AM$3,0,0,'Données projet'!$E$10+1,1))-AVERAGE(OFFSET($H$3,0,0,'Données projet'!$E$10+1,1))</f>
        <v>212.11273590951606</v>
      </c>
      <c r="AO92" s="62">
        <f t="shared" si="90"/>
        <v>240.9595690943346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2.2737367544323206E-13</v>
      </c>
      <c r="BE92" s="14">
        <f>BD92*VLOOKUP('Données projet'!$B$11,Paramètres!$A$1:$I$89,3,0)*VLOOKUP('Données projet'!$B$11,Paramètres!$A$1:$I$89,5,0)</f>
        <v>1.3596945791505279E-13</v>
      </c>
      <c r="BF92" s="14">
        <f t="shared" si="91"/>
        <v>1.9708830566360721E-12</v>
      </c>
      <c r="BG92" s="22">
        <f t="shared" si="61"/>
        <v>3.669434796176543E-12</v>
      </c>
      <c r="BH92" s="62">
        <f t="shared" si="62"/>
        <v>293.33333333333701</v>
      </c>
      <c r="BI92" s="62">
        <f ca="1">AVERAGE(OFFSET($BH$3,0,0,'Données projet'!$E$11+1,1))-AVERAGE(OFFSET($H$3,0,0,'Données projet'!$E$11+1,1))</f>
        <v>172.49153247238672</v>
      </c>
      <c r="BJ92" s="62">
        <f t="shared" si="92"/>
        <v>301.94982606323254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8.9752419230187002</v>
      </c>
      <c r="BQ92" s="23">
        <f>EXP(-LN(2)/25)*BQ91+(1-EXP(-LN(2)/25))/(LN(2)/25)*Calculateur!BL92*Calculateur!BN92*VLOOKUP('Données projet'!$B$11,Paramètres!$A$1:$I$89,3,0)*0.475*44/12</f>
        <v>2.6937700329410865</v>
      </c>
      <c r="BR92" s="23">
        <f>EXP(-LN(2)/2)*BR91+(1-EXP(-LN(2)/2))/(LN(2)/2)*BL92*BO92*VLOOKUP('Données projet'!$B$11,Paramètres!$A$1:$I$89,3,0)*0.475*44/12</f>
        <v>7.6707588433630152E-9</v>
      </c>
      <c r="BS92" s="24">
        <f t="shared" si="63"/>
        <v>11.669011963630545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3.4106051316484809E-13</v>
      </c>
      <c r="BZ92" s="14">
        <f>BY92*VLOOKUP('Données projet'!$B$12,Paramètres!$A$1:$I$89,3,0)*VLOOKUP('Données projet'!$B$12,Paramètres!$A$1:$I$89,5,0)</f>
        <v>1.9508661353029313E-13</v>
      </c>
      <c r="CA92" s="14">
        <f t="shared" si="93"/>
        <v>2.711421636700695E-12</v>
      </c>
      <c r="CB92" s="22">
        <f t="shared" si="64"/>
        <v>5.0621685358189711E-12</v>
      </c>
      <c r="CC92" s="62">
        <f t="shared" si="65"/>
        <v>293.33333333333837</v>
      </c>
      <c r="CD92" s="62">
        <f ca="1">AVERAGE(OFFSET($CC$3,0,0,'Données projet'!$E$12+1,1))-AVERAGE(OFFSET($H$3,0,0,'Données projet'!$E$12+1,1))</f>
        <v>177.71338645688661</v>
      </c>
      <c r="CE92" s="62">
        <f t="shared" si="94"/>
        <v>153.65872713651345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0.34604932173178765</v>
      </c>
      <c r="CM92" s="23">
        <f>EXP(-LN(2)/2)*CM91+(1-EXP(-LN(2)/2))/(LN(2)/2)*CG92*CJ92*VLOOKUP('Données projet'!$B$12,Paramètres!$A$1:$I$89,3,0)*0.475*44/12</f>
        <v>9.0473826162304057E-10</v>
      </c>
      <c r="CN92" s="24">
        <f t="shared" si="66"/>
        <v>0.34604932263652594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2.8</v>
      </c>
      <c r="CT92" s="13">
        <f>IF('Données projet'!$A$140&gt;35,CT91+CS92-DB91,IF(A92&lt;'Données projet'!$A$140,$CQ$205^A92,IF(A92='Données projet'!$A$140,'Données projet'!$B$140,CT91+CS92-DB91)))</f>
        <v>204.19999999999987</v>
      </c>
      <c r="CU92" s="18">
        <f>CT92*VLOOKUP('Données projet'!$B$13,Paramètres!$A$1:$I$89,3,0)*VLOOKUP('Données projet'!$B$13,Paramètres!$A$1:$I$89,5,0)</f>
        <v>133.79183999999992</v>
      </c>
      <c r="CV92" s="14">
        <f t="shared" si="95"/>
        <v>34.871070736705384</v>
      </c>
      <c r="CW92" s="22">
        <f t="shared" si="67"/>
        <v>293.75456953309504</v>
      </c>
      <c r="CX92" s="62">
        <f t="shared" si="68"/>
        <v>587.08790286642829</v>
      </c>
      <c r="CY92" s="62">
        <f ca="1">AVERAGE(OFFSET($CX$3,0,0,'Données projet'!$E$13+1,1))-AVERAGE(OFFSET($H$3,0,0,'Données projet'!$E$13+1,1))</f>
        <v>118.65321241325523</v>
      </c>
      <c r="CZ92" s="62">
        <f t="shared" si="96"/>
        <v>140.55041555757327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5.2</v>
      </c>
      <c r="DO92" s="13">
        <f>IF('Données projet'!$A$166&gt;35,DO91+DN92-DW91,IF(A92&lt;'Données projet'!$A$166,$DL$205^A92,IF(A92='Données projet'!$A$166,'Données projet'!$B$166,DO91+DN92-DW91)))</f>
        <v>268.79999999999973</v>
      </c>
      <c r="DP92" s="18">
        <f>DO92*VLOOKUP('Données projet'!$B$14,Paramètres!$A$1:$I$89,3,0)*VLOOKUP('Données projet'!$B$14,Paramètres!$A$1:$I$89,5,0)</f>
        <v>272.56319999999977</v>
      </c>
      <c r="DQ92" s="14">
        <f t="shared" si="97"/>
        <v>65.392945522034552</v>
      </c>
      <c r="DR92" s="22">
        <f t="shared" si="70"/>
        <v>588.6069534508764</v>
      </c>
      <c r="DS92" s="62">
        <f t="shared" si="71"/>
        <v>881.94028678420977</v>
      </c>
      <c r="DT92" s="62">
        <f ca="1">AVERAGE(OFFSET($DS$3,0,0,'Données projet'!$E$14+1,1))-AVERAGE(OFFSET($H$3,0,0,'Données projet'!$E$14+1,1))</f>
        <v>328.70784159273131</v>
      </c>
      <c r="DU92" s="62">
        <f t="shared" si="98"/>
        <v>193.18009444354601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4</v>
      </c>
      <c r="N93" s="14">
        <f>IF('Données projet'!$A$36&gt;35,N92+M93-V92,IF(A93&lt;'Données projet'!$A$36,$K$205^A93,IF(A93='Données projet'!$A$36,'Données projet'!$B$36,N92+M93-V92)))</f>
        <v>206</v>
      </c>
      <c r="O93" s="14">
        <f>N93*VLOOKUP('Données projet'!$B$9,Paramètres!$A$1:$I$89,3,0)*VLOOKUP('Données projet'!$B$9,Paramètres!$A$1:$I$89,5,0)</f>
        <v>186.3888</v>
      </c>
      <c r="P93" s="14">
        <f t="shared" si="87"/>
        <v>46.740678346193498</v>
      </c>
      <c r="Q93" s="22">
        <f t="shared" si="54"/>
        <v>406.03384145295371</v>
      </c>
      <c r="R93" s="62">
        <f t="shared" si="55"/>
        <v>699.36717478628702</v>
      </c>
      <c r="S93" s="62">
        <f ca="1">AVERAGE(OFFSET($R$3,0,0,'Données projet'!$E$9+1,1))-AVERAGE(OFFSET($H$3,0,0,'Données projet'!$E$9+1,1))</f>
        <v>177.70053246230015</v>
      </c>
      <c r="T93" s="62">
        <f t="shared" si="88"/>
        <v>85.631326020763254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225</v>
      </c>
      <c r="AG93" s="13">
        <f>VLOOKUP(A93,'Données projet'!$A$61:$I$81,9,0)</f>
        <v>2.8</v>
      </c>
      <c r="AH93" s="13">
        <f t="array" ref="AH93">INDEX(AG:AG,MIN(IF(ISNUMBER(AG93:AG289),ROW(AG93:AG289),"")))</f>
        <v>2.8</v>
      </c>
      <c r="AI93" s="14">
        <f>IF('Données projet'!$A$62&gt;35,AI92+AH93-AQ92,IF(A93&lt;'Données projet'!$A$62,$AF$205^A93,IF(A93='Données projet'!$A$62,'Données projet'!$B$62,AI92+AH93-AQ92)))</f>
        <v>225.00000000000003</v>
      </c>
      <c r="AJ93" s="14">
        <f>AI93*VLOOKUP('Données projet'!$B$10,Paramètres!$A$1:$I$89,3,0)*VLOOKUP('Données projet'!$B$10,Paramètres!$A$1:$I$89,5,0)</f>
        <v>196.56000000000006</v>
      </c>
      <c r="AK93" s="14">
        <f t="shared" si="89"/>
        <v>48.987398161128134</v>
      </c>
      <c r="AL93" s="22">
        <f t="shared" si="58"/>
        <v>427.66171846396492</v>
      </c>
      <c r="AM93" s="62">
        <f t="shared" si="59"/>
        <v>720.99505179729817</v>
      </c>
      <c r="AN93" s="62">
        <f ca="1">AVERAGE(OFFSET($AM$3,0,0,'Données projet'!$E$10+1,1))-AVERAGE(OFFSET($H$3,0,0,'Données projet'!$E$10+1,1))</f>
        <v>212.11273590951606</v>
      </c>
      <c r="AO93" s="62">
        <f t="shared" si="90"/>
        <v>240.9595690943346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20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2.2737367544323206E-13</v>
      </c>
      <c r="BE93" s="14">
        <f>BD93*VLOOKUP('Données projet'!$B$11,Paramètres!$A$1:$I$89,3,0)*VLOOKUP('Données projet'!$B$11,Paramètres!$A$1:$I$89,5,0)</f>
        <v>1.3596945791505279E-13</v>
      </c>
      <c r="BF93" s="14">
        <f t="shared" si="91"/>
        <v>1.9708830566360721E-12</v>
      </c>
      <c r="BG93" s="22">
        <f t="shared" si="61"/>
        <v>3.669434796176543E-12</v>
      </c>
      <c r="BH93" s="62">
        <f t="shared" si="62"/>
        <v>293.33333333333701</v>
      </c>
      <c r="BI93" s="62">
        <f ca="1">AVERAGE(OFFSET($BH$3,0,0,'Données projet'!$E$11+1,1))-AVERAGE(OFFSET($H$3,0,0,'Données projet'!$E$11+1,1))</f>
        <v>172.49153247238672</v>
      </c>
      <c r="BJ93" s="62">
        <f t="shared" si="92"/>
        <v>301.94982606323254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8.7992429032653288</v>
      </c>
      <c r="BQ93" s="23">
        <f>EXP(-LN(2)/25)*BQ92+(1-EXP(-LN(2)/25))/(LN(2)/25)*Calculateur!BL93*Calculateur!BN93*VLOOKUP('Données projet'!$B$11,Paramètres!$A$1:$I$89,3,0)*0.475*44/12</f>
        <v>2.6201087497311031</v>
      </c>
      <c r="BR93" s="23">
        <f>EXP(-LN(2)/2)*BR92+(1-EXP(-LN(2)/2))/(LN(2)/2)*BL93*BO93*VLOOKUP('Données projet'!$B$11,Paramètres!$A$1:$I$89,3,0)*0.475*44/12</f>
        <v>5.424045594988666E-9</v>
      </c>
      <c r="BS93" s="24">
        <f t="shared" si="63"/>
        <v>11.419351658420478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3.4106051316484809E-13</v>
      </c>
      <c r="BZ93" s="14">
        <f>BY93*VLOOKUP('Données projet'!$B$12,Paramètres!$A$1:$I$89,3,0)*VLOOKUP('Données projet'!$B$12,Paramètres!$A$1:$I$89,5,0)</f>
        <v>1.9508661353029313E-13</v>
      </c>
      <c r="CA93" s="14">
        <f t="shared" si="93"/>
        <v>2.711421636700695E-12</v>
      </c>
      <c r="CB93" s="22">
        <f t="shared" si="64"/>
        <v>5.0621685358189711E-12</v>
      </c>
      <c r="CC93" s="62">
        <f t="shared" si="65"/>
        <v>293.33333333333837</v>
      </c>
      <c r="CD93" s="62">
        <f ca="1">AVERAGE(OFFSET($CC$3,0,0,'Données projet'!$E$12+1,1))-AVERAGE(OFFSET($H$3,0,0,'Données projet'!$E$12+1,1))</f>
        <v>177.71338645688661</v>
      </c>
      <c r="CE93" s="62">
        <f t="shared" si="94"/>
        <v>153.65872713651345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0.336586584831089</v>
      </c>
      <c r="CM93" s="23">
        <f>EXP(-LN(2)/2)*CM92+(1-EXP(-LN(2)/2))/(LN(2)/2)*CG93*CJ93*VLOOKUP('Données projet'!$B$12,Paramètres!$A$1:$I$89,3,0)*0.475*44/12</f>
        <v>6.3974655999258078E-10</v>
      </c>
      <c r="CN93" s="24">
        <f t="shared" si="66"/>
        <v>0.33658658547083553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207</v>
      </c>
      <c r="CR93" s="13">
        <f>VLOOKUP(A93,'Données projet'!$A$139:$I$159,9,0)</f>
        <v>2.8</v>
      </c>
      <c r="CS93" s="13">
        <f t="array" ref="CS93">INDEX(CR:CR,MIN(IF(ISNUMBER(CR93:CR289),ROW(CR93:CR289),"")))</f>
        <v>2.8</v>
      </c>
      <c r="CT93" s="13">
        <f>IF('Données projet'!$A$140&gt;35,CT92+CS93-DB92,IF(A93&lt;'Données projet'!$A$140,$CQ$205^A93,IF(A93='Données projet'!$A$140,'Données projet'!$B$140,CT92+CS93-DB92)))</f>
        <v>206.99999999999989</v>
      </c>
      <c r="CU93" s="18">
        <f>CT93*VLOOKUP('Données projet'!$B$13,Paramètres!$A$1:$I$89,3,0)*VLOOKUP('Données projet'!$B$13,Paramètres!$A$1:$I$89,5,0)</f>
        <v>135.62639999999993</v>
      </c>
      <c r="CV93" s="14">
        <f t="shared" si="95"/>
        <v>35.293231938598453</v>
      </c>
      <c r="CW93" s="22">
        <f t="shared" si="67"/>
        <v>297.68502562639225</v>
      </c>
      <c r="CX93" s="62">
        <f t="shared" si="68"/>
        <v>591.01835895972556</v>
      </c>
      <c r="CY93" s="62">
        <f ca="1">AVERAGE(OFFSET($CX$3,0,0,'Données projet'!$E$13+1,1))-AVERAGE(OFFSET($H$3,0,0,'Données projet'!$E$13+1,1))</f>
        <v>118.65321241325523</v>
      </c>
      <c r="CZ93" s="62">
        <f t="shared" si="96"/>
        <v>140.55041555757327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207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5.2</v>
      </c>
      <c r="DO93" s="13">
        <f>IF('Données projet'!$A$166&gt;35,DO92+DN93-DW92,IF(A93&lt;'Données projet'!$A$166,$DL$205^A93,IF(A93='Données projet'!$A$166,'Données projet'!$B$166,DO92+DN93-DW92)))</f>
        <v>273.99999999999972</v>
      </c>
      <c r="DP93" s="18">
        <f>DO93*VLOOKUP('Données projet'!$B$14,Paramètres!$A$1:$I$89,3,0)*VLOOKUP('Données projet'!$B$14,Paramètres!$A$1:$I$89,5,0)</f>
        <v>277.83599999999973</v>
      </c>
      <c r="DQ93" s="14">
        <f t="shared" si="97"/>
        <v>66.509487177652261</v>
      </c>
      <c r="DR93" s="22">
        <f t="shared" si="70"/>
        <v>599.73505683441056</v>
      </c>
      <c r="DS93" s="62">
        <f t="shared" si="71"/>
        <v>893.06839016774393</v>
      </c>
      <c r="DT93" s="62">
        <f ca="1">AVERAGE(OFFSET($DS$3,0,0,'Données projet'!$E$14+1,1))-AVERAGE(OFFSET($H$3,0,0,'Données projet'!$E$14+1,1))</f>
        <v>328.70784159273131</v>
      </c>
      <c r="DU93" s="62">
        <f t="shared" si="98"/>
        <v>193.18009444354601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</v>
      </c>
      <c r="N94" s="14">
        <f>IF('Données projet'!$A$36&gt;35,N93+M94-V93,IF(A94&lt;'Données projet'!$A$36,$K$205^A94,IF(A94='Données projet'!$A$36,'Données projet'!$B$36,N93+M94-V93)))</f>
        <v>210</v>
      </c>
      <c r="O94" s="14">
        <f>N94*VLOOKUP('Données projet'!$B$9,Paramètres!$A$1:$I$89,3,0)*VLOOKUP('Données projet'!$B$9,Paramètres!$A$1:$I$89,5,0)</f>
        <v>190.00800000000001</v>
      </c>
      <c r="P94" s="14">
        <f t="shared" si="87"/>
        <v>47.541721533308163</v>
      </c>
      <c r="Q94" s="22">
        <f t="shared" si="54"/>
        <v>413.73243167051174</v>
      </c>
      <c r="R94" s="62">
        <f t="shared" si="55"/>
        <v>707.06576500384506</v>
      </c>
      <c r="S94" s="62">
        <f ca="1">AVERAGE(OFFSET($R$3,0,0,'Données projet'!$E$9+1,1))-AVERAGE(OFFSET($H$3,0,0,'Données projet'!$E$9+1,1))</f>
        <v>177.70053246230015</v>
      </c>
      <c r="T94" s="62">
        <f t="shared" si="88"/>
        <v>85.631326020763254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2.8</v>
      </c>
      <c r="AI94" s="14">
        <f>IF('Données projet'!$A$62&gt;35,AI93+AH94-AQ93,IF(A94&lt;'Données projet'!$A$62,$AF$205^A94,IF(A94='Données projet'!$A$62,'Données projet'!$B$62,AI93+AH94-AQ93)))</f>
        <v>207.80000000000004</v>
      </c>
      <c r="AJ94" s="14">
        <f>AI94*VLOOKUP('Données projet'!$B$10,Paramètres!$A$1:$I$89,3,0)*VLOOKUP('Données projet'!$B$10,Paramètres!$A$1:$I$89,5,0)</f>
        <v>181.53408000000007</v>
      </c>
      <c r="AK94" s="14">
        <f t="shared" si="89"/>
        <v>45.663321943731901</v>
      </c>
      <c r="AL94" s="22">
        <f t="shared" si="58"/>
        <v>395.7021417186665</v>
      </c>
      <c r="AM94" s="62">
        <f t="shared" si="59"/>
        <v>689.03547505199981</v>
      </c>
      <c r="AN94" s="62">
        <f ca="1">AVERAGE(OFFSET($AM$3,0,0,'Données projet'!$E$10+1,1))-AVERAGE(OFFSET($H$3,0,0,'Données projet'!$E$10+1,1))</f>
        <v>212.11273590951606</v>
      </c>
      <c r="AO94" s="62">
        <f t="shared" si="90"/>
        <v>240.9595690943346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2.2737367544323206E-13</v>
      </c>
      <c r="BE94" s="14">
        <f>BD94*VLOOKUP('Données projet'!$B$11,Paramètres!$A$1:$I$89,3,0)*VLOOKUP('Données projet'!$B$11,Paramètres!$A$1:$I$89,5,0)</f>
        <v>1.3596945791505279E-13</v>
      </c>
      <c r="BF94" s="14">
        <f t="shared" si="91"/>
        <v>1.9708830566360721E-12</v>
      </c>
      <c r="BG94" s="22">
        <f t="shared" si="61"/>
        <v>3.669434796176543E-12</v>
      </c>
      <c r="BH94" s="62">
        <f t="shared" si="62"/>
        <v>293.33333333333701</v>
      </c>
      <c r="BI94" s="62">
        <f ca="1">AVERAGE(OFFSET($BH$3,0,0,'Données projet'!$E$11+1,1))-AVERAGE(OFFSET($H$3,0,0,'Données projet'!$E$11+1,1))</f>
        <v>172.49153247238672</v>
      </c>
      <c r="BJ94" s="62">
        <f t="shared" si="92"/>
        <v>301.94982606323254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8.6266951169405193</v>
      </c>
      <c r="BQ94" s="23">
        <f>EXP(-LN(2)/25)*BQ93+(1-EXP(-LN(2)/25))/(LN(2)/25)*Calculateur!BL94*Calculateur!BN94*VLOOKUP('Données projet'!$B$11,Paramètres!$A$1:$I$89,3,0)*0.475*44/12</f>
        <v>2.5484617381841752</v>
      </c>
      <c r="BR94" s="23">
        <f>EXP(-LN(2)/2)*BR93+(1-EXP(-LN(2)/2))/(LN(2)/2)*BL94*BO94*VLOOKUP('Données projet'!$B$11,Paramètres!$A$1:$I$89,3,0)*0.475*44/12</f>
        <v>3.8353794216815076E-9</v>
      </c>
      <c r="BS94" s="24">
        <f t="shared" si="63"/>
        <v>11.175156858960074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3.4106051316484809E-13</v>
      </c>
      <c r="BZ94" s="14">
        <f>BY94*VLOOKUP('Données projet'!$B$12,Paramètres!$A$1:$I$89,3,0)*VLOOKUP('Données projet'!$B$12,Paramètres!$A$1:$I$89,5,0)</f>
        <v>1.9508661353029313E-13</v>
      </c>
      <c r="CA94" s="14">
        <f t="shared" si="93"/>
        <v>2.711421636700695E-12</v>
      </c>
      <c r="CB94" s="22">
        <f t="shared" si="64"/>
        <v>5.0621685358189711E-12</v>
      </c>
      <c r="CC94" s="62">
        <f t="shared" si="65"/>
        <v>293.33333333333837</v>
      </c>
      <c r="CD94" s="62">
        <f ca="1">AVERAGE(OFFSET($CC$3,0,0,'Données projet'!$E$12+1,1))-AVERAGE(OFFSET($H$3,0,0,'Données projet'!$E$12+1,1))</f>
        <v>177.71338645688661</v>
      </c>
      <c r="CE94" s="62">
        <f t="shared" si="94"/>
        <v>153.65872713651345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0.32738260696856364</v>
      </c>
      <c r="CM94" s="23">
        <f>EXP(-LN(2)/2)*CM93+(1-EXP(-LN(2)/2))/(LN(2)/2)*CG94*CJ94*VLOOKUP('Données projet'!$B$12,Paramètres!$A$1:$I$89,3,0)*0.475*44/12</f>
        <v>4.5236913081152034E-10</v>
      </c>
      <c r="CN94" s="24">
        <f t="shared" si="66"/>
        <v>0.32738260742093278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-1.1368683772161603E-13</v>
      </c>
      <c r="CU94" s="18">
        <f>CT94*VLOOKUP('Données projet'!$B$13,Paramètres!$A$1:$I$89,3,0)*VLOOKUP('Données projet'!$B$13,Paramètres!$A$1:$I$89,5,0)</f>
        <v>-7.4487616075202823E-14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118.65321241325523</v>
      </c>
      <c r="CZ94" s="62">
        <f t="shared" si="96"/>
        <v>140.55041555757327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5.2</v>
      </c>
      <c r="DO94" s="13">
        <f>IF('Données projet'!$A$166&gt;35,DO93+DN94-DW93,IF(A94&lt;'Données projet'!$A$166,$DL$205^A94,IF(A94='Données projet'!$A$166,'Données projet'!$B$166,DO93+DN94-DW93)))</f>
        <v>279.1999999999997</v>
      </c>
      <c r="DP94" s="18">
        <f>DO94*VLOOKUP('Données projet'!$B$14,Paramètres!$A$1:$I$89,3,0)*VLOOKUP('Données projet'!$B$14,Paramètres!$A$1:$I$89,5,0)</f>
        <v>283.10879999999975</v>
      </c>
      <c r="DQ94" s="14">
        <f t="shared" si="97"/>
        <v>67.623564901653808</v>
      </c>
      <c r="DR94" s="22">
        <f t="shared" si="70"/>
        <v>610.85886887037998</v>
      </c>
      <c r="DS94" s="62">
        <f t="shared" si="71"/>
        <v>904.19220220371335</v>
      </c>
      <c r="DT94" s="62">
        <f ca="1">AVERAGE(OFFSET($DS$3,0,0,'Données projet'!$E$14+1,1))-AVERAGE(OFFSET($H$3,0,0,'Données projet'!$E$14+1,1))</f>
        <v>328.70784159273131</v>
      </c>
      <c r="DU94" s="62">
        <f t="shared" si="98"/>
        <v>193.18009444354601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</v>
      </c>
      <c r="N95" s="14">
        <f>IF('Données projet'!$A$36&gt;35,N94+M95-V94,IF(A95&lt;'Données projet'!$A$36,$K$205^A95,IF(A95='Données projet'!$A$36,'Données projet'!$B$36,N94+M95-V94)))</f>
        <v>214</v>
      </c>
      <c r="O95" s="14">
        <f>N95*VLOOKUP('Données projet'!$B$9,Paramètres!$A$1:$I$89,3,0)*VLOOKUP('Données projet'!$B$9,Paramètres!$A$1:$I$89,5,0)</f>
        <v>193.62719999999999</v>
      </c>
      <c r="P95" s="14">
        <f t="shared" si="87"/>
        <v>48.340990547231193</v>
      </c>
      <c r="Q95" s="22">
        <f t="shared" si="54"/>
        <v>421.42793186976093</v>
      </c>
      <c r="R95" s="62">
        <f t="shared" si="55"/>
        <v>714.76126520309424</v>
      </c>
      <c r="S95" s="62">
        <f ca="1">AVERAGE(OFFSET($R$3,0,0,'Données projet'!$E$9+1,1))-AVERAGE(OFFSET($H$3,0,0,'Données projet'!$E$9+1,1))</f>
        <v>177.70053246230015</v>
      </c>
      <c r="T95" s="62">
        <f t="shared" si="88"/>
        <v>85.631326020763254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2.8</v>
      </c>
      <c r="AI95" s="14">
        <f>IF('Données projet'!$A$62&gt;35,AI94+AH95-AQ94,IF(A95&lt;'Données projet'!$A$62,$AF$205^A95,IF(A95='Données projet'!$A$62,'Données projet'!$B$62,AI94+AH95-AQ94)))</f>
        <v>210.60000000000005</v>
      </c>
      <c r="AJ95" s="14">
        <f>AI95*VLOOKUP('Données projet'!$B$10,Paramètres!$A$1:$I$89,3,0)*VLOOKUP('Données projet'!$B$10,Paramètres!$A$1:$I$89,5,0)</f>
        <v>183.98016000000007</v>
      </c>
      <c r="AK95" s="14">
        <f t="shared" si="89"/>
        <v>46.206568123393758</v>
      </c>
      <c r="AL95" s="22">
        <f t="shared" si="58"/>
        <v>400.9085514815776</v>
      </c>
      <c r="AM95" s="62">
        <f t="shared" si="59"/>
        <v>694.24188481491092</v>
      </c>
      <c r="AN95" s="62">
        <f ca="1">AVERAGE(OFFSET($AM$3,0,0,'Données projet'!$E$10+1,1))-AVERAGE(OFFSET($H$3,0,0,'Données projet'!$E$10+1,1))</f>
        <v>212.11273590951606</v>
      </c>
      <c r="AO95" s="62">
        <f t="shared" si="90"/>
        <v>240.9595690943346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2.2737367544323206E-13</v>
      </c>
      <c r="BE95" s="14">
        <f>BD95*VLOOKUP('Données projet'!$B$11,Paramètres!$A$1:$I$89,3,0)*VLOOKUP('Données projet'!$B$11,Paramètres!$A$1:$I$89,5,0)</f>
        <v>1.3596945791505279E-13</v>
      </c>
      <c r="BF95" s="14">
        <f t="shared" si="91"/>
        <v>1.9708830566360721E-12</v>
      </c>
      <c r="BG95" s="22">
        <f t="shared" si="61"/>
        <v>3.669434796176543E-12</v>
      </c>
      <c r="BH95" s="62">
        <f t="shared" si="62"/>
        <v>293.33333333333701</v>
      </c>
      <c r="BI95" s="62">
        <f ca="1">AVERAGE(OFFSET($BH$3,0,0,'Données projet'!$E$11+1,1))-AVERAGE(OFFSET($H$3,0,0,'Données projet'!$E$11+1,1))</f>
        <v>172.49153247238672</v>
      </c>
      <c r="BJ95" s="62">
        <f t="shared" si="92"/>
        <v>301.94982606323254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8.4575308874617807</v>
      </c>
      <c r="BQ95" s="23">
        <f>EXP(-LN(2)/25)*BQ94+(1-EXP(-LN(2)/25))/(LN(2)/25)*Calculateur!BL95*Calculateur!BN95*VLOOKUP('Données projet'!$B$11,Paramètres!$A$1:$I$89,3,0)*0.475*44/12</f>
        <v>2.4787739179357509</v>
      </c>
      <c r="BR95" s="23">
        <f>EXP(-LN(2)/2)*BR94+(1-EXP(-LN(2)/2))/(LN(2)/2)*BL95*BO95*VLOOKUP('Données projet'!$B$11,Paramètres!$A$1:$I$89,3,0)*0.475*44/12</f>
        <v>2.712022797494333E-9</v>
      </c>
      <c r="BS95" s="24">
        <f t="shared" si="63"/>
        <v>10.936304808109554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3.4106051316484809E-13</v>
      </c>
      <c r="BZ95" s="14">
        <f>BY95*VLOOKUP('Données projet'!$B$12,Paramètres!$A$1:$I$89,3,0)*VLOOKUP('Données projet'!$B$12,Paramètres!$A$1:$I$89,5,0)</f>
        <v>1.9508661353029313E-13</v>
      </c>
      <c r="CA95" s="14">
        <f t="shared" si="93"/>
        <v>2.711421636700695E-12</v>
      </c>
      <c r="CB95" s="22">
        <f t="shared" si="64"/>
        <v>5.0621685358189711E-12</v>
      </c>
      <c r="CC95" s="62">
        <f t="shared" si="65"/>
        <v>293.33333333333837</v>
      </c>
      <c r="CD95" s="62">
        <f ca="1">AVERAGE(OFFSET($CC$3,0,0,'Données projet'!$E$12+1,1))-AVERAGE(OFFSET($H$3,0,0,'Données projet'!$E$12+1,1))</f>
        <v>177.71338645688661</v>
      </c>
      <c r="CE95" s="62">
        <f t="shared" si="94"/>
        <v>153.65872713651345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0.3184303123647052</v>
      </c>
      <c r="CM95" s="23">
        <f>EXP(-LN(2)/2)*CM94+(1-EXP(-LN(2)/2))/(LN(2)/2)*CG95*CJ95*VLOOKUP('Données projet'!$B$12,Paramètres!$A$1:$I$89,3,0)*0.475*44/12</f>
        <v>3.1987327999629044E-10</v>
      </c>
      <c r="CN95" s="24">
        <f t="shared" si="66"/>
        <v>0.3184303126845785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-1.1368683772161603E-13</v>
      </c>
      <c r="CU95" s="18">
        <f>CT95*VLOOKUP('Données projet'!$B$13,Paramètres!$A$1:$I$89,3,0)*VLOOKUP('Données projet'!$B$13,Paramètres!$A$1:$I$89,5,0)</f>
        <v>-7.4487616075202823E-14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118.65321241325523</v>
      </c>
      <c r="CZ95" s="62">
        <f t="shared" si="96"/>
        <v>140.55041555757327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5.2</v>
      </c>
      <c r="DO95" s="13">
        <f>IF('Données projet'!$A$166&gt;35,DO94+DN95-DW94,IF(A95&lt;'Données projet'!$A$166,$DL$205^A95,IF(A95='Données projet'!$A$166,'Données projet'!$B$166,DO94+DN95-DW94)))</f>
        <v>284.39999999999969</v>
      </c>
      <c r="DP95" s="18">
        <f>DO95*VLOOKUP('Données projet'!$B$14,Paramètres!$A$1:$I$89,3,0)*VLOOKUP('Données projet'!$B$14,Paramètres!$A$1:$I$89,5,0)</f>
        <v>288.38159999999971</v>
      </c>
      <c r="DQ95" s="14">
        <f t="shared" si="97"/>
        <v>68.735229875936554</v>
      </c>
      <c r="DR95" s="22">
        <f t="shared" si="70"/>
        <v>621.97847870058888</v>
      </c>
      <c r="DS95" s="62">
        <f t="shared" si="71"/>
        <v>915.31181203392225</v>
      </c>
      <c r="DT95" s="62">
        <f ca="1">AVERAGE(OFFSET($DS$3,0,0,'Données projet'!$E$14+1,1))-AVERAGE(OFFSET($H$3,0,0,'Données projet'!$E$14+1,1))</f>
        <v>328.70784159273131</v>
      </c>
      <c r="DU95" s="62">
        <f t="shared" si="98"/>
        <v>193.18009444354601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</v>
      </c>
      <c r="N96" s="14">
        <f>IF('Données projet'!$A$36&gt;35,N95+M96-V95,IF(A96&lt;'Données projet'!$A$36,$K$205^A96,IF(A96='Données projet'!$A$36,'Données projet'!$B$36,N95+M96-V95)))</f>
        <v>218</v>
      </c>
      <c r="O96" s="14">
        <f>N96*VLOOKUP('Données projet'!$B$9,Paramètres!$A$1:$I$89,3,0)*VLOOKUP('Données projet'!$B$9,Paramètres!$A$1:$I$89,5,0)</f>
        <v>197.24639999999999</v>
      </c>
      <c r="P96" s="14">
        <f t="shared" si="87"/>
        <v>49.138522374247202</v>
      </c>
      <c r="Q96" s="22">
        <f t="shared" si="54"/>
        <v>429.12040646848055</v>
      </c>
      <c r="R96" s="62">
        <f t="shared" si="55"/>
        <v>722.45373980181387</v>
      </c>
      <c r="S96" s="62">
        <f ca="1">AVERAGE(OFFSET($R$3,0,0,'Données projet'!$E$9+1,1))-AVERAGE(OFFSET($H$3,0,0,'Données projet'!$E$9+1,1))</f>
        <v>177.70053246230015</v>
      </c>
      <c r="T96" s="62">
        <f t="shared" si="88"/>
        <v>85.631326020763254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2.8</v>
      </c>
      <c r="AI96" s="14">
        <f>IF('Données projet'!$A$62&gt;35,AI95+AH96-AQ95,IF(A96&lt;'Données projet'!$A$62,$AF$205^A96,IF(A96='Données projet'!$A$62,'Données projet'!$B$62,AI95+AH96-AQ95)))</f>
        <v>213.40000000000006</v>
      </c>
      <c r="AJ96" s="14">
        <f>AI96*VLOOKUP('Données projet'!$B$10,Paramètres!$A$1:$I$89,3,0)*VLOOKUP('Données projet'!$B$10,Paramètres!$A$1:$I$89,5,0)</f>
        <v>186.42624000000009</v>
      </c>
      <c r="AK96" s="14">
        <f t="shared" si="89"/>
        <v>46.748974211060826</v>
      </c>
      <c r="AL96" s="22">
        <f t="shared" si="58"/>
        <v>406.11349808426439</v>
      </c>
      <c r="AM96" s="62">
        <f t="shared" si="59"/>
        <v>699.44683141759765</v>
      </c>
      <c r="AN96" s="62">
        <f ca="1">AVERAGE(OFFSET($AM$3,0,0,'Données projet'!$E$10+1,1))-AVERAGE(OFFSET($H$3,0,0,'Données projet'!$E$10+1,1))</f>
        <v>212.11273590951606</v>
      </c>
      <c r="AO96" s="62">
        <f t="shared" si="90"/>
        <v>240.9595690943346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2.2737367544323206E-13</v>
      </c>
      <c r="BE96" s="14">
        <f>BD96*VLOOKUP('Données projet'!$B$11,Paramètres!$A$1:$I$89,3,0)*VLOOKUP('Données projet'!$B$11,Paramètres!$A$1:$I$89,5,0)</f>
        <v>1.3596945791505279E-13</v>
      </c>
      <c r="BF96" s="14">
        <f t="shared" si="91"/>
        <v>1.9708830566360721E-12</v>
      </c>
      <c r="BG96" s="22">
        <f t="shared" si="61"/>
        <v>3.669434796176543E-12</v>
      </c>
      <c r="BH96" s="62">
        <f t="shared" si="62"/>
        <v>293.33333333333701</v>
      </c>
      <c r="BI96" s="62">
        <f ca="1">AVERAGE(OFFSET($BH$3,0,0,'Données projet'!$E$11+1,1))-AVERAGE(OFFSET($H$3,0,0,'Données projet'!$E$11+1,1))</f>
        <v>172.49153247238672</v>
      </c>
      <c r="BJ96" s="62">
        <f t="shared" si="92"/>
        <v>301.94982606323254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8.2916838653431295</v>
      </c>
      <c r="BQ96" s="23">
        <f>EXP(-LN(2)/25)*BQ95+(1-EXP(-LN(2)/25))/(LN(2)/25)*Calculateur!BL96*Calculateur!BN96*VLOOKUP('Données projet'!$B$11,Paramètres!$A$1:$I$89,3,0)*0.475*44/12</f>
        <v>2.4109917147967428</v>
      </c>
      <c r="BR96" s="23">
        <f>EXP(-LN(2)/2)*BR95+(1-EXP(-LN(2)/2))/(LN(2)/2)*BL96*BO96*VLOOKUP('Données projet'!$B$11,Paramètres!$A$1:$I$89,3,0)*0.475*44/12</f>
        <v>1.9176897108407538E-9</v>
      </c>
      <c r="BS96" s="24">
        <f t="shared" si="63"/>
        <v>10.702675582057561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3.4106051316484809E-13</v>
      </c>
      <c r="BZ96" s="14">
        <f>BY96*VLOOKUP('Données projet'!$B$12,Paramètres!$A$1:$I$89,3,0)*VLOOKUP('Données projet'!$B$12,Paramètres!$A$1:$I$89,5,0)</f>
        <v>1.9508661353029313E-13</v>
      </c>
      <c r="CA96" s="14">
        <f t="shared" si="93"/>
        <v>2.711421636700695E-12</v>
      </c>
      <c r="CB96" s="22">
        <f t="shared" si="64"/>
        <v>5.0621685358189711E-12</v>
      </c>
      <c r="CC96" s="62">
        <f t="shared" si="65"/>
        <v>293.33333333333837</v>
      </c>
      <c r="CD96" s="62">
        <f ca="1">AVERAGE(OFFSET($CC$3,0,0,'Données projet'!$E$12+1,1))-AVERAGE(OFFSET($H$3,0,0,'Données projet'!$E$12+1,1))</f>
        <v>177.71338645688661</v>
      </c>
      <c r="CE96" s="62">
        <f t="shared" si="94"/>
        <v>153.65872713651345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0.30972281872757002</v>
      </c>
      <c r="CM96" s="23">
        <f>EXP(-LN(2)/2)*CM95+(1-EXP(-LN(2)/2))/(LN(2)/2)*CG96*CJ96*VLOOKUP('Données projet'!$B$12,Paramètres!$A$1:$I$89,3,0)*0.475*44/12</f>
        <v>2.2618456540576022E-10</v>
      </c>
      <c r="CN96" s="24">
        <f t="shared" si="66"/>
        <v>0.30972281895375459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-1.1368683772161603E-13</v>
      </c>
      <c r="CU96" s="18">
        <f>CT96*VLOOKUP('Données projet'!$B$13,Paramètres!$A$1:$I$89,3,0)*VLOOKUP('Données projet'!$B$13,Paramètres!$A$1:$I$89,5,0)</f>
        <v>-7.4487616075202823E-14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118.65321241325523</v>
      </c>
      <c r="CZ96" s="62">
        <f t="shared" si="96"/>
        <v>140.55041555757327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5.2</v>
      </c>
      <c r="DO96" s="13">
        <f>IF('Données projet'!$A$166&gt;35,DO95+DN96-DW95,IF(A96&lt;'Données projet'!$A$166,$DL$205^A96,IF(A96='Données projet'!$A$166,'Données projet'!$B$166,DO95+DN96-DW95)))</f>
        <v>289.59999999999968</v>
      </c>
      <c r="DP96" s="18">
        <f>DO96*VLOOKUP('Données projet'!$B$14,Paramètres!$A$1:$I$89,3,0)*VLOOKUP('Données projet'!$B$14,Paramètres!$A$1:$I$89,5,0)</f>
        <v>293.65439999999973</v>
      </c>
      <c r="DQ96" s="14">
        <f t="shared" si="97"/>
        <v>69.844531303614474</v>
      </c>
      <c r="DR96" s="22">
        <f t="shared" si="70"/>
        <v>633.09397202046136</v>
      </c>
      <c r="DS96" s="62">
        <f t="shared" si="71"/>
        <v>926.42730535379474</v>
      </c>
      <c r="DT96" s="62">
        <f ca="1">AVERAGE(OFFSET($DS$3,0,0,'Données projet'!$E$14+1,1))-AVERAGE(OFFSET($H$3,0,0,'Données projet'!$E$14+1,1))</f>
        <v>328.70784159273131</v>
      </c>
      <c r="DU96" s="62">
        <f t="shared" si="98"/>
        <v>193.18009444354601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</v>
      </c>
      <c r="N97" s="14">
        <f>IF('Données projet'!$A$36&gt;35,N96+M97-V96,IF(A97&lt;'Données projet'!$A$36,$K$205^A97,IF(A97='Données projet'!$A$36,'Données projet'!$B$36,N96+M97-V96)))</f>
        <v>222</v>
      </c>
      <c r="O97" s="14">
        <f>N97*VLOOKUP('Données projet'!$B$9,Paramètres!$A$1:$I$89,3,0)*VLOOKUP('Données projet'!$B$9,Paramètres!$A$1:$I$89,5,0)</f>
        <v>200.8656</v>
      </c>
      <c r="P97" s="14">
        <f t="shared" si="87"/>
        <v>49.934352565642911</v>
      </c>
      <c r="Q97" s="22">
        <f t="shared" si="54"/>
        <v>436.80991738516144</v>
      </c>
      <c r="R97" s="62">
        <f t="shared" si="55"/>
        <v>730.14325071849476</v>
      </c>
      <c r="S97" s="62">
        <f ca="1">AVERAGE(OFFSET($R$3,0,0,'Données projet'!$E$9+1,1))-AVERAGE(OFFSET($H$3,0,0,'Données projet'!$E$9+1,1))</f>
        <v>177.70053246230015</v>
      </c>
      <c r="T97" s="62">
        <f t="shared" si="88"/>
        <v>85.631326020763254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2.8</v>
      </c>
      <c r="AI97" s="14">
        <f>IF('Données projet'!$A$62&gt;35,AI96+AH97-AQ96,IF(A97&lt;'Données projet'!$A$62,$AF$205^A97,IF(A97='Données projet'!$A$62,'Données projet'!$B$62,AI96+AH97-AQ96)))</f>
        <v>216.20000000000007</v>
      </c>
      <c r="AJ97" s="14">
        <f>AI97*VLOOKUP('Données projet'!$B$10,Paramètres!$A$1:$I$89,3,0)*VLOOKUP('Données projet'!$B$10,Paramètres!$A$1:$I$89,5,0)</f>
        <v>188.87232000000009</v>
      </c>
      <c r="AK97" s="14">
        <f t="shared" si="89"/>
        <v>47.290552503862891</v>
      </c>
      <c r="AL97" s="22">
        <f t="shared" si="58"/>
        <v>411.31700294422802</v>
      </c>
      <c r="AM97" s="62">
        <f t="shared" si="59"/>
        <v>704.65033627756134</v>
      </c>
      <c r="AN97" s="62">
        <f ca="1">AVERAGE(OFFSET($AM$3,0,0,'Données projet'!$E$10+1,1))-AVERAGE(OFFSET($H$3,0,0,'Données projet'!$E$10+1,1))</f>
        <v>212.11273590951606</v>
      </c>
      <c r="AO97" s="62">
        <f t="shared" si="90"/>
        <v>240.9595690943346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2.2737367544323206E-13</v>
      </c>
      <c r="BE97" s="14">
        <f>BD97*VLOOKUP('Données projet'!$B$11,Paramètres!$A$1:$I$89,3,0)*VLOOKUP('Données projet'!$B$11,Paramètres!$A$1:$I$89,5,0)</f>
        <v>1.3596945791505279E-13</v>
      </c>
      <c r="BF97" s="14">
        <f t="shared" si="91"/>
        <v>1.9708830566360721E-12</v>
      </c>
      <c r="BG97" s="22">
        <f t="shared" si="61"/>
        <v>3.669434796176543E-12</v>
      </c>
      <c r="BH97" s="62">
        <f t="shared" si="62"/>
        <v>293.33333333333701</v>
      </c>
      <c r="BI97" s="62">
        <f ca="1">AVERAGE(OFFSET($BH$3,0,0,'Données projet'!$E$11+1,1))-AVERAGE(OFFSET($H$3,0,0,'Données projet'!$E$11+1,1))</f>
        <v>172.49153247238672</v>
      </c>
      <c r="BJ97" s="62">
        <f t="shared" si="92"/>
        <v>301.94982606323254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8.1290890021715292</v>
      </c>
      <c r="BQ97" s="23">
        <f>EXP(-LN(2)/25)*BQ96+(1-EXP(-LN(2)/25))/(LN(2)/25)*Calculateur!BL97*Calculateur!BN97*VLOOKUP('Données projet'!$B$11,Paramètres!$A$1:$I$89,3,0)*0.475*44/12</f>
        <v>2.3450630195670819</v>
      </c>
      <c r="BR97" s="23">
        <f>EXP(-LN(2)/2)*BR96+(1-EXP(-LN(2)/2))/(LN(2)/2)*BL97*BO97*VLOOKUP('Données projet'!$B$11,Paramètres!$A$1:$I$89,3,0)*0.475*44/12</f>
        <v>1.3560113987471665E-9</v>
      </c>
      <c r="BS97" s="24">
        <f t="shared" si="63"/>
        <v>10.474152023094623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3.4106051316484809E-13</v>
      </c>
      <c r="BZ97" s="14">
        <f>BY97*VLOOKUP('Données projet'!$B$12,Paramètres!$A$1:$I$89,3,0)*VLOOKUP('Données projet'!$B$12,Paramètres!$A$1:$I$89,5,0)</f>
        <v>1.9508661353029313E-13</v>
      </c>
      <c r="CA97" s="14">
        <f t="shared" si="93"/>
        <v>2.711421636700695E-12</v>
      </c>
      <c r="CB97" s="22">
        <f t="shared" si="64"/>
        <v>5.0621685358189711E-12</v>
      </c>
      <c r="CC97" s="62">
        <f t="shared" si="65"/>
        <v>293.33333333333837</v>
      </c>
      <c r="CD97" s="62">
        <f ca="1">AVERAGE(OFFSET($CC$3,0,0,'Données projet'!$E$12+1,1))-AVERAGE(OFFSET($H$3,0,0,'Données projet'!$E$12+1,1))</f>
        <v>177.71338645688661</v>
      </c>
      <c r="CE97" s="62">
        <f t="shared" si="94"/>
        <v>153.65872713651345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0.30125343196184945</v>
      </c>
      <c r="CM97" s="23">
        <f>EXP(-LN(2)/2)*CM96+(1-EXP(-LN(2)/2))/(LN(2)/2)*CG97*CJ97*VLOOKUP('Données projet'!$B$12,Paramètres!$A$1:$I$89,3,0)*0.475*44/12</f>
        <v>1.5993663999814525E-10</v>
      </c>
      <c r="CN97" s="24">
        <f t="shared" si="66"/>
        <v>0.30125343212178607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-1.1368683772161603E-13</v>
      </c>
      <c r="CU97" s="18">
        <f>CT97*VLOOKUP('Données projet'!$B$13,Paramètres!$A$1:$I$89,3,0)*VLOOKUP('Données projet'!$B$13,Paramètres!$A$1:$I$89,5,0)</f>
        <v>-7.4487616075202823E-14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118.65321241325523</v>
      </c>
      <c r="CZ97" s="62">
        <f t="shared" si="96"/>
        <v>140.55041555757327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5.2</v>
      </c>
      <c r="DO97" s="13">
        <f>IF('Données projet'!$A$166&gt;35,DO96+DN97-DW96,IF(A97&lt;'Données projet'!$A$166,$DL$205^A97,IF(A97='Données projet'!$A$166,'Données projet'!$B$166,DO96+DN97-DW96)))</f>
        <v>294.79999999999967</v>
      </c>
      <c r="DP97" s="18">
        <f>DO97*VLOOKUP('Données projet'!$B$14,Paramètres!$A$1:$I$89,3,0)*VLOOKUP('Données projet'!$B$14,Paramètres!$A$1:$I$89,5,0)</f>
        <v>298.92719999999969</v>
      </c>
      <c r="DQ97" s="14">
        <f t="shared" si="97"/>
        <v>70.951516519653524</v>
      </c>
      <c r="DR97" s="22">
        <f t="shared" si="70"/>
        <v>644.20543127172925</v>
      </c>
      <c r="DS97" s="62">
        <f t="shared" si="71"/>
        <v>937.53876460506262</v>
      </c>
      <c r="DT97" s="62">
        <f ca="1">AVERAGE(OFFSET($DS$3,0,0,'Données projet'!$E$14+1,1))-AVERAGE(OFFSET($H$3,0,0,'Données projet'!$E$14+1,1))</f>
        <v>328.70784159273131</v>
      </c>
      <c r="DU97" s="62">
        <f t="shared" si="98"/>
        <v>193.18009444354601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226</v>
      </c>
      <c r="L98" s="13">
        <f>VLOOKUP(A98,'Données projet'!$A$35:$I$55,9,0)</f>
        <v>4</v>
      </c>
      <c r="M98" s="13">
        <f t="array" ref="M98">INDEX(L:L,MIN(IF(ISNUMBER(L98:L294),ROW(L98:L294),"")))</f>
        <v>4</v>
      </c>
      <c r="N98" s="14">
        <f>IF('Données projet'!$A$36&gt;35,N97+M98-V97,IF(A98&lt;'Données projet'!$A$36,$K$205^A98,IF(A98='Données projet'!$A$36,'Données projet'!$B$36,N97+M98-V97)))</f>
        <v>226</v>
      </c>
      <c r="O98" s="14">
        <f>N98*VLOOKUP('Données projet'!$B$9,Paramètres!$A$1:$I$89,3,0)*VLOOKUP('Données projet'!$B$9,Paramètres!$A$1:$I$89,5,0)</f>
        <v>204.48479999999998</v>
      </c>
      <c r="P98" s="14">
        <f t="shared" si="87"/>
        <v>50.728515318217369</v>
      </c>
      <c r="Q98" s="22">
        <f t="shared" si="54"/>
        <v>444.49652417922852</v>
      </c>
      <c r="R98" s="62">
        <f t="shared" si="55"/>
        <v>737.82985751256183</v>
      </c>
      <c r="S98" s="62">
        <f ca="1">AVERAGE(OFFSET($R$3,0,0,'Données projet'!$E$9+1,1))-AVERAGE(OFFSET($H$3,0,0,'Données projet'!$E$9+1,1))</f>
        <v>177.70053246230015</v>
      </c>
      <c r="T98" s="62">
        <f t="shared" si="88"/>
        <v>85.631326020763254</v>
      </c>
      <c r="U98" s="16">
        <f>IF(ISNA(VLOOKUP(A98,'Données projet'!$A$35:$I$55,3,0)),0,VLOOKUP(A98,'Données projet'!$A$35:$I$55,3,0))</f>
        <v>7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219</v>
      </c>
      <c r="AG98" s="13">
        <f>VLOOKUP(A98,'Données projet'!$A$61:$I$81,9,0)</f>
        <v>2.8</v>
      </c>
      <c r="AH98" s="13">
        <f t="array" ref="AH98">INDEX(AG:AG,MIN(IF(ISNUMBER(AG98:AG294),ROW(AG98:AG294),"")))</f>
        <v>2.8</v>
      </c>
      <c r="AI98" s="14">
        <f>IF('Données projet'!$A$62&gt;35,AI97+AH98-AQ97,IF(A98&lt;'Données projet'!$A$62,$AF$205^A98,IF(A98='Données projet'!$A$62,'Données projet'!$B$62,AI97+AH98-AQ97)))</f>
        <v>219.00000000000009</v>
      </c>
      <c r="AJ98" s="14">
        <f>AI98*VLOOKUP('Données projet'!$B$10,Paramètres!$A$1:$I$89,3,0)*VLOOKUP('Données projet'!$B$10,Paramètres!$A$1:$I$89,5,0)</f>
        <v>191.31840000000008</v>
      </c>
      <c r="AK98" s="14">
        <f t="shared" si="89"/>
        <v>47.831314962098396</v>
      </c>
      <c r="AL98" s="22">
        <f t="shared" si="58"/>
        <v>416.51908689232147</v>
      </c>
      <c r="AM98" s="62">
        <f t="shared" si="59"/>
        <v>709.85242022565478</v>
      </c>
      <c r="AN98" s="62">
        <f ca="1">AVERAGE(OFFSET($AM$3,0,0,'Données projet'!$E$10+1,1))-AVERAGE(OFFSET($H$3,0,0,'Données projet'!$E$10+1,1))</f>
        <v>212.11273590951606</v>
      </c>
      <c r="AO98" s="62">
        <f t="shared" si="90"/>
        <v>240.9595690943346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2.2737367544323206E-13</v>
      </c>
      <c r="BE98" s="14">
        <f>BD98*VLOOKUP('Données projet'!$B$11,Paramètres!$A$1:$I$89,3,0)*VLOOKUP('Données projet'!$B$11,Paramètres!$A$1:$I$89,5,0)</f>
        <v>1.3596945791505279E-13</v>
      </c>
      <c r="BF98" s="14">
        <f t="shared" si="91"/>
        <v>1.9708830566360721E-12</v>
      </c>
      <c r="BG98" s="22">
        <f t="shared" si="61"/>
        <v>3.669434796176543E-12</v>
      </c>
      <c r="BH98" s="62">
        <f t="shared" si="62"/>
        <v>293.33333333333701</v>
      </c>
      <c r="BI98" s="62">
        <f ca="1">AVERAGE(OFFSET($BH$3,0,0,'Données projet'!$E$11+1,1))-AVERAGE(OFFSET($H$3,0,0,'Données projet'!$E$11+1,1))</f>
        <v>172.49153247238672</v>
      </c>
      <c r="BJ98" s="62">
        <f t="shared" si="92"/>
        <v>301.94982606323254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7.96968252509365</v>
      </c>
      <c r="BQ98" s="23">
        <f>EXP(-LN(2)/25)*BQ97+(1-EXP(-LN(2)/25))/(LN(2)/25)*Calculateur!BL98*Calculateur!BN98*VLOOKUP('Données projet'!$B$11,Paramètres!$A$1:$I$89,3,0)*0.475*44/12</f>
        <v>2.2809371479755156</v>
      </c>
      <c r="BR98" s="23">
        <f>EXP(-LN(2)/2)*BR97+(1-EXP(-LN(2)/2))/(LN(2)/2)*BL98*BO98*VLOOKUP('Données projet'!$B$11,Paramètres!$A$1:$I$89,3,0)*0.475*44/12</f>
        <v>9.588448554203769E-10</v>
      </c>
      <c r="BS98" s="24">
        <f t="shared" si="63"/>
        <v>10.250619674028011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3.4106051316484809E-13</v>
      </c>
      <c r="BZ98" s="14">
        <f>BY98*VLOOKUP('Données projet'!$B$12,Paramètres!$A$1:$I$89,3,0)*VLOOKUP('Données projet'!$B$12,Paramètres!$A$1:$I$89,5,0)</f>
        <v>1.9508661353029313E-13</v>
      </c>
      <c r="CA98" s="14">
        <f t="shared" si="93"/>
        <v>2.711421636700695E-12</v>
      </c>
      <c r="CB98" s="22">
        <f t="shared" si="64"/>
        <v>5.0621685358189711E-12</v>
      </c>
      <c r="CC98" s="62">
        <f t="shared" si="65"/>
        <v>293.33333333333837</v>
      </c>
      <c r="CD98" s="62">
        <f ca="1">AVERAGE(OFFSET($CC$3,0,0,'Données projet'!$E$12+1,1))-AVERAGE(OFFSET($H$3,0,0,'Données projet'!$E$12+1,1))</f>
        <v>177.71338645688661</v>
      </c>
      <c r="CE98" s="62">
        <f t="shared" si="94"/>
        <v>153.65872713651345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0.29301564102262323</v>
      </c>
      <c r="CM98" s="23">
        <f>EXP(-LN(2)/2)*CM97+(1-EXP(-LN(2)/2))/(LN(2)/2)*CG98*CJ98*VLOOKUP('Données projet'!$B$12,Paramètres!$A$1:$I$89,3,0)*0.475*44/12</f>
        <v>1.1309228270288012E-10</v>
      </c>
      <c r="CN98" s="24">
        <f t="shared" si="66"/>
        <v>0.29301564113571549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-1.1368683772161603E-13</v>
      </c>
      <c r="CU98" s="18">
        <f>CT98*VLOOKUP('Données projet'!$B$13,Paramètres!$A$1:$I$89,3,0)*VLOOKUP('Données projet'!$B$13,Paramètres!$A$1:$I$89,5,0)</f>
        <v>-7.4487616075202823E-14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118.65321241325523</v>
      </c>
      <c r="CZ98" s="62">
        <f t="shared" si="96"/>
        <v>140.55041555757327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300</v>
      </c>
      <c r="DM98" s="13">
        <f>VLOOKUP(A98,'Données projet'!$A$165:$I$185,9,0)</f>
        <v>5.2</v>
      </c>
      <c r="DN98" s="13">
        <f t="array" ref="DN98">INDEX(DM:DM,MIN(IF(ISNUMBER(DM98:DM294),ROW(DM98:DM294),"")))</f>
        <v>5.2</v>
      </c>
      <c r="DO98" s="13">
        <f>IF('Données projet'!$A$166&gt;35,DO97+DN98-DW97,IF(A98&lt;'Données projet'!$A$166,$DL$205^A98,IF(A98='Données projet'!$A$166,'Données projet'!$B$166,DO97+DN98-DW97)))</f>
        <v>299.99999999999966</v>
      </c>
      <c r="DP98" s="18">
        <f>DO98*VLOOKUP('Données projet'!$B$14,Paramètres!$A$1:$I$89,3,0)*VLOOKUP('Données projet'!$B$14,Paramètres!$A$1:$I$89,5,0)</f>
        <v>304.19999999999965</v>
      </c>
      <c r="DQ98" s="14">
        <f t="shared" si="97"/>
        <v>72.056231093481003</v>
      </c>
      <c r="DR98" s="22">
        <f t="shared" si="70"/>
        <v>655.31293582114552</v>
      </c>
      <c r="DS98" s="62">
        <f t="shared" si="71"/>
        <v>948.64626915447889</v>
      </c>
      <c r="DT98" s="62">
        <f ca="1">AVERAGE(OFFSET($DS$3,0,0,'Données projet'!$E$14+1,1))-AVERAGE(OFFSET($H$3,0,0,'Données projet'!$E$14+1,1))</f>
        <v>328.70784159273131</v>
      </c>
      <c r="DU98" s="62">
        <f t="shared" si="98"/>
        <v>193.18009444354601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42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3.4</v>
      </c>
      <c r="N99" s="14">
        <f>IF('Données projet'!$A$36&gt;35,N98+M99-V98,IF(A99&lt;'Données projet'!$A$36,$K$205^A99,IF(A99='Données projet'!$A$36,'Données projet'!$B$36,N98+M99-V98)))</f>
        <v>201.4</v>
      </c>
      <c r="O99" s="14">
        <f>N99*VLOOKUP('Données projet'!$B$9,Paramètres!$A$1:$I$89,3,0)*VLOOKUP('Données projet'!$B$9,Paramètres!$A$1:$I$89,5,0)</f>
        <v>182.22672</v>
      </c>
      <c r="P99" s="14">
        <f t="shared" si="87"/>
        <v>45.81723529546445</v>
      </c>
      <c r="Q99" s="22">
        <f t="shared" ref="Q99:Q130" si="107">(O99+P99)*0.475*44/12</f>
        <v>397.1765554729339</v>
      </c>
      <c r="R99" s="62">
        <f t="shared" si="55"/>
        <v>690.50988880626721</v>
      </c>
      <c r="S99" s="62">
        <f ca="1">AVERAGE(OFFSET($R$3,0,0,'Données projet'!$E$9+1,1))-AVERAGE(OFFSET($H$3,0,0,'Données projet'!$E$9+1,1))</f>
        <v>177.70053246230015</v>
      </c>
      <c r="T99" s="62">
        <f t="shared" si="88"/>
        <v>85.631326020763254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</v>
      </c>
      <c r="AI99" s="14">
        <f>IF('Données projet'!$A$62&gt;35,AI98+AH99-AQ98,IF(A99&lt;'Données projet'!$A$62,$AF$205^A99,IF(A99='Données projet'!$A$62,'Données projet'!$B$62,AI98+AH99-AQ98)))</f>
        <v>222.00000000000009</v>
      </c>
      <c r="AJ99" s="14">
        <f>AI99*VLOOKUP('Données projet'!$B$10,Paramètres!$A$1:$I$89,3,0)*VLOOKUP('Données projet'!$B$10,Paramètres!$A$1:$I$89,5,0)</f>
        <v>193.93920000000011</v>
      </c>
      <c r="AK99" s="14">
        <f t="shared" si="89"/>
        <v>48.409811198069384</v>
      </c>
      <c r="AL99" s="22">
        <f t="shared" si="58"/>
        <v>422.09119450330428</v>
      </c>
      <c r="AM99" s="62">
        <f t="shared" si="59"/>
        <v>715.42452783663759</v>
      </c>
      <c r="AN99" s="62">
        <f ca="1">AVERAGE(OFFSET($AM$3,0,0,'Données projet'!$E$10+1,1))-AVERAGE(OFFSET($H$3,0,0,'Données projet'!$E$10+1,1))</f>
        <v>212.11273590951606</v>
      </c>
      <c r="AO99" s="62">
        <f t="shared" si="90"/>
        <v>240.9595690943346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2.2737367544323206E-13</v>
      </c>
      <c r="BE99" s="14">
        <f>BD99*VLOOKUP('Données projet'!$B$11,Paramètres!$A$1:$I$89,3,0)*VLOOKUP('Données projet'!$B$11,Paramètres!$A$1:$I$89,5,0)</f>
        <v>1.3596945791505279E-13</v>
      </c>
      <c r="BF99" s="14">
        <f t="shared" si="91"/>
        <v>1.9708830566360721E-12</v>
      </c>
      <c r="BG99" s="22">
        <f t="shared" si="61"/>
        <v>3.669434796176543E-12</v>
      </c>
      <c r="BH99" s="62">
        <f t="shared" si="62"/>
        <v>293.33333333333701</v>
      </c>
      <c r="BI99" s="62">
        <f ca="1">AVERAGE(OFFSET($BH$3,0,0,'Données projet'!$E$11+1,1))-AVERAGE(OFFSET($H$3,0,0,'Données projet'!$E$11+1,1))</f>
        <v>172.49153247238672</v>
      </c>
      <c r="BJ99" s="62">
        <f t="shared" si="92"/>
        <v>301.94982606323254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7.8134019118029174</v>
      </c>
      <c r="BQ99" s="23">
        <f>EXP(-LN(2)/25)*BQ98+(1-EXP(-LN(2)/25))/(LN(2)/25)*Calculateur!BL99*Calculateur!BN99*VLOOKUP('Données projet'!$B$11,Paramètres!$A$1:$I$89,3,0)*0.475*44/12</f>
        <v>2.2185648017148538</v>
      </c>
      <c r="BR99" s="23">
        <f>EXP(-LN(2)/2)*BR98+(1-EXP(-LN(2)/2))/(LN(2)/2)*BL99*BO99*VLOOKUP('Données projet'!$B$11,Paramètres!$A$1:$I$89,3,0)*0.475*44/12</f>
        <v>6.7800569937358325E-10</v>
      </c>
      <c r="BS99" s="24">
        <f t="shared" si="63"/>
        <v>10.031966714195777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3.4106051316484809E-13</v>
      </c>
      <c r="BZ99" s="14">
        <f>BY99*VLOOKUP('Données projet'!$B$12,Paramètres!$A$1:$I$89,3,0)*VLOOKUP('Données projet'!$B$12,Paramètres!$A$1:$I$89,5,0)</f>
        <v>1.9508661353029313E-13</v>
      </c>
      <c r="CA99" s="14">
        <f t="shared" si="93"/>
        <v>2.711421636700695E-12</v>
      </c>
      <c r="CB99" s="22">
        <f t="shared" si="64"/>
        <v>5.0621685358189711E-12</v>
      </c>
      <c r="CC99" s="62">
        <f t="shared" si="65"/>
        <v>293.33333333333837</v>
      </c>
      <c r="CD99" s="62">
        <f ca="1">AVERAGE(OFFSET($CC$3,0,0,'Données projet'!$E$12+1,1))-AVERAGE(OFFSET($H$3,0,0,'Données projet'!$E$12+1,1))</f>
        <v>177.71338645688661</v>
      </c>
      <c r="CE99" s="62">
        <f t="shared" si="94"/>
        <v>153.65872713651345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0.28500311290983671</v>
      </c>
      <c r="CM99" s="23">
        <f>EXP(-LN(2)/2)*CM98+(1-EXP(-LN(2)/2))/(LN(2)/2)*CG99*CJ99*VLOOKUP('Données projet'!$B$12,Paramètres!$A$1:$I$89,3,0)*0.475*44/12</f>
        <v>7.9968319999072636E-11</v>
      </c>
      <c r="CN99" s="24">
        <f t="shared" si="66"/>
        <v>0.28500311298980502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-1.1368683772161603E-13</v>
      </c>
      <c r="CU99" s="18">
        <f>CT99*VLOOKUP('Données projet'!$B$13,Paramètres!$A$1:$I$89,3,0)*VLOOKUP('Données projet'!$B$13,Paramètres!$A$1:$I$89,5,0)</f>
        <v>-7.4487616075202823E-14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118.65321241325523</v>
      </c>
      <c r="CZ99" s="62">
        <f t="shared" si="96"/>
        <v>140.55041555757327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4.7</v>
      </c>
      <c r="DO99" s="13">
        <f>IF('Données projet'!$A$166&gt;35,DO98+DN99-DW98,IF(A99&lt;'Données projet'!$A$166,$DL$205^A99,IF(A99='Données projet'!$A$166,'Données projet'!$B$166,DO98+DN99-DW98)))</f>
        <v>262.69999999999965</v>
      </c>
      <c r="DP99" s="18">
        <f>DO99*VLOOKUP('Données projet'!$B$14,Paramètres!$A$1:$I$89,3,0)*VLOOKUP('Données projet'!$B$14,Paramètres!$A$1:$I$89,5,0)</f>
        <v>266.37779999999964</v>
      </c>
      <c r="DQ99" s="14">
        <f t="shared" si="97"/>
        <v>64.079943804672666</v>
      </c>
      <c r="DR99" s="22">
        <f t="shared" si="70"/>
        <v>575.54723712647092</v>
      </c>
      <c r="DS99" s="62">
        <f t="shared" si="71"/>
        <v>868.88057045980418</v>
      </c>
      <c r="DT99" s="62">
        <f ca="1">AVERAGE(OFFSET($DS$3,0,0,'Données projet'!$E$14+1,1))-AVERAGE(OFFSET($H$3,0,0,'Données projet'!$E$14+1,1))</f>
        <v>328.70784159273131</v>
      </c>
      <c r="DU99" s="62">
        <f t="shared" si="98"/>
        <v>193.18009444354601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3.4</v>
      </c>
      <c r="N100" s="14">
        <f>IF('Données projet'!$A$36&gt;35,N99+M100-V99,IF(A100&lt;'Données projet'!$A$36,$K$205^A100,IF(A100='Données projet'!$A$36,'Données projet'!$B$36,N99+M100-V99)))</f>
        <v>204.8</v>
      </c>
      <c r="O100" s="14">
        <f>N100*VLOOKUP('Données projet'!$B$9,Paramètres!$A$1:$I$89,3,0)*VLOOKUP('Données projet'!$B$9,Paramètres!$A$1:$I$89,5,0)</f>
        <v>185.30303999999998</v>
      </c>
      <c r="P100" s="14">
        <f t="shared" si="87"/>
        <v>46.500013710710547</v>
      </c>
      <c r="Q100" s="22">
        <f t="shared" si="107"/>
        <v>403.72365187948748</v>
      </c>
      <c r="R100" s="62">
        <f t="shared" si="55"/>
        <v>697.05698521282079</v>
      </c>
      <c r="S100" s="62">
        <f ca="1">AVERAGE(OFFSET($R$3,0,0,'Données projet'!$E$9+1,1))-AVERAGE(OFFSET($H$3,0,0,'Données projet'!$E$9+1,1))</f>
        <v>177.70053246230015</v>
      </c>
      <c r="T100" s="62">
        <f t="shared" si="88"/>
        <v>85.631326020763254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</v>
      </c>
      <c r="AI100" s="14">
        <f>IF('Données projet'!$A$62&gt;35,AI99+AH100-AQ99,IF(A100&lt;'Données projet'!$A$62,$AF$205^A100,IF(A100='Données projet'!$A$62,'Données projet'!$B$62,AI99+AH100-AQ99)))</f>
        <v>225.00000000000009</v>
      </c>
      <c r="AJ100" s="14">
        <f>AI100*VLOOKUP('Données projet'!$B$10,Paramètres!$A$1:$I$89,3,0)*VLOOKUP('Données projet'!$B$10,Paramètres!$A$1:$I$89,5,0)</f>
        <v>196.56000000000009</v>
      </c>
      <c r="AK100" s="14">
        <f t="shared" si="89"/>
        <v>48.987398161128134</v>
      </c>
      <c r="AL100" s="22">
        <f t="shared" si="58"/>
        <v>427.66171846396497</v>
      </c>
      <c r="AM100" s="62">
        <f t="shared" si="59"/>
        <v>720.99505179729829</v>
      </c>
      <c r="AN100" s="62">
        <f ca="1">AVERAGE(OFFSET($AM$3,0,0,'Données projet'!$E$10+1,1))-AVERAGE(OFFSET($H$3,0,0,'Données projet'!$E$10+1,1))</f>
        <v>212.11273590951606</v>
      </c>
      <c r="AO100" s="62">
        <f t="shared" si="90"/>
        <v>240.9595690943346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2.2737367544323206E-13</v>
      </c>
      <c r="BE100" s="14">
        <f>BD100*VLOOKUP('Données projet'!$B$11,Paramètres!$A$1:$I$89,3,0)*VLOOKUP('Données projet'!$B$11,Paramètres!$A$1:$I$89,5,0)</f>
        <v>1.3596945791505279E-13</v>
      </c>
      <c r="BF100" s="14">
        <f t="shared" si="91"/>
        <v>1.9708830566360721E-12</v>
      </c>
      <c r="BG100" s="22">
        <f t="shared" si="61"/>
        <v>3.669434796176543E-12</v>
      </c>
      <c r="BH100" s="62">
        <f t="shared" si="62"/>
        <v>293.33333333333701</v>
      </c>
      <c r="BI100" s="62">
        <f ca="1">AVERAGE(OFFSET($BH$3,0,0,'Données projet'!$E$11+1,1))-AVERAGE(OFFSET($H$3,0,0,'Données projet'!$E$11+1,1))</f>
        <v>172.49153247238672</v>
      </c>
      <c r="BJ100" s="62">
        <f t="shared" si="92"/>
        <v>301.94982606323254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7.6601858660170539</v>
      </c>
      <c r="BQ100" s="23">
        <f>EXP(-LN(2)/25)*BQ99+(1-EXP(-LN(2)/25))/(LN(2)/25)*Calculateur!BL100*Calculateur!BN100*VLOOKUP('Données projet'!$B$11,Paramètres!$A$1:$I$89,3,0)*0.475*44/12</f>
        <v>2.1578980305427087</v>
      </c>
      <c r="BR100" s="23">
        <f>EXP(-LN(2)/2)*BR99+(1-EXP(-LN(2)/2))/(LN(2)/2)*BL100*BO100*VLOOKUP('Données projet'!$B$11,Paramètres!$A$1:$I$89,3,0)*0.475*44/12</f>
        <v>4.7942242771018845E-10</v>
      </c>
      <c r="BS100" s="24">
        <f t="shared" si="63"/>
        <v>9.8180838970391857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3.4106051316484809E-13</v>
      </c>
      <c r="BZ100" s="14">
        <f>BY100*VLOOKUP('Données projet'!$B$12,Paramètres!$A$1:$I$89,3,0)*VLOOKUP('Données projet'!$B$12,Paramètres!$A$1:$I$89,5,0)</f>
        <v>1.9508661353029313E-13</v>
      </c>
      <c r="CA100" s="14">
        <f t="shared" si="93"/>
        <v>2.711421636700695E-12</v>
      </c>
      <c r="CB100" s="22">
        <f t="shared" si="64"/>
        <v>5.0621685358189711E-12</v>
      </c>
      <c r="CC100" s="62">
        <f t="shared" si="65"/>
        <v>293.33333333333837</v>
      </c>
      <c r="CD100" s="62">
        <f ca="1">AVERAGE(OFFSET($CC$3,0,0,'Données projet'!$E$12+1,1))-AVERAGE(OFFSET($H$3,0,0,'Données projet'!$E$12+1,1))</f>
        <v>177.71338645688661</v>
      </c>
      <c r="CE100" s="62">
        <f t="shared" si="94"/>
        <v>153.65872713651345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0.27720968779965488</v>
      </c>
      <c r="CM100" s="23">
        <f>EXP(-LN(2)/2)*CM99+(1-EXP(-LN(2)/2))/(LN(2)/2)*CG100*CJ100*VLOOKUP('Données projet'!$B$12,Paramètres!$A$1:$I$89,3,0)*0.475*44/12</f>
        <v>5.6546141351440068E-11</v>
      </c>
      <c r="CN100" s="24">
        <f t="shared" si="66"/>
        <v>0.27720968785620104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-1.1368683772161603E-13</v>
      </c>
      <c r="CU100" s="18">
        <f>CT100*VLOOKUP('Données projet'!$B$13,Paramètres!$A$1:$I$89,3,0)*VLOOKUP('Données projet'!$B$13,Paramètres!$A$1:$I$89,5,0)</f>
        <v>-7.4487616075202823E-14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118.65321241325523</v>
      </c>
      <c r="CZ100" s="62">
        <f t="shared" si="96"/>
        <v>140.55041555757327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4.7</v>
      </c>
      <c r="DO100" s="13">
        <f>IF('Données projet'!$A$166&gt;35,DO99+DN100-DW99,IF(A100&lt;'Données projet'!$A$166,$DL$205^A100,IF(A100='Données projet'!$A$166,'Données projet'!$B$166,DO99+DN100-DW99)))</f>
        <v>267.39999999999964</v>
      </c>
      <c r="DP100" s="18">
        <f>DO100*VLOOKUP('Données projet'!$B$14,Paramètres!$A$1:$I$89,3,0)*VLOOKUP('Données projet'!$B$14,Paramètres!$A$1:$I$89,5,0)</f>
        <v>271.14359999999965</v>
      </c>
      <c r="DQ100" s="14">
        <f t="shared" si="97"/>
        <v>65.091910336447413</v>
      </c>
      <c r="DR100" s="22">
        <f t="shared" si="70"/>
        <v>585.61018050264533</v>
      </c>
      <c r="DS100" s="62">
        <f t="shared" si="71"/>
        <v>878.94351383597859</v>
      </c>
      <c r="DT100" s="62">
        <f ca="1">AVERAGE(OFFSET($DS$3,0,0,'Données projet'!$E$14+1,1))-AVERAGE(OFFSET($H$3,0,0,'Données projet'!$E$14+1,1))</f>
        <v>328.70784159273131</v>
      </c>
      <c r="DU100" s="62">
        <f t="shared" si="98"/>
        <v>193.18009444354601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3.4</v>
      </c>
      <c r="N101" s="14">
        <f>IF('Données projet'!$A$36&gt;35,N100+M101-V100,IF(A101&lt;'Données projet'!$A$36,$K$205^A101,IF(A101='Données projet'!$A$36,'Données projet'!$B$36,N100+M101-V100)))</f>
        <v>208.20000000000002</v>
      </c>
      <c r="O101" s="14">
        <f>N101*VLOOKUP('Données projet'!$B$9,Paramètres!$A$1:$I$89,3,0)*VLOOKUP('Données projet'!$B$9,Paramètres!$A$1:$I$89,5,0)</f>
        <v>188.37936000000002</v>
      </c>
      <c r="P101" s="14">
        <f t="shared" si="87"/>
        <v>47.181473920005914</v>
      </c>
      <c r="Q101" s="22">
        <f t="shared" si="107"/>
        <v>410.26845241067696</v>
      </c>
      <c r="R101" s="62">
        <f t="shared" si="55"/>
        <v>703.60178574401027</v>
      </c>
      <c r="S101" s="62">
        <f ca="1">AVERAGE(OFFSET($R$3,0,0,'Données projet'!$E$9+1,1))-AVERAGE(OFFSET($H$3,0,0,'Données projet'!$E$9+1,1))</f>
        <v>177.70053246230015</v>
      </c>
      <c r="T101" s="62">
        <f t="shared" si="88"/>
        <v>85.631326020763254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</v>
      </c>
      <c r="AI101" s="14">
        <f>IF('Données projet'!$A$62&gt;35,AI100+AH101-AQ100,IF(A101&lt;'Données projet'!$A$62,$AF$205^A101,IF(A101='Données projet'!$A$62,'Données projet'!$B$62,AI100+AH101-AQ100)))</f>
        <v>228.00000000000009</v>
      </c>
      <c r="AJ101" s="14">
        <f>AI101*VLOOKUP('Données projet'!$B$10,Paramètres!$A$1:$I$89,3,0)*VLOOKUP('Données projet'!$B$10,Paramètres!$A$1:$I$89,5,0)</f>
        <v>199.18080000000012</v>
      </c>
      <c r="AK101" s="14">
        <f t="shared" si="89"/>
        <v>49.564089376413726</v>
      </c>
      <c r="AL101" s="22">
        <f t="shared" si="58"/>
        <v>433.2306823305874</v>
      </c>
      <c r="AM101" s="62">
        <f t="shared" si="59"/>
        <v>726.56401566392071</v>
      </c>
      <c r="AN101" s="62">
        <f ca="1">AVERAGE(OFFSET($AM$3,0,0,'Données projet'!$E$10+1,1))-AVERAGE(OFFSET($H$3,0,0,'Données projet'!$E$10+1,1))</f>
        <v>212.11273590951606</v>
      </c>
      <c r="AO101" s="62">
        <f t="shared" si="90"/>
        <v>240.9595690943346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2.2737367544323206E-13</v>
      </c>
      <c r="BE101" s="14">
        <f>BD101*VLOOKUP('Données projet'!$B$11,Paramètres!$A$1:$I$89,3,0)*VLOOKUP('Données projet'!$B$11,Paramètres!$A$1:$I$89,5,0)</f>
        <v>1.3596945791505279E-13</v>
      </c>
      <c r="BF101" s="14">
        <f t="shared" si="91"/>
        <v>1.9708830566360721E-12</v>
      </c>
      <c r="BG101" s="22">
        <f t="shared" si="61"/>
        <v>3.669434796176543E-12</v>
      </c>
      <c r="BH101" s="62">
        <f t="shared" si="62"/>
        <v>293.33333333333701</v>
      </c>
      <c r="BI101" s="62">
        <f ca="1">AVERAGE(OFFSET($BH$3,0,0,'Données projet'!$E$11+1,1))-AVERAGE(OFFSET($H$3,0,0,'Données projet'!$E$11+1,1))</f>
        <v>172.49153247238672</v>
      </c>
      <c r="BJ101" s="62">
        <f t="shared" si="92"/>
        <v>301.94982606323254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7.5099742934364908</v>
      </c>
      <c r="BQ101" s="23">
        <f>EXP(-LN(2)/25)*BQ100+(1-EXP(-LN(2)/25))/(LN(2)/25)*Calculateur!BL101*Calculateur!BN101*VLOOKUP('Données projet'!$B$11,Paramètres!$A$1:$I$89,3,0)*0.475*44/12</f>
        <v>2.0988901954185928</v>
      </c>
      <c r="BR101" s="23">
        <f>EXP(-LN(2)/2)*BR100+(1-EXP(-LN(2)/2))/(LN(2)/2)*BL101*BO101*VLOOKUP('Données projet'!$B$11,Paramètres!$A$1:$I$89,3,0)*0.475*44/12</f>
        <v>3.3900284968679162E-10</v>
      </c>
      <c r="BS101" s="24">
        <f t="shared" si="63"/>
        <v>9.6088644891940866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3.4106051316484809E-13</v>
      </c>
      <c r="BZ101" s="14">
        <f>BY101*VLOOKUP('Données projet'!$B$12,Paramètres!$A$1:$I$89,3,0)*VLOOKUP('Données projet'!$B$12,Paramètres!$A$1:$I$89,5,0)</f>
        <v>1.9508661353029313E-13</v>
      </c>
      <c r="CA101" s="14">
        <f t="shared" si="93"/>
        <v>2.711421636700695E-12</v>
      </c>
      <c r="CB101" s="22">
        <f t="shared" si="64"/>
        <v>5.0621685358189711E-12</v>
      </c>
      <c r="CC101" s="62">
        <f t="shared" si="65"/>
        <v>293.33333333333837</v>
      </c>
      <c r="CD101" s="62">
        <f ca="1">AVERAGE(OFFSET($CC$3,0,0,'Données projet'!$E$12+1,1))-AVERAGE(OFFSET($H$3,0,0,'Données projet'!$E$12+1,1))</f>
        <v>177.71338645688661</v>
      </c>
      <c r="CE101" s="62">
        <f t="shared" si="94"/>
        <v>153.65872713651345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0.2696293743089494</v>
      </c>
      <c r="CM101" s="23">
        <f>EXP(-LN(2)/2)*CM100+(1-EXP(-LN(2)/2))/(LN(2)/2)*CG101*CJ101*VLOOKUP('Données projet'!$B$12,Paramètres!$A$1:$I$89,3,0)*0.475*44/12</f>
        <v>3.9984159999536324E-11</v>
      </c>
      <c r="CN101" s="24">
        <f t="shared" si="66"/>
        <v>0.26962937434893358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-1.1368683772161603E-13</v>
      </c>
      <c r="CU101" s="18">
        <f>CT101*VLOOKUP('Données projet'!$B$13,Paramètres!$A$1:$I$89,3,0)*VLOOKUP('Données projet'!$B$13,Paramètres!$A$1:$I$89,5,0)</f>
        <v>-7.4487616075202823E-14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118.65321241325523</v>
      </c>
      <c r="CZ101" s="62">
        <f t="shared" si="96"/>
        <v>140.55041555757327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4.7</v>
      </c>
      <c r="DO101" s="13">
        <f>IF('Données projet'!$A$166&gt;35,DO100+DN101-DW100,IF(A101&lt;'Données projet'!$A$166,$DL$205^A101,IF(A101='Données projet'!$A$166,'Données projet'!$B$166,DO100+DN101-DW100)))</f>
        <v>272.09999999999962</v>
      </c>
      <c r="DP101" s="18">
        <f>DO101*VLOOKUP('Données projet'!$B$14,Paramètres!$A$1:$I$89,3,0)*VLOOKUP('Données projet'!$B$14,Paramètres!$A$1:$I$89,5,0)</f>
        <v>275.90939999999961</v>
      </c>
      <c r="DQ101" s="14">
        <f t="shared" si="97"/>
        <v>66.101808465810961</v>
      </c>
      <c r="DR101" s="22">
        <f t="shared" si="70"/>
        <v>595.66952141128684</v>
      </c>
      <c r="DS101" s="62">
        <f t="shared" si="71"/>
        <v>889.00285474462021</v>
      </c>
      <c r="DT101" s="62">
        <f ca="1">AVERAGE(OFFSET($DS$3,0,0,'Données projet'!$E$14+1,1))-AVERAGE(OFFSET($H$3,0,0,'Données projet'!$E$14+1,1))</f>
        <v>328.70784159273131</v>
      </c>
      <c r="DU101" s="62">
        <f t="shared" si="98"/>
        <v>193.18009444354601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3.4</v>
      </c>
      <c r="N102" s="14">
        <f>IF('Données projet'!$A$36&gt;35,N101+M102-V101,IF(A102&lt;'Données projet'!$A$36,$K$205^A102,IF(A102='Données projet'!$A$36,'Données projet'!$B$36,N101+M102-V101)))</f>
        <v>211.60000000000002</v>
      </c>
      <c r="O102" s="14">
        <f>N102*VLOOKUP('Données projet'!$B$9,Paramètres!$A$1:$I$89,3,0)*VLOOKUP('Données projet'!$B$9,Paramètres!$A$1:$I$89,5,0)</f>
        <v>191.45568000000003</v>
      </c>
      <c r="P102" s="14">
        <f t="shared" si="87"/>
        <v>47.861639935303188</v>
      </c>
      <c r="Q102" s="22">
        <f t="shared" si="107"/>
        <v>416.81099888731978</v>
      </c>
      <c r="R102" s="62">
        <f t="shared" si="55"/>
        <v>710.14433222065304</v>
      </c>
      <c r="S102" s="62">
        <f ca="1">AVERAGE(OFFSET($R$3,0,0,'Données projet'!$E$9+1,1))-AVERAGE(OFFSET($H$3,0,0,'Données projet'!$E$9+1,1))</f>
        <v>177.70053246230015</v>
      </c>
      <c r="T102" s="62">
        <f t="shared" si="88"/>
        <v>85.631326020763254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</v>
      </c>
      <c r="AI102" s="14">
        <f>IF('Données projet'!$A$62&gt;35,AI101+AH102-AQ101,IF(A102&lt;'Données projet'!$A$62,$AF$205^A102,IF(A102='Données projet'!$A$62,'Données projet'!$B$62,AI101+AH102-AQ101)))</f>
        <v>231.00000000000009</v>
      </c>
      <c r="AJ102" s="14">
        <f>AI102*VLOOKUP('Données projet'!$B$10,Paramètres!$A$1:$I$89,3,0)*VLOOKUP('Données projet'!$B$10,Paramètres!$A$1:$I$89,5,0)</f>
        <v>201.80160000000012</v>
      </c>
      <c r="AK102" s="14">
        <f t="shared" si="89"/>
        <v>50.139897992681668</v>
      </c>
      <c r="AL102" s="22">
        <f t="shared" si="58"/>
        <v>438.79810900392073</v>
      </c>
      <c r="AM102" s="62">
        <f t="shared" si="59"/>
        <v>732.13144233725404</v>
      </c>
      <c r="AN102" s="62">
        <f ca="1">AVERAGE(OFFSET($AM$3,0,0,'Données projet'!$E$10+1,1))-AVERAGE(OFFSET($H$3,0,0,'Données projet'!$E$10+1,1))</f>
        <v>212.11273590951606</v>
      </c>
      <c r="AO102" s="62">
        <f t="shared" si="90"/>
        <v>240.9595690943346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2.2737367544323206E-13</v>
      </c>
      <c r="BE102" s="14">
        <f>BD102*VLOOKUP('Données projet'!$B$11,Paramètres!$A$1:$I$89,3,0)*VLOOKUP('Données projet'!$B$11,Paramètres!$A$1:$I$89,5,0)</f>
        <v>1.3596945791505279E-13</v>
      </c>
      <c r="BF102" s="14">
        <f t="shared" si="91"/>
        <v>1.9708830566360721E-12</v>
      </c>
      <c r="BG102" s="22">
        <f t="shared" si="61"/>
        <v>3.669434796176543E-12</v>
      </c>
      <c r="BH102" s="62">
        <f t="shared" si="62"/>
        <v>293.33333333333701</v>
      </c>
      <c r="BI102" s="62">
        <f ca="1">AVERAGE(OFFSET($BH$3,0,0,'Données projet'!$E$11+1,1))-AVERAGE(OFFSET($H$3,0,0,'Données projet'!$E$11+1,1))</f>
        <v>172.49153247238672</v>
      </c>
      <c r="BJ102" s="62">
        <f t="shared" si="92"/>
        <v>301.94982606323254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7.3627082781742201</v>
      </c>
      <c r="BQ102" s="23">
        <f>EXP(-LN(2)/25)*BQ101+(1-EXP(-LN(2)/25))/(LN(2)/25)*Calculateur!BL102*Calculateur!BN102*VLOOKUP('Données projet'!$B$11,Paramètres!$A$1:$I$89,3,0)*0.475*44/12</f>
        <v>2.041495932649033</v>
      </c>
      <c r="BR102" s="23">
        <f>EXP(-LN(2)/2)*BR101+(1-EXP(-LN(2)/2))/(LN(2)/2)*BL102*BO102*VLOOKUP('Données projet'!$B$11,Paramètres!$A$1:$I$89,3,0)*0.475*44/12</f>
        <v>2.3971121385509422E-10</v>
      </c>
      <c r="BS102" s="24">
        <f t="shared" si="63"/>
        <v>9.4042042110629627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3.4106051316484809E-13</v>
      </c>
      <c r="BZ102" s="14">
        <f>BY102*VLOOKUP('Données projet'!$B$12,Paramètres!$A$1:$I$89,3,0)*VLOOKUP('Données projet'!$B$12,Paramètres!$A$1:$I$89,5,0)</f>
        <v>1.9508661353029313E-13</v>
      </c>
      <c r="CA102" s="14">
        <f t="shared" si="93"/>
        <v>2.711421636700695E-12</v>
      </c>
      <c r="CB102" s="22">
        <f t="shared" si="64"/>
        <v>5.0621685358189711E-12</v>
      </c>
      <c r="CC102" s="62">
        <f t="shared" si="65"/>
        <v>293.33333333333837</v>
      </c>
      <c r="CD102" s="62">
        <f ca="1">AVERAGE(OFFSET($CC$3,0,0,'Données projet'!$E$12+1,1))-AVERAGE(OFFSET($H$3,0,0,'Données projet'!$E$12+1,1))</f>
        <v>177.71338645688661</v>
      </c>
      <c r="CE102" s="62">
        <f t="shared" si="94"/>
        <v>153.65872713651345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0.26225634488927863</v>
      </c>
      <c r="CM102" s="23">
        <f>EXP(-LN(2)/2)*CM101+(1-EXP(-LN(2)/2))/(LN(2)/2)*CG102*CJ102*VLOOKUP('Données projet'!$B$12,Paramètres!$A$1:$I$89,3,0)*0.475*44/12</f>
        <v>2.8273070675720041E-11</v>
      </c>
      <c r="CN102" s="24">
        <f t="shared" si="66"/>
        <v>0.26225634491755168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-1.1368683772161603E-13</v>
      </c>
      <c r="CU102" s="18">
        <f>CT102*VLOOKUP('Données projet'!$B$13,Paramètres!$A$1:$I$89,3,0)*VLOOKUP('Données projet'!$B$13,Paramètres!$A$1:$I$89,5,0)</f>
        <v>-7.4487616075202823E-14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118.65321241325523</v>
      </c>
      <c r="CZ102" s="62">
        <f t="shared" si="96"/>
        <v>140.55041555757327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4.7</v>
      </c>
      <c r="DO102" s="13">
        <f>IF('Données projet'!$A$166&gt;35,DO101+DN102-DW101,IF(A102&lt;'Données projet'!$A$166,$DL$205^A102,IF(A102='Données projet'!$A$166,'Données projet'!$B$166,DO101+DN102-DW101)))</f>
        <v>276.79999999999961</v>
      </c>
      <c r="DP102" s="18">
        <f>DO102*VLOOKUP('Données projet'!$B$14,Paramètres!$A$1:$I$89,3,0)*VLOOKUP('Données projet'!$B$14,Paramètres!$A$1:$I$89,5,0)</f>
        <v>280.67519999999962</v>
      </c>
      <c r="DQ102" s="14">
        <f t="shared" si="97"/>
        <v>67.109678043026435</v>
      </c>
      <c r="DR102" s="22">
        <f t="shared" si="70"/>
        <v>605.72532925827045</v>
      </c>
      <c r="DS102" s="62">
        <f t="shared" si="71"/>
        <v>899.05866259160371</v>
      </c>
      <c r="DT102" s="62">
        <f ca="1">AVERAGE(OFFSET($DS$3,0,0,'Données projet'!$E$14+1,1))-AVERAGE(OFFSET($H$3,0,0,'Données projet'!$E$14+1,1))</f>
        <v>328.70784159273131</v>
      </c>
      <c r="DU102" s="62">
        <f t="shared" si="98"/>
        <v>193.18009444354601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3.4</v>
      </c>
      <c r="N103" s="14">
        <f>IF('Données projet'!$A$36&gt;35,N102+M103-V102,IF(A103&lt;'Données projet'!$A$36,$K$205^A103,IF(A103='Données projet'!$A$36,'Données projet'!$B$36,N102+M103-V102)))</f>
        <v>215.00000000000003</v>
      </c>
      <c r="O103" s="14">
        <f>N103*VLOOKUP('Données projet'!$B$9,Paramètres!$A$1:$I$89,3,0)*VLOOKUP('Données projet'!$B$9,Paramètres!$A$1:$I$89,5,0)</f>
        <v>194.53200000000001</v>
      </c>
      <c r="P103" s="14">
        <f t="shared" si="87"/>
        <v>48.540534952652621</v>
      </c>
      <c r="Q103" s="22">
        <f t="shared" si="107"/>
        <v>423.35133170920335</v>
      </c>
      <c r="R103" s="62">
        <f t="shared" si="55"/>
        <v>716.68466504253661</v>
      </c>
      <c r="S103" s="62">
        <f ca="1">AVERAGE(OFFSET($R$3,0,0,'Données projet'!$E$9+1,1))-AVERAGE(OFFSET($H$3,0,0,'Données projet'!$E$9+1,1))</f>
        <v>177.70053246230015</v>
      </c>
      <c r="T103" s="62">
        <f t="shared" si="88"/>
        <v>85.631326020763254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234</v>
      </c>
      <c r="AG103" s="13">
        <f>VLOOKUP(A103,'Données projet'!$A$61:$I$81,9,0)</f>
        <v>3</v>
      </c>
      <c r="AH103" s="13">
        <f t="array" ref="AH103">INDEX(AG:AG,MIN(IF(ISNUMBER(AG103:AG299),ROW(AG103:AG299),"")))</f>
        <v>3</v>
      </c>
      <c r="AI103" s="14">
        <f>IF('Données projet'!$A$62&gt;35,AI102+AH103-AQ102,IF(A103&lt;'Données projet'!$A$62,$AF$205^A103,IF(A103='Données projet'!$A$62,'Données projet'!$B$62,AI102+AH103-AQ102)))</f>
        <v>234.00000000000009</v>
      </c>
      <c r="AJ103" s="14">
        <f>AI103*VLOOKUP('Données projet'!$B$10,Paramètres!$A$1:$I$89,3,0)*VLOOKUP('Données projet'!$B$10,Paramètres!$A$1:$I$89,5,0)</f>
        <v>204.4224000000001</v>
      </c>
      <c r="AK103" s="14">
        <f t="shared" si="89"/>
        <v>50.714836797527312</v>
      </c>
      <c r="AL103" s="22">
        <f t="shared" si="58"/>
        <v>444.3640207556935</v>
      </c>
      <c r="AM103" s="62">
        <f t="shared" si="59"/>
        <v>737.69735408902682</v>
      </c>
      <c r="AN103" s="62">
        <f ca="1">AVERAGE(OFFSET($AM$3,0,0,'Données projet'!$E$10+1,1))-AVERAGE(OFFSET($H$3,0,0,'Données projet'!$E$10+1,1))</f>
        <v>212.11273590951606</v>
      </c>
      <c r="AO103" s="62">
        <f t="shared" si="90"/>
        <v>240.9595690943346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234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2.2737367544323206E-13</v>
      </c>
      <c r="BE103" s="14">
        <f>BD103*VLOOKUP('Données projet'!$B$11,Paramètres!$A$1:$I$89,3,0)*VLOOKUP('Données projet'!$B$11,Paramètres!$A$1:$I$89,5,0)</f>
        <v>1.3596945791505279E-13</v>
      </c>
      <c r="BF103" s="14">
        <f t="shared" si="91"/>
        <v>1.9708830566360721E-12</v>
      </c>
      <c r="BG103" s="22">
        <f t="shared" si="61"/>
        <v>3.669434796176543E-12</v>
      </c>
      <c r="BH103" s="62">
        <f t="shared" si="62"/>
        <v>293.33333333333701</v>
      </c>
      <c r="BI103" s="62">
        <f ca="1">AVERAGE(OFFSET($BH$3,0,0,'Données projet'!$E$11+1,1))-AVERAGE(OFFSET($H$3,0,0,'Données projet'!$E$11+1,1))</f>
        <v>172.49153247238672</v>
      </c>
      <c r="BJ103" s="62">
        <f t="shared" si="92"/>
        <v>301.94982606323254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7.218330059647843</v>
      </c>
      <c r="BQ103" s="23">
        <f>EXP(-LN(2)/25)*BQ102+(1-EXP(-LN(2)/25))/(LN(2)/25)*Calculateur!BL103*Calculateur!BN103*VLOOKUP('Données projet'!$B$11,Paramètres!$A$1:$I$89,3,0)*0.475*44/12</f>
        <v>1.98567111901314</v>
      </c>
      <c r="BR103" s="23">
        <f>EXP(-LN(2)/2)*BR102+(1-EXP(-LN(2)/2))/(LN(2)/2)*BL103*BO103*VLOOKUP('Données projet'!$B$11,Paramètres!$A$1:$I$89,3,0)*0.475*44/12</f>
        <v>1.6950142484339581E-10</v>
      </c>
      <c r="BS103" s="24">
        <f t="shared" si="63"/>
        <v>9.2040011788304845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3.4106051316484809E-13</v>
      </c>
      <c r="BZ103" s="14">
        <f>BY103*VLOOKUP('Données projet'!$B$12,Paramètres!$A$1:$I$89,3,0)*VLOOKUP('Données projet'!$B$12,Paramètres!$A$1:$I$89,5,0)</f>
        <v>1.9508661353029313E-13</v>
      </c>
      <c r="CA103" s="14">
        <f t="shared" si="93"/>
        <v>2.711421636700695E-12</v>
      </c>
      <c r="CB103" s="22">
        <f t="shared" si="64"/>
        <v>5.0621685358189711E-12</v>
      </c>
      <c r="CC103" s="62">
        <f t="shared" si="65"/>
        <v>293.33333333333837</v>
      </c>
      <c r="CD103" s="62">
        <f ca="1">AVERAGE(OFFSET($CC$3,0,0,'Données projet'!$E$12+1,1))-AVERAGE(OFFSET($H$3,0,0,'Données projet'!$E$12+1,1))</f>
        <v>177.71338645688661</v>
      </c>
      <c r="CE103" s="62">
        <f t="shared" si="94"/>
        <v>153.65872713651345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0.25508493134681953</v>
      </c>
      <c r="CM103" s="23">
        <f>EXP(-LN(2)/2)*CM102+(1-EXP(-LN(2)/2))/(LN(2)/2)*CG103*CJ103*VLOOKUP('Données projet'!$B$12,Paramètres!$A$1:$I$89,3,0)*0.475*44/12</f>
        <v>1.9992079999768165E-11</v>
      </c>
      <c r="CN103" s="24">
        <f t="shared" si="66"/>
        <v>0.2550849313668116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-1.1368683772161603E-13</v>
      </c>
      <c r="CU103" s="18">
        <f>CT103*VLOOKUP('Données projet'!$B$13,Paramètres!$A$1:$I$89,3,0)*VLOOKUP('Données projet'!$B$13,Paramètres!$A$1:$I$89,5,0)</f>
        <v>-7.4487616075202823E-14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118.65321241325523</v>
      </c>
      <c r="CZ103" s="62">
        <f t="shared" si="96"/>
        <v>140.55041555757327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4.7</v>
      </c>
      <c r="DO103" s="13">
        <f>IF('Données projet'!$A$166&gt;35,DO102+DN103-DW102,IF(A103&lt;'Données projet'!$A$166,$DL$205^A103,IF(A103='Données projet'!$A$166,'Données projet'!$B$166,DO102+DN103-DW102)))</f>
        <v>281.4999999999996</v>
      </c>
      <c r="DP103" s="18">
        <f>DO103*VLOOKUP('Données projet'!$B$14,Paramètres!$A$1:$I$89,3,0)*VLOOKUP('Données projet'!$B$14,Paramètres!$A$1:$I$89,5,0)</f>
        <v>285.44099999999958</v>
      </c>
      <c r="DQ103" s="14">
        <f t="shared" si="97"/>
        <v>68.115557487507047</v>
      </c>
      <c r="DR103" s="22">
        <f t="shared" si="70"/>
        <v>615.77767095740739</v>
      </c>
      <c r="DS103" s="62">
        <f t="shared" si="71"/>
        <v>909.11100429074077</v>
      </c>
      <c r="DT103" s="62">
        <f ca="1">AVERAGE(OFFSET($DS$3,0,0,'Données projet'!$E$14+1,1))-AVERAGE(OFFSET($H$3,0,0,'Données projet'!$E$14+1,1))</f>
        <v>328.70784159273131</v>
      </c>
      <c r="DU103" s="62">
        <f t="shared" si="98"/>
        <v>193.18009444354601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3.4</v>
      </c>
      <c r="N104" s="14">
        <f>IF('Données projet'!$A$36&gt;35,N103+M104-V103,IF(A104&lt;'Données projet'!$A$36,$K$205^A104,IF(A104='Données projet'!$A$36,'Données projet'!$B$36,N103+M104-V103)))</f>
        <v>218.40000000000003</v>
      </c>
      <c r="O104" s="14">
        <f>N104*VLOOKUP('Données projet'!$B$9,Paramètres!$A$1:$I$89,3,0)*VLOOKUP('Données projet'!$B$9,Paramètres!$A$1:$I$89,5,0)</f>
        <v>197.60832000000002</v>
      </c>
      <c r="P104" s="14">
        <f t="shared" si="87"/>
        <v>49.218181392381361</v>
      </c>
      <c r="Q104" s="22">
        <f t="shared" si="107"/>
        <v>429.8894899250642</v>
      </c>
      <c r="R104" s="62">
        <f t="shared" si="55"/>
        <v>723.22282325839751</v>
      </c>
      <c r="S104" s="62">
        <f ca="1">AVERAGE(OFFSET($R$3,0,0,'Données projet'!$E$9+1,1))-AVERAGE(OFFSET($H$3,0,0,'Données projet'!$E$9+1,1))</f>
        <v>177.70053246230015</v>
      </c>
      <c r="T104" s="62">
        <f t="shared" si="88"/>
        <v>85.631326020763254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8.5265128291212022E-14</v>
      </c>
      <c r="AJ104" s="14">
        <f>AI104*VLOOKUP('Données projet'!$B$10,Paramètres!$A$1:$I$89,3,0)*VLOOKUP('Données projet'!$B$10,Paramètres!$A$1:$I$89,5,0)</f>
        <v>7.4487616075202836E-14</v>
      </c>
      <c r="AK104" s="14">
        <f t="shared" si="89"/>
        <v>1.1580453144473142E-12</v>
      </c>
      <c r="AL104" s="22">
        <f t="shared" si="58"/>
        <v>2.1466615206600508E-12</v>
      </c>
      <c r="AM104" s="62">
        <f t="shared" si="59"/>
        <v>293.33333333333547</v>
      </c>
      <c r="AN104" s="62">
        <f ca="1">AVERAGE(OFFSET($AM$3,0,0,'Données projet'!$E$10+1,1))-AVERAGE(OFFSET($H$3,0,0,'Données projet'!$E$10+1,1))</f>
        <v>212.11273590951606</v>
      </c>
      <c r="AO104" s="62">
        <f t="shared" si="90"/>
        <v>240.9595690943346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2.2737367544323206E-13</v>
      </c>
      <c r="BE104" s="14">
        <f>BD104*VLOOKUP('Données projet'!$B$11,Paramètres!$A$1:$I$89,3,0)*VLOOKUP('Données projet'!$B$11,Paramètres!$A$1:$I$89,5,0)</f>
        <v>1.3596945791505279E-13</v>
      </c>
      <c r="BF104" s="14">
        <f t="shared" si="91"/>
        <v>1.9708830566360721E-12</v>
      </c>
      <c r="BG104" s="22">
        <f t="shared" si="61"/>
        <v>3.669434796176543E-12</v>
      </c>
      <c r="BH104" s="62">
        <f t="shared" si="62"/>
        <v>293.33333333333701</v>
      </c>
      <c r="BI104" s="62">
        <f ca="1">AVERAGE(OFFSET($BH$3,0,0,'Données projet'!$E$11+1,1))-AVERAGE(OFFSET($H$3,0,0,'Données projet'!$E$11+1,1))</f>
        <v>172.49153247238672</v>
      </c>
      <c r="BJ104" s="62">
        <f t="shared" si="92"/>
        <v>301.94982606323254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7.0767830099247497</v>
      </c>
      <c r="BQ104" s="23">
        <f>EXP(-LN(2)/25)*BQ103+(1-EXP(-LN(2)/25))/(LN(2)/25)*Calculateur!BL104*Calculateur!BN104*VLOOKUP('Données projet'!$B$11,Paramètres!$A$1:$I$89,3,0)*0.475*44/12</f>
        <v>1.9313728378418198</v>
      </c>
      <c r="BR104" s="23">
        <f>EXP(-LN(2)/2)*BR103+(1-EXP(-LN(2)/2))/(LN(2)/2)*BL104*BO104*VLOOKUP('Données projet'!$B$11,Paramètres!$A$1:$I$89,3,0)*0.475*44/12</f>
        <v>1.1985560692754711E-10</v>
      </c>
      <c r="BS104" s="24">
        <f t="shared" si="63"/>
        <v>9.0081558478864263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3.4106051316484809E-13</v>
      </c>
      <c r="BZ104" s="14">
        <f>BY104*VLOOKUP('Données projet'!$B$12,Paramètres!$A$1:$I$89,3,0)*VLOOKUP('Données projet'!$B$12,Paramètres!$A$1:$I$89,5,0)</f>
        <v>1.9508661353029313E-13</v>
      </c>
      <c r="CA104" s="14">
        <f t="shared" si="93"/>
        <v>2.711421636700695E-12</v>
      </c>
      <c r="CB104" s="22">
        <f t="shared" si="64"/>
        <v>5.0621685358189711E-12</v>
      </c>
      <c r="CC104" s="62">
        <f t="shared" si="65"/>
        <v>293.33333333333837</v>
      </c>
      <c r="CD104" s="62">
        <f ca="1">AVERAGE(OFFSET($CC$3,0,0,'Données projet'!$E$12+1,1))-AVERAGE(OFFSET($H$3,0,0,'Données projet'!$E$12+1,1))</f>
        <v>177.71338645688661</v>
      </c>
      <c r="CE104" s="62">
        <f t="shared" si="94"/>
        <v>153.65872713651345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0.24810962048480723</v>
      </c>
      <c r="CM104" s="23">
        <f>EXP(-LN(2)/2)*CM103+(1-EXP(-LN(2)/2))/(LN(2)/2)*CG104*CJ104*VLOOKUP('Données projet'!$B$12,Paramètres!$A$1:$I$89,3,0)*0.475*44/12</f>
        <v>1.4136535337860022E-11</v>
      </c>
      <c r="CN104" s="24">
        <f t="shared" si="66"/>
        <v>0.24810962049894375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-7.4487616075202823E-14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118.65321241325523</v>
      </c>
      <c r="CZ104" s="62">
        <f t="shared" si="96"/>
        <v>140.55041555757327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4.7</v>
      </c>
      <c r="DO104" s="13">
        <f>IF('Données projet'!$A$166&gt;35,DO103+DN104-DW103,IF(A104&lt;'Données projet'!$A$166,$DL$205^A104,IF(A104='Données projet'!$A$166,'Données projet'!$B$166,DO103+DN104-DW103)))</f>
        <v>286.19999999999959</v>
      </c>
      <c r="DP104" s="18">
        <f>DO104*VLOOKUP('Données projet'!$B$14,Paramètres!$A$1:$I$89,3,0)*VLOOKUP('Données projet'!$B$14,Paramètres!$A$1:$I$89,5,0)</f>
        <v>290.20679999999959</v>
      </c>
      <c r="DQ104" s="14">
        <f t="shared" si="97"/>
        <v>69.119483862208341</v>
      </c>
      <c r="DR104" s="22">
        <f t="shared" si="70"/>
        <v>625.82661106001206</v>
      </c>
      <c r="DS104" s="62">
        <f t="shared" si="71"/>
        <v>919.15994439334531</v>
      </c>
      <c r="DT104" s="62">
        <f ca="1">AVERAGE(OFFSET($DS$3,0,0,'Données projet'!$E$14+1,1))-AVERAGE(OFFSET($H$3,0,0,'Données projet'!$E$14+1,1))</f>
        <v>328.70784159273131</v>
      </c>
      <c r="DU104" s="62">
        <f t="shared" si="98"/>
        <v>193.18009444354601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3.4</v>
      </c>
      <c r="N105" s="14">
        <f>IF('Données projet'!$A$36&gt;35,N104+M105-V104,IF(A105&lt;'Données projet'!$A$36,$K$205^A105,IF(A105='Données projet'!$A$36,'Données projet'!$B$36,N104+M105-V104)))</f>
        <v>221.80000000000004</v>
      </c>
      <c r="O105" s="14">
        <f>N105*VLOOKUP('Données projet'!$B$9,Paramètres!$A$1:$I$89,3,0)*VLOOKUP('Données projet'!$B$9,Paramètres!$A$1:$I$89,5,0)</f>
        <v>200.68464</v>
      </c>
      <c r="P105" s="14">
        <f t="shared" si="87"/>
        <v>49.894600936700193</v>
      </c>
      <c r="Q105" s="22">
        <f t="shared" si="107"/>
        <v>436.42551129808612</v>
      </c>
      <c r="R105" s="62">
        <f t="shared" si="55"/>
        <v>729.75884463141938</v>
      </c>
      <c r="S105" s="62">
        <f ca="1">AVERAGE(OFFSET($R$3,0,0,'Données projet'!$E$9+1,1))-AVERAGE(OFFSET($H$3,0,0,'Données projet'!$E$9+1,1))</f>
        <v>177.70053246230015</v>
      </c>
      <c r="T105" s="62">
        <f t="shared" si="88"/>
        <v>85.631326020763254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8.5265128291212022E-14</v>
      </c>
      <c r="AJ105" s="14">
        <f>AI105*VLOOKUP('Données projet'!$B$10,Paramètres!$A$1:$I$89,3,0)*VLOOKUP('Données projet'!$B$10,Paramètres!$A$1:$I$89,5,0)</f>
        <v>7.4487616075202836E-14</v>
      </c>
      <c r="AK105" s="14">
        <f t="shared" si="89"/>
        <v>1.1580453144473142E-12</v>
      </c>
      <c r="AL105" s="22">
        <f t="shared" si="58"/>
        <v>2.1466615206600508E-12</v>
      </c>
      <c r="AM105" s="62">
        <f t="shared" si="59"/>
        <v>293.33333333333547</v>
      </c>
      <c r="AN105" s="62">
        <f ca="1">AVERAGE(OFFSET($AM$3,0,0,'Données projet'!$E$10+1,1))-AVERAGE(OFFSET($H$3,0,0,'Données projet'!$E$10+1,1))</f>
        <v>212.11273590951606</v>
      </c>
      <c r="AO105" s="62">
        <f t="shared" si="90"/>
        <v>240.9595690943346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2.2737367544323206E-13</v>
      </c>
      <c r="BE105" s="14">
        <f>BD105*VLOOKUP('Données projet'!$B$11,Paramètres!$A$1:$I$89,3,0)*VLOOKUP('Données projet'!$B$11,Paramètres!$A$1:$I$89,5,0)</f>
        <v>1.3596945791505279E-13</v>
      </c>
      <c r="BF105" s="14">
        <f t="shared" si="91"/>
        <v>1.9708830566360721E-12</v>
      </c>
      <c r="BG105" s="22">
        <f t="shared" si="61"/>
        <v>3.669434796176543E-12</v>
      </c>
      <c r="BH105" s="62">
        <f t="shared" si="62"/>
        <v>293.33333333333701</v>
      </c>
      <c r="BI105" s="62">
        <f ca="1">AVERAGE(OFFSET($BH$3,0,0,'Données projet'!$E$11+1,1))-AVERAGE(OFFSET($H$3,0,0,'Données projet'!$E$11+1,1))</f>
        <v>172.49153247238672</v>
      </c>
      <c r="BJ105" s="62">
        <f t="shared" si="92"/>
        <v>301.94982606323254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6.9380116115115511</v>
      </c>
      <c r="BQ105" s="23">
        <f>EXP(-LN(2)/25)*BQ104+(1-EXP(-LN(2)/25))/(LN(2)/25)*Calculateur!BL105*Calculateur!BN105*VLOOKUP('Données projet'!$B$11,Paramètres!$A$1:$I$89,3,0)*0.475*44/12</f>
        <v>1.878559346024552</v>
      </c>
      <c r="BR105" s="23">
        <f>EXP(-LN(2)/2)*BR104+(1-EXP(-LN(2)/2))/(LN(2)/2)*BL105*BO105*VLOOKUP('Données projet'!$B$11,Paramètres!$A$1:$I$89,3,0)*0.475*44/12</f>
        <v>8.4750712421697906E-11</v>
      </c>
      <c r="BS105" s="24">
        <f t="shared" si="63"/>
        <v>8.8165709576208524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3.4106051316484809E-13</v>
      </c>
      <c r="BZ105" s="14">
        <f>BY105*VLOOKUP('Données projet'!$B$12,Paramètres!$A$1:$I$89,3,0)*VLOOKUP('Données projet'!$B$12,Paramètres!$A$1:$I$89,5,0)</f>
        <v>1.9508661353029313E-13</v>
      </c>
      <c r="CA105" s="14">
        <f t="shared" si="93"/>
        <v>2.711421636700695E-12</v>
      </c>
      <c r="CB105" s="22">
        <f t="shared" si="64"/>
        <v>5.0621685358189711E-12</v>
      </c>
      <c r="CC105" s="62">
        <f t="shared" si="65"/>
        <v>293.33333333333837</v>
      </c>
      <c r="CD105" s="62">
        <f ca="1">AVERAGE(OFFSET($CC$3,0,0,'Données projet'!$E$12+1,1))-AVERAGE(OFFSET($H$3,0,0,'Données projet'!$E$12+1,1))</f>
        <v>177.71338645688661</v>
      </c>
      <c r="CE105" s="62">
        <f t="shared" si="94"/>
        <v>153.65872713651345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0.24132504986513229</v>
      </c>
      <c r="CM105" s="23">
        <f>EXP(-LN(2)/2)*CM104+(1-EXP(-LN(2)/2))/(LN(2)/2)*CG105*CJ105*VLOOKUP('Données projet'!$B$12,Paramètres!$A$1:$I$89,3,0)*0.475*44/12</f>
        <v>9.9960399998840843E-12</v>
      </c>
      <c r="CN105" s="24">
        <f t="shared" si="66"/>
        <v>0.24132504987512832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-7.4487616075202823E-14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118.65321241325523</v>
      </c>
      <c r="CZ105" s="62">
        <f t="shared" si="96"/>
        <v>140.55041555757327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4.7</v>
      </c>
      <c r="DO105" s="13">
        <f>IF('Données projet'!$A$166&gt;35,DO104+DN105-DW104,IF(A105&lt;'Données projet'!$A$166,$DL$205^A105,IF(A105='Données projet'!$A$166,'Données projet'!$B$166,DO104+DN105-DW104)))</f>
        <v>290.89999999999958</v>
      </c>
      <c r="DP105" s="18">
        <f>DO105*VLOOKUP('Données projet'!$B$14,Paramètres!$A$1:$I$89,3,0)*VLOOKUP('Données projet'!$B$14,Paramètres!$A$1:$I$89,5,0)</f>
        <v>294.9725999999996</v>
      </c>
      <c r="DQ105" s="14">
        <f t="shared" si="97"/>
        <v>70.121492942994351</v>
      </c>
      <c r="DR105" s="22">
        <f t="shared" si="70"/>
        <v>635.87221187571447</v>
      </c>
      <c r="DS105" s="62">
        <f t="shared" si="71"/>
        <v>929.20554520904784</v>
      </c>
      <c r="DT105" s="62">
        <f ca="1">AVERAGE(OFFSET($DS$3,0,0,'Données projet'!$E$14+1,1))-AVERAGE(OFFSET($H$3,0,0,'Données projet'!$E$14+1,1))</f>
        <v>328.70784159273131</v>
      </c>
      <c r="DU105" s="62">
        <f t="shared" si="98"/>
        <v>193.18009444354601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3.4</v>
      </c>
      <c r="N106" s="14">
        <f>IF('Données projet'!$A$36&gt;35,N105+M106-V105,IF(A106&lt;'Données projet'!$A$36,$K$205^A106,IF(A106='Données projet'!$A$36,'Données projet'!$B$36,N105+M106-V105)))</f>
        <v>225.20000000000005</v>
      </c>
      <c r="O106" s="14">
        <f>N106*VLOOKUP('Données projet'!$B$9,Paramètres!$A$1:$I$89,3,0)*VLOOKUP('Données projet'!$B$9,Paramètres!$A$1:$I$89,5,0)</f>
        <v>203.76096000000004</v>
      </c>
      <c r="P106" s="14">
        <f t="shared" si="87"/>
        <v>50.569814564938348</v>
      </c>
      <c r="Q106" s="22">
        <f t="shared" si="107"/>
        <v>442.95943236726771</v>
      </c>
      <c r="R106" s="62">
        <f t="shared" si="55"/>
        <v>736.29276570060097</v>
      </c>
      <c r="S106" s="62">
        <f ca="1">AVERAGE(OFFSET($R$3,0,0,'Données projet'!$E$9+1,1))-AVERAGE(OFFSET($H$3,0,0,'Données projet'!$E$9+1,1))</f>
        <v>177.70053246230015</v>
      </c>
      <c r="T106" s="62">
        <f t="shared" si="88"/>
        <v>85.631326020763254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8.5265128291212022E-14</v>
      </c>
      <c r="AJ106" s="14">
        <f>AI106*VLOOKUP('Données projet'!$B$10,Paramètres!$A$1:$I$89,3,0)*VLOOKUP('Données projet'!$B$10,Paramètres!$A$1:$I$89,5,0)</f>
        <v>7.4487616075202836E-14</v>
      </c>
      <c r="AK106" s="14">
        <f t="shared" si="89"/>
        <v>1.1580453144473142E-12</v>
      </c>
      <c r="AL106" s="22">
        <f t="shared" si="58"/>
        <v>2.1466615206600508E-12</v>
      </c>
      <c r="AM106" s="62">
        <f t="shared" si="59"/>
        <v>293.33333333333547</v>
      </c>
      <c r="AN106" s="62">
        <f ca="1">AVERAGE(OFFSET($AM$3,0,0,'Données projet'!$E$10+1,1))-AVERAGE(OFFSET($H$3,0,0,'Données projet'!$E$10+1,1))</f>
        <v>212.11273590951606</v>
      </c>
      <c r="AO106" s="62">
        <f t="shared" si="90"/>
        <v>240.9595690943346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2.2737367544323206E-13</v>
      </c>
      <c r="BE106" s="14">
        <f>BD106*VLOOKUP('Données projet'!$B$11,Paramètres!$A$1:$I$89,3,0)*VLOOKUP('Données projet'!$B$11,Paramètres!$A$1:$I$89,5,0)</f>
        <v>1.3596945791505279E-13</v>
      </c>
      <c r="BF106" s="14">
        <f t="shared" si="91"/>
        <v>1.9708830566360721E-12</v>
      </c>
      <c r="BG106" s="22">
        <f t="shared" si="61"/>
        <v>3.669434796176543E-12</v>
      </c>
      <c r="BH106" s="62">
        <f t="shared" si="62"/>
        <v>293.33333333333701</v>
      </c>
      <c r="BI106" s="62">
        <f ca="1">AVERAGE(OFFSET($BH$3,0,0,'Données projet'!$E$11+1,1))-AVERAGE(OFFSET($H$3,0,0,'Données projet'!$E$11+1,1))</f>
        <v>172.49153247238672</v>
      </c>
      <c r="BJ106" s="62">
        <f t="shared" si="92"/>
        <v>301.94982606323254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6.8019614355790399</v>
      </c>
      <c r="BQ106" s="23">
        <f>EXP(-LN(2)/25)*BQ105+(1-EXP(-LN(2)/25))/(LN(2)/25)*Calculateur!BL106*Calculateur!BN106*VLOOKUP('Données projet'!$B$11,Paramètres!$A$1:$I$89,3,0)*0.475*44/12</f>
        <v>1.8271900419183682</v>
      </c>
      <c r="BR106" s="23">
        <f>EXP(-LN(2)/2)*BR105+(1-EXP(-LN(2)/2))/(LN(2)/2)*BL106*BO106*VLOOKUP('Données projet'!$B$11,Paramètres!$A$1:$I$89,3,0)*0.475*44/12</f>
        <v>5.9927803463773556E-11</v>
      </c>
      <c r="BS106" s="24">
        <f t="shared" si="63"/>
        <v>8.6291514775573361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3.4106051316484809E-13</v>
      </c>
      <c r="BZ106" s="14">
        <f>BY106*VLOOKUP('Données projet'!$B$12,Paramètres!$A$1:$I$89,3,0)*VLOOKUP('Données projet'!$B$12,Paramètres!$A$1:$I$89,5,0)</f>
        <v>1.9508661353029313E-13</v>
      </c>
      <c r="CA106" s="14">
        <f t="shared" si="93"/>
        <v>2.711421636700695E-12</v>
      </c>
      <c r="CB106" s="22">
        <f t="shared" si="64"/>
        <v>5.0621685358189711E-12</v>
      </c>
      <c r="CC106" s="62">
        <f t="shared" si="65"/>
        <v>293.33333333333837</v>
      </c>
      <c r="CD106" s="62">
        <f ca="1">AVERAGE(OFFSET($CC$3,0,0,'Données projet'!$E$12+1,1))-AVERAGE(OFFSET($H$3,0,0,'Données projet'!$E$12+1,1))</f>
        <v>177.71338645688661</v>
      </c>
      <c r="CE106" s="62">
        <f t="shared" si="94"/>
        <v>153.65872713651345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0.23472600368583743</v>
      </c>
      <c r="CM106" s="23">
        <f>EXP(-LN(2)/2)*CM105+(1-EXP(-LN(2)/2))/(LN(2)/2)*CG106*CJ106*VLOOKUP('Données projet'!$B$12,Paramètres!$A$1:$I$89,3,0)*0.475*44/12</f>
        <v>7.0682676689300126E-12</v>
      </c>
      <c r="CN106" s="24">
        <f t="shared" si="66"/>
        <v>0.23472600369290569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-7.4487616075202823E-14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118.65321241325523</v>
      </c>
      <c r="CZ106" s="62">
        <f t="shared" si="96"/>
        <v>140.55041555757327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4.7</v>
      </c>
      <c r="DO106" s="13">
        <f>IF('Données projet'!$A$166&gt;35,DO105+DN106-DW105,IF(A106&lt;'Données projet'!$A$166,$DL$205^A106,IF(A106='Données projet'!$A$166,'Données projet'!$B$166,DO105+DN106-DW105)))</f>
        <v>295.59999999999957</v>
      </c>
      <c r="DP106" s="18">
        <f>DO106*VLOOKUP('Données projet'!$B$14,Paramètres!$A$1:$I$89,3,0)*VLOOKUP('Données projet'!$B$14,Paramètres!$A$1:$I$89,5,0)</f>
        <v>299.73839999999961</v>
      </c>
      <c r="DQ106" s="14">
        <f t="shared" si="97"/>
        <v>71.121619283394352</v>
      </c>
      <c r="DR106" s="22">
        <f t="shared" si="70"/>
        <v>645.91453358524438</v>
      </c>
      <c r="DS106" s="62">
        <f t="shared" si="71"/>
        <v>939.24786691857776</v>
      </c>
      <c r="DT106" s="62">
        <f ca="1">AVERAGE(OFFSET($DS$3,0,0,'Données projet'!$E$14+1,1))-AVERAGE(OFFSET($H$3,0,0,'Données projet'!$E$14+1,1))</f>
        <v>328.70784159273131</v>
      </c>
      <c r="DU106" s="62">
        <f t="shared" si="98"/>
        <v>193.18009444354601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3.4</v>
      </c>
      <c r="N107" s="14">
        <f>IF('Données projet'!$A$36&gt;35,N106+M107-V106,IF(A107&lt;'Données projet'!$A$36,$K$205^A107,IF(A107='Données projet'!$A$36,'Données projet'!$B$36,N106+M107-V106)))</f>
        <v>228.60000000000005</v>
      </c>
      <c r="O107" s="14">
        <f>N107*VLOOKUP('Données projet'!$B$9,Paramètres!$A$1:$I$89,3,0)*VLOOKUP('Données projet'!$B$9,Paramètres!$A$1:$I$89,5,0)</f>
        <v>206.83728000000005</v>
      </c>
      <c r="P107" s="14">
        <f t="shared" si="87"/>
        <v>51.243842586590382</v>
      </c>
      <c r="Q107" s="22">
        <f t="shared" si="107"/>
        <v>449.49128850497829</v>
      </c>
      <c r="R107" s="62">
        <f t="shared" si="55"/>
        <v>742.8246218383116</v>
      </c>
      <c r="S107" s="62">
        <f ca="1">AVERAGE(OFFSET($R$3,0,0,'Données projet'!$E$9+1,1))-AVERAGE(OFFSET($H$3,0,0,'Données projet'!$E$9+1,1))</f>
        <v>177.70053246230015</v>
      </c>
      <c r="T107" s="62">
        <f t="shared" si="88"/>
        <v>85.631326020763254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8.5265128291212022E-14</v>
      </c>
      <c r="AJ107" s="14">
        <f>AI107*VLOOKUP('Données projet'!$B$10,Paramètres!$A$1:$I$89,3,0)*VLOOKUP('Données projet'!$B$10,Paramètres!$A$1:$I$89,5,0)</f>
        <v>7.4487616075202836E-14</v>
      </c>
      <c r="AK107" s="14">
        <f t="shared" si="89"/>
        <v>1.1580453144473142E-12</v>
      </c>
      <c r="AL107" s="22">
        <f t="shared" si="58"/>
        <v>2.1466615206600508E-12</v>
      </c>
      <c r="AM107" s="62">
        <f t="shared" si="59"/>
        <v>293.33333333333547</v>
      </c>
      <c r="AN107" s="62">
        <f ca="1">AVERAGE(OFFSET($AM$3,0,0,'Données projet'!$E$10+1,1))-AVERAGE(OFFSET($H$3,0,0,'Données projet'!$E$10+1,1))</f>
        <v>212.11273590951606</v>
      </c>
      <c r="AO107" s="62">
        <f t="shared" si="90"/>
        <v>240.9595690943346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2.2737367544323206E-13</v>
      </c>
      <c r="BE107" s="14">
        <f>BD107*VLOOKUP('Données projet'!$B$11,Paramètres!$A$1:$I$89,3,0)*VLOOKUP('Données projet'!$B$11,Paramètres!$A$1:$I$89,5,0)</f>
        <v>1.3596945791505279E-13</v>
      </c>
      <c r="BF107" s="14">
        <f t="shared" si="91"/>
        <v>1.9708830566360721E-12</v>
      </c>
      <c r="BG107" s="22">
        <f t="shared" si="61"/>
        <v>3.669434796176543E-12</v>
      </c>
      <c r="BH107" s="62">
        <f t="shared" si="62"/>
        <v>293.33333333333701</v>
      </c>
      <c r="BI107" s="62">
        <f ca="1">AVERAGE(OFFSET($BH$3,0,0,'Données projet'!$E$11+1,1))-AVERAGE(OFFSET($H$3,0,0,'Données projet'!$E$11+1,1))</f>
        <v>172.49153247238672</v>
      </c>
      <c r="BJ107" s="62">
        <f t="shared" si="92"/>
        <v>301.94982606323254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6.6685791206141518</v>
      </c>
      <c r="BQ107" s="23">
        <f>EXP(-LN(2)/25)*BQ106+(1-EXP(-LN(2)/25))/(LN(2)/25)*Calculateur!BL107*Calculateur!BN107*VLOOKUP('Données projet'!$B$11,Paramètres!$A$1:$I$89,3,0)*0.475*44/12</f>
        <v>1.7772254341343623</v>
      </c>
      <c r="BR107" s="23">
        <f>EXP(-LN(2)/2)*BR106+(1-EXP(-LN(2)/2))/(LN(2)/2)*BL107*BO107*VLOOKUP('Données projet'!$B$11,Paramètres!$A$1:$I$89,3,0)*0.475*44/12</f>
        <v>4.2375356210848953E-11</v>
      </c>
      <c r="BS107" s="24">
        <f t="shared" si="63"/>
        <v>8.4458045547908895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3.4106051316484809E-13</v>
      </c>
      <c r="BZ107" s="14">
        <f>BY107*VLOOKUP('Données projet'!$B$12,Paramètres!$A$1:$I$89,3,0)*VLOOKUP('Données projet'!$B$12,Paramètres!$A$1:$I$89,5,0)</f>
        <v>1.9508661353029313E-13</v>
      </c>
      <c r="CA107" s="14">
        <f t="shared" si="93"/>
        <v>2.711421636700695E-12</v>
      </c>
      <c r="CB107" s="22">
        <f t="shared" si="64"/>
        <v>5.0621685358189711E-12</v>
      </c>
      <c r="CC107" s="62">
        <f t="shared" si="65"/>
        <v>293.33333333333837</v>
      </c>
      <c r="CD107" s="62">
        <f ca="1">AVERAGE(OFFSET($CC$3,0,0,'Données projet'!$E$12+1,1))-AVERAGE(OFFSET($H$3,0,0,'Données projet'!$E$12+1,1))</f>
        <v>177.71338645688661</v>
      </c>
      <c r="CE107" s="62">
        <f t="shared" si="94"/>
        <v>153.65872713651345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0.22830740877134414</v>
      </c>
      <c r="CM107" s="23">
        <f>EXP(-LN(2)/2)*CM106+(1-EXP(-LN(2)/2))/(LN(2)/2)*CG107*CJ107*VLOOKUP('Données projet'!$B$12,Paramètres!$A$1:$I$89,3,0)*0.475*44/12</f>
        <v>4.998019999942043E-12</v>
      </c>
      <c r="CN107" s="24">
        <f t="shared" si="66"/>
        <v>0.22830740877634217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-7.4487616075202823E-14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118.65321241325523</v>
      </c>
      <c r="CZ107" s="62">
        <f t="shared" si="96"/>
        <v>140.55041555757327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4.7</v>
      </c>
      <c r="DO107" s="13">
        <f>IF('Données projet'!$A$166&gt;35,DO106+DN107-DW106,IF(A107&lt;'Données projet'!$A$166,$DL$205^A107,IF(A107='Données projet'!$A$166,'Données projet'!$B$166,DO106+DN107-DW106)))</f>
        <v>300.29999999999956</v>
      </c>
      <c r="DP107" s="18">
        <f>DO107*VLOOKUP('Données projet'!$B$14,Paramètres!$A$1:$I$89,3,0)*VLOOKUP('Données projet'!$B$14,Paramètres!$A$1:$I$89,5,0)</f>
        <v>304.50419999999957</v>
      </c>
      <c r="DQ107" s="14">
        <f t="shared" si="97"/>
        <v>72.11989627512429</v>
      </c>
      <c r="DR107" s="22">
        <f t="shared" si="70"/>
        <v>655.95363434584067</v>
      </c>
      <c r="DS107" s="62">
        <f t="shared" si="71"/>
        <v>949.28696767917404</v>
      </c>
      <c r="DT107" s="62">
        <f ca="1">AVERAGE(OFFSET($DS$3,0,0,'Données projet'!$E$14+1,1))-AVERAGE(OFFSET($H$3,0,0,'Données projet'!$E$14+1,1))</f>
        <v>328.70784159273131</v>
      </c>
      <c r="DU107" s="62">
        <f t="shared" si="98"/>
        <v>193.18009444354601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232</v>
      </c>
      <c r="L108" s="13">
        <f>VLOOKUP(A108,'Données projet'!$A$35:$I$55,9,0)</f>
        <v>3.4</v>
      </c>
      <c r="M108" s="13">
        <f t="array" ref="M108">INDEX(L:L,MIN(IF(ISNUMBER(L108:L304),ROW(L108:L304),"")))</f>
        <v>3.4</v>
      </c>
      <c r="N108" s="14">
        <f>IF('Données projet'!$A$36&gt;35,N107+M108-V107,IF(A108&lt;'Données projet'!$A$36,$K$205^A108,IF(A108='Données projet'!$A$36,'Données projet'!$B$36,N107+M108-V107)))</f>
        <v>232.00000000000006</v>
      </c>
      <c r="O108" s="14">
        <f>N108*VLOOKUP('Données projet'!$B$9,Paramètres!$A$1:$I$89,3,0)*VLOOKUP('Données projet'!$B$9,Paramètres!$A$1:$I$89,5,0)</f>
        <v>209.91360000000006</v>
      </c>
      <c r="P108" s="14">
        <f t="shared" si="87"/>
        <v>51.916704672341361</v>
      </c>
      <c r="Q108" s="22">
        <f t="shared" si="107"/>
        <v>456.02111397099458</v>
      </c>
      <c r="R108" s="62">
        <f t="shared" si="55"/>
        <v>749.35444730432789</v>
      </c>
      <c r="S108" s="62">
        <f ca="1">AVERAGE(OFFSET($R$3,0,0,'Données projet'!$E$9+1,1))-AVERAGE(OFFSET($H$3,0,0,'Données projet'!$E$9+1,1))</f>
        <v>177.70053246230015</v>
      </c>
      <c r="T108" s="62">
        <f t="shared" si="88"/>
        <v>85.631326020763254</v>
      </c>
      <c r="U108" s="16">
        <f>IF(ISNA(VLOOKUP(A108,'Données projet'!$A$35:$I$55,3,0)),0,VLOOKUP(A108,'Données projet'!$A$35:$I$55,3,0))</f>
        <v>8</v>
      </c>
      <c r="V108" s="16">
        <f>IF(ISNA(VLOOKUP(A108,'Données projet'!$A$35:$I$55,4,0)),0,VLOOKUP(A108,'Données projet'!$A$35:$I$55,4,0))</f>
        <v>28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8.5265128291212022E-14</v>
      </c>
      <c r="AJ108" s="14">
        <f>AI108*VLOOKUP('Données projet'!$B$10,Paramètres!$A$1:$I$89,3,0)*VLOOKUP('Données projet'!$B$10,Paramètres!$A$1:$I$89,5,0)</f>
        <v>7.4487616075202836E-14</v>
      </c>
      <c r="AK108" s="14">
        <f t="shared" si="89"/>
        <v>1.1580453144473142E-12</v>
      </c>
      <c r="AL108" s="22">
        <f t="shared" si="58"/>
        <v>2.1466615206600508E-12</v>
      </c>
      <c r="AM108" s="62">
        <f t="shared" si="59"/>
        <v>293.33333333333547</v>
      </c>
      <c r="AN108" s="62">
        <f ca="1">AVERAGE(OFFSET($AM$3,0,0,'Données projet'!$E$10+1,1))-AVERAGE(OFFSET($H$3,0,0,'Données projet'!$E$10+1,1))</f>
        <v>212.11273590951606</v>
      </c>
      <c r="AO108" s="62">
        <f t="shared" si="90"/>
        <v>240.9595690943346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2.2737367544323206E-13</v>
      </c>
      <c r="BE108" s="14">
        <f>BD108*VLOOKUP('Données projet'!$B$11,Paramètres!$A$1:$I$89,3,0)*VLOOKUP('Données projet'!$B$11,Paramètres!$A$1:$I$89,5,0)</f>
        <v>1.3596945791505279E-13</v>
      </c>
      <c r="BF108" s="14">
        <f t="shared" si="91"/>
        <v>1.9708830566360721E-12</v>
      </c>
      <c r="BG108" s="22">
        <f t="shared" si="61"/>
        <v>3.669434796176543E-12</v>
      </c>
      <c r="BH108" s="62">
        <f t="shared" si="62"/>
        <v>293.33333333333701</v>
      </c>
      <c r="BI108" s="62">
        <f ca="1">AVERAGE(OFFSET($BH$3,0,0,'Données projet'!$E$11+1,1))-AVERAGE(OFFSET($H$3,0,0,'Données projet'!$E$11+1,1))</f>
        <v>172.49153247238672</v>
      </c>
      <c r="BJ108" s="62">
        <f t="shared" si="92"/>
        <v>301.94982606323254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6.5378123514905466</v>
      </c>
      <c r="BQ108" s="23">
        <f>EXP(-LN(2)/25)*BQ107+(1-EXP(-LN(2)/25))/(LN(2)/25)*Calculateur!BL108*Calculateur!BN108*VLOOKUP('Données projet'!$B$11,Paramètres!$A$1:$I$89,3,0)*0.475*44/12</f>
        <v>1.7286271111777345</v>
      </c>
      <c r="BR108" s="23">
        <f>EXP(-LN(2)/2)*BR107+(1-EXP(-LN(2)/2))/(LN(2)/2)*BL108*BO108*VLOOKUP('Données projet'!$B$11,Paramètres!$A$1:$I$89,3,0)*0.475*44/12</f>
        <v>2.9963901731886778E-11</v>
      </c>
      <c r="BS108" s="24">
        <f t="shared" si="63"/>
        <v>8.2664394626982443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3.4106051316484809E-13</v>
      </c>
      <c r="BZ108" s="14">
        <f>BY108*VLOOKUP('Données projet'!$B$12,Paramètres!$A$1:$I$89,3,0)*VLOOKUP('Données projet'!$B$12,Paramètres!$A$1:$I$89,5,0)</f>
        <v>1.9508661353029313E-13</v>
      </c>
      <c r="CA108" s="14">
        <f t="shared" si="93"/>
        <v>2.711421636700695E-12</v>
      </c>
      <c r="CB108" s="22">
        <f t="shared" si="64"/>
        <v>5.0621685358189711E-12</v>
      </c>
      <c r="CC108" s="62">
        <f t="shared" si="65"/>
        <v>293.33333333333837</v>
      </c>
      <c r="CD108" s="62">
        <f ca="1">AVERAGE(OFFSET($CC$3,0,0,'Données projet'!$E$12+1,1))-AVERAGE(OFFSET($H$3,0,0,'Données projet'!$E$12+1,1))</f>
        <v>177.71338645688661</v>
      </c>
      <c r="CE108" s="62">
        <f t="shared" si="94"/>
        <v>153.65872713651345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0.22206433067232692</v>
      </c>
      <c r="CM108" s="23">
        <f>EXP(-LN(2)/2)*CM107+(1-EXP(-LN(2)/2))/(LN(2)/2)*CG108*CJ108*VLOOKUP('Données projet'!$B$12,Paramètres!$A$1:$I$89,3,0)*0.475*44/12</f>
        <v>3.5341338344650067E-12</v>
      </c>
      <c r="CN108" s="24">
        <f t="shared" si="66"/>
        <v>0.22206433067586107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-7.4487616075202823E-14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118.65321241325523</v>
      </c>
      <c r="CZ108" s="62">
        <f t="shared" si="96"/>
        <v>140.55041555757327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305</v>
      </c>
      <c r="DM108" s="13">
        <f>VLOOKUP(A108,'Données projet'!$A$165:$I$185,9,0)</f>
        <v>4.7</v>
      </c>
      <c r="DN108" s="13">
        <f t="array" ref="DN108">INDEX(DM:DM,MIN(IF(ISNUMBER(DM108:DM304),ROW(DM108:DM304),"")))</f>
        <v>4.7</v>
      </c>
      <c r="DO108" s="13">
        <f>IF('Données projet'!$A$166&gt;35,DO107+DN108-DW107,IF(A108&lt;'Données projet'!$A$166,$DL$205^A108,IF(A108='Données projet'!$A$166,'Données projet'!$B$166,DO107+DN108-DW107)))</f>
        <v>304.99999999999955</v>
      </c>
      <c r="DP108" s="18">
        <f>DO108*VLOOKUP('Données projet'!$B$14,Paramètres!$A$1:$I$89,3,0)*VLOOKUP('Données projet'!$B$14,Paramètres!$A$1:$I$89,5,0)</f>
        <v>309.26999999999958</v>
      </c>
      <c r="DQ108" s="14">
        <f t="shared" si="97"/>
        <v>73.116356204710968</v>
      </c>
      <c r="DR108" s="22">
        <f t="shared" si="70"/>
        <v>665.98957038987078</v>
      </c>
      <c r="DS108" s="62">
        <f t="shared" si="71"/>
        <v>959.32290372320404</v>
      </c>
      <c r="DT108" s="62">
        <f ca="1">AVERAGE(OFFSET($DS$3,0,0,'Données projet'!$E$14+1,1))-AVERAGE(OFFSET($H$3,0,0,'Données projet'!$E$14+1,1))</f>
        <v>328.70784159273131</v>
      </c>
      <c r="DU108" s="62">
        <f t="shared" si="98"/>
        <v>193.18009444354601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41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207.00000000000006</v>
      </c>
      <c r="O109" s="14">
        <f>N109*VLOOKUP('Données projet'!$B$9,Paramètres!$A$1:$I$89,3,0)*VLOOKUP('Données projet'!$B$9,Paramètres!$A$1:$I$89,5,0)</f>
        <v>187.29360000000005</v>
      </c>
      <c r="P109" s="14">
        <f t="shared" si="87"/>
        <v>46.941107550760456</v>
      </c>
      <c r="Q109" s="22">
        <f t="shared" si="107"/>
        <v>407.9587823175745</v>
      </c>
      <c r="R109" s="62">
        <f t="shared" si="55"/>
        <v>701.29211565090782</v>
      </c>
      <c r="S109" s="62">
        <f ca="1">AVERAGE(OFFSET($R$3,0,0,'Données projet'!$E$9+1,1))-AVERAGE(OFFSET($H$3,0,0,'Données projet'!$E$9+1,1))</f>
        <v>177.70053246230015</v>
      </c>
      <c r="T109" s="62">
        <f t="shared" si="88"/>
        <v>85.631326020763254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8.5265128291212022E-14</v>
      </c>
      <c r="AJ109" s="14">
        <f>AI109*VLOOKUP('Données projet'!$B$10,Paramètres!$A$1:$I$89,3,0)*VLOOKUP('Données projet'!$B$10,Paramètres!$A$1:$I$89,5,0)</f>
        <v>7.4487616075202836E-14</v>
      </c>
      <c r="AK109" s="14">
        <f t="shared" si="89"/>
        <v>1.1580453144473142E-12</v>
      </c>
      <c r="AL109" s="22">
        <f t="shared" si="58"/>
        <v>2.1466615206600508E-12</v>
      </c>
      <c r="AM109" s="62">
        <f t="shared" si="59"/>
        <v>293.33333333333547</v>
      </c>
      <c r="AN109" s="62">
        <f ca="1">AVERAGE(OFFSET($AM$3,0,0,'Données projet'!$E$10+1,1))-AVERAGE(OFFSET($H$3,0,0,'Données projet'!$E$10+1,1))</f>
        <v>212.11273590951606</v>
      </c>
      <c r="AO109" s="62">
        <f t="shared" si="90"/>
        <v>240.9595690943346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2.2737367544323206E-13</v>
      </c>
      <c r="BE109" s="14">
        <f>BD109*VLOOKUP('Données projet'!$B$11,Paramètres!$A$1:$I$89,3,0)*VLOOKUP('Données projet'!$B$11,Paramètres!$A$1:$I$89,5,0)</f>
        <v>1.3596945791505279E-13</v>
      </c>
      <c r="BF109" s="14">
        <f t="shared" si="91"/>
        <v>1.9708830566360721E-12</v>
      </c>
      <c r="BG109" s="22">
        <f t="shared" si="61"/>
        <v>3.669434796176543E-12</v>
      </c>
      <c r="BH109" s="62">
        <f t="shared" si="62"/>
        <v>293.33333333333701</v>
      </c>
      <c r="BI109" s="62">
        <f ca="1">AVERAGE(OFFSET($BH$3,0,0,'Données projet'!$E$11+1,1))-AVERAGE(OFFSET($H$3,0,0,'Données projet'!$E$11+1,1))</f>
        <v>172.49153247238672</v>
      </c>
      <c r="BJ109" s="62">
        <f t="shared" si="92"/>
        <v>301.94982606323254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6.4096098389496019</v>
      </c>
      <c r="BQ109" s="23">
        <f>EXP(-LN(2)/25)*BQ108+(1-EXP(-LN(2)/25))/(LN(2)/25)*Calculateur!BL109*Calculateur!BN109*VLOOKUP('Données projet'!$B$11,Paramètres!$A$1:$I$89,3,0)*0.475*44/12</f>
        <v>1.6813577119180303</v>
      </c>
      <c r="BR109" s="23">
        <f>EXP(-LN(2)/2)*BR108+(1-EXP(-LN(2)/2))/(LN(2)/2)*BL109*BO109*VLOOKUP('Données projet'!$B$11,Paramètres!$A$1:$I$89,3,0)*0.475*44/12</f>
        <v>2.1187678105424477E-11</v>
      </c>
      <c r="BS109" s="24">
        <f t="shared" si="63"/>
        <v>8.0909675508888199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3.4106051316484809E-13</v>
      </c>
      <c r="BZ109" s="14">
        <f>BY109*VLOOKUP('Données projet'!$B$12,Paramètres!$A$1:$I$89,3,0)*VLOOKUP('Données projet'!$B$12,Paramètres!$A$1:$I$89,5,0)</f>
        <v>1.9508661353029313E-13</v>
      </c>
      <c r="CA109" s="14">
        <f t="shared" si="93"/>
        <v>2.711421636700695E-12</v>
      </c>
      <c r="CB109" s="22">
        <f t="shared" si="64"/>
        <v>5.0621685358189711E-12</v>
      </c>
      <c r="CC109" s="62">
        <f t="shared" si="65"/>
        <v>293.33333333333837</v>
      </c>
      <c r="CD109" s="62">
        <f ca="1">AVERAGE(OFFSET($CC$3,0,0,'Données projet'!$E$12+1,1))-AVERAGE(OFFSET($H$3,0,0,'Données projet'!$E$12+1,1))</f>
        <v>177.71338645688661</v>
      </c>
      <c r="CE109" s="62">
        <f t="shared" si="94"/>
        <v>153.65872713651345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0.21599196987223654</v>
      </c>
      <c r="CM109" s="23">
        <f>EXP(-LN(2)/2)*CM108+(1-EXP(-LN(2)/2))/(LN(2)/2)*CG109*CJ109*VLOOKUP('Données projet'!$B$12,Paramètres!$A$1:$I$89,3,0)*0.475*44/12</f>
        <v>2.4990099999710219E-12</v>
      </c>
      <c r="CN109" s="24">
        <f t="shared" si="66"/>
        <v>0.21599196987473554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-7.4487616075202823E-14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118.65321241325523</v>
      </c>
      <c r="CZ109" s="62">
        <f t="shared" si="96"/>
        <v>140.55041555757327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</v>
      </c>
      <c r="DO109" s="13">
        <f>IF('Données projet'!$A$166&gt;35,DO108+DN109-DW108,IF(A109&lt;'Données projet'!$A$166,$DL$205^A109,IF(A109='Données projet'!$A$166,'Données projet'!$B$166,DO108+DN109-DW108)))</f>
        <v>267.99999999999955</v>
      </c>
      <c r="DP109" s="18">
        <f>DO109*VLOOKUP('Données projet'!$B$14,Paramètres!$A$1:$I$89,3,0)*VLOOKUP('Données projet'!$B$14,Paramètres!$A$1:$I$89,5,0)</f>
        <v>271.75199999999955</v>
      </c>
      <c r="DQ109" s="14">
        <f t="shared" si="97"/>
        <v>65.22094782472486</v>
      </c>
      <c r="DR109" s="22">
        <f t="shared" si="70"/>
        <v>586.89455079472839</v>
      </c>
      <c r="DS109" s="62">
        <f t="shared" si="71"/>
        <v>880.22788412806176</v>
      </c>
      <c r="DT109" s="62">
        <f ca="1">AVERAGE(OFFSET($DS$3,0,0,'Données projet'!$E$14+1,1))-AVERAGE(OFFSET($H$3,0,0,'Données projet'!$E$14+1,1))</f>
        <v>328.70784159273131</v>
      </c>
      <c r="DU109" s="62">
        <f t="shared" si="98"/>
        <v>193.18009444354601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210.00000000000006</v>
      </c>
      <c r="O110" s="14">
        <f>N110*VLOOKUP('Données projet'!$B$9,Paramètres!$A$1:$I$89,3,0)*VLOOKUP('Données projet'!$B$9,Paramètres!$A$1:$I$89,5,0)</f>
        <v>190.00800000000004</v>
      </c>
      <c r="P110" s="14">
        <f t="shared" si="87"/>
        <v>47.541721533308205</v>
      </c>
      <c r="Q110" s="22">
        <f t="shared" si="107"/>
        <v>413.73243167051174</v>
      </c>
      <c r="R110" s="62">
        <f t="shared" si="55"/>
        <v>707.06576500384506</v>
      </c>
      <c r="S110" s="62">
        <f ca="1">AVERAGE(OFFSET($R$3,0,0,'Données projet'!$E$9+1,1))-AVERAGE(OFFSET($H$3,0,0,'Données projet'!$E$9+1,1))</f>
        <v>177.70053246230015</v>
      </c>
      <c r="T110" s="62">
        <f t="shared" si="88"/>
        <v>85.631326020763254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8.5265128291212022E-14</v>
      </c>
      <c r="AJ110" s="14">
        <f>AI110*VLOOKUP('Données projet'!$B$10,Paramètres!$A$1:$I$89,3,0)*VLOOKUP('Données projet'!$B$10,Paramètres!$A$1:$I$89,5,0)</f>
        <v>7.4487616075202836E-14</v>
      </c>
      <c r="AK110" s="14">
        <f t="shared" si="89"/>
        <v>1.1580453144473142E-12</v>
      </c>
      <c r="AL110" s="22">
        <f t="shared" si="58"/>
        <v>2.1466615206600508E-12</v>
      </c>
      <c r="AM110" s="62">
        <f t="shared" si="59"/>
        <v>293.33333333333547</v>
      </c>
      <c r="AN110" s="62">
        <f ca="1">AVERAGE(OFFSET($AM$3,0,0,'Données projet'!$E$10+1,1))-AVERAGE(OFFSET($H$3,0,0,'Données projet'!$E$10+1,1))</f>
        <v>212.11273590951606</v>
      </c>
      <c r="AO110" s="62">
        <f t="shared" si="90"/>
        <v>240.9595690943346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2.2737367544323206E-13</v>
      </c>
      <c r="BE110" s="14">
        <f>BD110*VLOOKUP('Données projet'!$B$11,Paramètres!$A$1:$I$89,3,0)*VLOOKUP('Données projet'!$B$11,Paramètres!$A$1:$I$89,5,0)</f>
        <v>1.3596945791505279E-13</v>
      </c>
      <c r="BF110" s="14">
        <f t="shared" si="91"/>
        <v>1.9708830566360721E-12</v>
      </c>
      <c r="BG110" s="22">
        <f t="shared" si="61"/>
        <v>3.669434796176543E-12</v>
      </c>
      <c r="BH110" s="62">
        <f t="shared" si="62"/>
        <v>293.33333333333701</v>
      </c>
      <c r="BI110" s="62">
        <f ca="1">AVERAGE(OFFSET($BH$3,0,0,'Données projet'!$E$11+1,1))-AVERAGE(OFFSET($H$3,0,0,'Données projet'!$E$11+1,1))</f>
        <v>172.49153247238672</v>
      </c>
      <c r="BJ110" s="62">
        <f t="shared" si="92"/>
        <v>301.94982606323254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6.2839212994837732</v>
      </c>
      <c r="BQ110" s="23">
        <f>EXP(-LN(2)/25)*BQ109+(1-EXP(-LN(2)/25))/(LN(2)/25)*Calculateur!BL110*Calculateur!BN110*VLOOKUP('Données projet'!$B$11,Paramètres!$A$1:$I$89,3,0)*0.475*44/12</f>
        <v>1.6353808968668724</v>
      </c>
      <c r="BR110" s="23">
        <f>EXP(-LN(2)/2)*BR109+(1-EXP(-LN(2)/2))/(LN(2)/2)*BL110*BO110*VLOOKUP('Données projet'!$B$11,Paramètres!$A$1:$I$89,3,0)*0.475*44/12</f>
        <v>1.4981950865943389E-11</v>
      </c>
      <c r="BS110" s="24">
        <f t="shared" si="63"/>
        <v>7.9193021963656278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3.4106051316484809E-13</v>
      </c>
      <c r="BZ110" s="14">
        <f>BY110*VLOOKUP('Données projet'!$B$12,Paramètres!$A$1:$I$89,3,0)*VLOOKUP('Données projet'!$B$12,Paramètres!$A$1:$I$89,5,0)</f>
        <v>1.9508661353029313E-13</v>
      </c>
      <c r="CA110" s="14">
        <f t="shared" si="93"/>
        <v>2.711421636700695E-12</v>
      </c>
      <c r="CB110" s="22">
        <f t="shared" si="64"/>
        <v>5.0621685358189711E-12</v>
      </c>
      <c r="CC110" s="62">
        <f t="shared" si="65"/>
        <v>293.33333333333837</v>
      </c>
      <c r="CD110" s="62">
        <f ca="1">AVERAGE(OFFSET($CC$3,0,0,'Données projet'!$E$12+1,1))-AVERAGE(OFFSET($H$3,0,0,'Données projet'!$E$12+1,1))</f>
        <v>177.71338645688661</v>
      </c>
      <c r="CE110" s="62">
        <f t="shared" si="94"/>
        <v>153.65872713651345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0.21008565809755619</v>
      </c>
      <c r="CM110" s="23">
        <f>EXP(-LN(2)/2)*CM109+(1-EXP(-LN(2)/2))/(LN(2)/2)*CG110*CJ110*VLOOKUP('Données projet'!$B$12,Paramètres!$A$1:$I$89,3,0)*0.475*44/12</f>
        <v>1.7670669172325035E-12</v>
      </c>
      <c r="CN110" s="24">
        <f t="shared" si="66"/>
        <v>0.21008565809932325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-7.4487616075202823E-14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118.65321241325523</v>
      </c>
      <c r="CZ110" s="62">
        <f t="shared" si="96"/>
        <v>140.55041555757327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</v>
      </c>
      <c r="DO110" s="13">
        <f>IF('Données projet'!$A$166&gt;35,DO109+DN110-DW109,IF(A110&lt;'Données projet'!$A$166,$DL$205^A110,IF(A110='Données projet'!$A$166,'Données projet'!$B$166,DO109+DN110-DW109)))</f>
        <v>271.99999999999955</v>
      </c>
      <c r="DP110" s="18">
        <f>DO110*VLOOKUP('Données projet'!$B$14,Paramètres!$A$1:$I$89,3,0)*VLOOKUP('Données projet'!$B$14,Paramètres!$A$1:$I$89,5,0)</f>
        <v>275.80799999999954</v>
      </c>
      <c r="DQ110" s="14">
        <f t="shared" si="97"/>
        <v>66.080342531440536</v>
      </c>
      <c r="DR110" s="22">
        <f t="shared" si="70"/>
        <v>595.45552990892475</v>
      </c>
      <c r="DS110" s="62">
        <f t="shared" si="71"/>
        <v>888.788863242258</v>
      </c>
      <c r="DT110" s="62">
        <f ca="1">AVERAGE(OFFSET($DS$3,0,0,'Données projet'!$E$14+1,1))-AVERAGE(OFFSET($H$3,0,0,'Données projet'!$E$14+1,1))</f>
        <v>328.70784159273131</v>
      </c>
      <c r="DU110" s="62">
        <f t="shared" si="98"/>
        <v>193.18009444354601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213.00000000000006</v>
      </c>
      <c r="O111" s="14">
        <f>N111*VLOOKUP('Données projet'!$B$9,Paramètres!$A$1:$I$89,3,0)*VLOOKUP('Données projet'!$B$9,Paramètres!$A$1:$I$89,5,0)</f>
        <v>192.72240000000005</v>
      </c>
      <c r="P111" s="14">
        <f t="shared" si="87"/>
        <v>48.141337574630874</v>
      </c>
      <c r="Q111" s="22">
        <f t="shared" si="107"/>
        <v>419.5043429424822</v>
      </c>
      <c r="R111" s="62">
        <f t="shared" si="55"/>
        <v>712.83767627581551</v>
      </c>
      <c r="S111" s="62">
        <f ca="1">AVERAGE(OFFSET($R$3,0,0,'Données projet'!$E$9+1,1))-AVERAGE(OFFSET($H$3,0,0,'Données projet'!$E$9+1,1))</f>
        <v>177.70053246230015</v>
      </c>
      <c r="T111" s="62">
        <f t="shared" si="88"/>
        <v>85.631326020763254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8.5265128291212022E-14</v>
      </c>
      <c r="AJ111" s="14">
        <f>AI111*VLOOKUP('Données projet'!$B$10,Paramètres!$A$1:$I$89,3,0)*VLOOKUP('Données projet'!$B$10,Paramètres!$A$1:$I$89,5,0)</f>
        <v>7.4487616075202836E-14</v>
      </c>
      <c r="AK111" s="14">
        <f t="shared" si="89"/>
        <v>1.1580453144473142E-12</v>
      </c>
      <c r="AL111" s="22">
        <f t="shared" si="58"/>
        <v>2.1466615206600508E-12</v>
      </c>
      <c r="AM111" s="62">
        <f t="shared" si="59"/>
        <v>293.33333333333547</v>
      </c>
      <c r="AN111" s="62">
        <f ca="1">AVERAGE(OFFSET($AM$3,0,0,'Données projet'!$E$10+1,1))-AVERAGE(OFFSET($H$3,0,0,'Données projet'!$E$10+1,1))</f>
        <v>212.11273590951606</v>
      </c>
      <c r="AO111" s="62">
        <f t="shared" si="90"/>
        <v>240.9595690943346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2.2737367544323206E-13</v>
      </c>
      <c r="BE111" s="14">
        <f>BD111*VLOOKUP('Données projet'!$B$11,Paramètres!$A$1:$I$89,3,0)*VLOOKUP('Données projet'!$B$11,Paramètres!$A$1:$I$89,5,0)</f>
        <v>1.3596945791505279E-13</v>
      </c>
      <c r="BF111" s="14">
        <f t="shared" si="91"/>
        <v>1.9708830566360721E-12</v>
      </c>
      <c r="BG111" s="22">
        <f t="shared" si="61"/>
        <v>3.669434796176543E-12</v>
      </c>
      <c r="BH111" s="62">
        <f t="shared" si="62"/>
        <v>293.33333333333701</v>
      </c>
      <c r="BI111" s="62">
        <f ca="1">AVERAGE(OFFSET($BH$3,0,0,'Données projet'!$E$11+1,1))-AVERAGE(OFFSET($H$3,0,0,'Données projet'!$E$11+1,1))</f>
        <v>172.49153247238672</v>
      </c>
      <c r="BJ111" s="62">
        <f t="shared" si="92"/>
        <v>301.94982606323254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6.1606974356144306</v>
      </c>
      <c r="BQ111" s="23">
        <f>EXP(-LN(2)/25)*BQ110+(1-EXP(-LN(2)/25))/(LN(2)/25)*Calculateur!BL111*Calculateur!BN111*VLOOKUP('Données projet'!$B$11,Paramètres!$A$1:$I$89,3,0)*0.475*44/12</f>
        <v>1.5906613202411042</v>
      </c>
      <c r="BR111" s="23">
        <f>EXP(-LN(2)/2)*BR110+(1-EXP(-LN(2)/2))/(LN(2)/2)*BL111*BO111*VLOOKUP('Données projet'!$B$11,Paramètres!$A$1:$I$89,3,0)*0.475*44/12</f>
        <v>1.0593839052712238E-11</v>
      </c>
      <c r="BS111" s="24">
        <f t="shared" si="63"/>
        <v>7.7513587558661285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3.4106051316484809E-13</v>
      </c>
      <c r="BZ111" s="14">
        <f>BY111*VLOOKUP('Données projet'!$B$12,Paramètres!$A$1:$I$89,3,0)*VLOOKUP('Données projet'!$B$12,Paramètres!$A$1:$I$89,5,0)</f>
        <v>1.9508661353029313E-13</v>
      </c>
      <c r="CA111" s="14">
        <f t="shared" si="93"/>
        <v>2.711421636700695E-12</v>
      </c>
      <c r="CB111" s="22">
        <f t="shared" si="64"/>
        <v>5.0621685358189711E-12</v>
      </c>
      <c r="CC111" s="62">
        <f t="shared" si="65"/>
        <v>293.33333333333837</v>
      </c>
      <c r="CD111" s="62">
        <f ca="1">AVERAGE(OFFSET($CC$3,0,0,'Données projet'!$E$12+1,1))-AVERAGE(OFFSET($H$3,0,0,'Données projet'!$E$12+1,1))</f>
        <v>177.71338645688661</v>
      </c>
      <c r="CE111" s="62">
        <f t="shared" si="94"/>
        <v>153.65872713651345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0.20434085472895391</v>
      </c>
      <c r="CM111" s="23">
        <f>EXP(-LN(2)/2)*CM110+(1-EXP(-LN(2)/2))/(LN(2)/2)*CG111*CJ111*VLOOKUP('Données projet'!$B$12,Paramètres!$A$1:$I$89,3,0)*0.475*44/12</f>
        <v>1.2495049999855111E-12</v>
      </c>
      <c r="CN111" s="24">
        <f t="shared" si="66"/>
        <v>0.20434085473020341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-7.4487616075202823E-14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118.65321241325523</v>
      </c>
      <c r="CZ111" s="62">
        <f t="shared" si="96"/>
        <v>140.55041555757327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</v>
      </c>
      <c r="DO111" s="13">
        <f>IF('Données projet'!$A$166&gt;35,DO110+DN111-DW110,IF(A111&lt;'Données projet'!$A$166,$DL$205^A111,IF(A111='Données projet'!$A$166,'Données projet'!$B$166,DO110+DN111-DW110)))</f>
        <v>275.99999999999955</v>
      </c>
      <c r="DP111" s="18">
        <f>DO111*VLOOKUP('Données projet'!$B$14,Paramètres!$A$1:$I$89,3,0)*VLOOKUP('Données projet'!$B$14,Paramètres!$A$1:$I$89,5,0)</f>
        <v>279.86399999999958</v>
      </c>
      <c r="DQ111" s="14">
        <f t="shared" si="97"/>
        <v>66.93826735896495</v>
      </c>
      <c r="DR111" s="22">
        <f t="shared" si="70"/>
        <v>604.01394898352987</v>
      </c>
      <c r="DS111" s="62">
        <f t="shared" si="71"/>
        <v>897.34728231686313</v>
      </c>
      <c r="DT111" s="62">
        <f ca="1">AVERAGE(OFFSET($DS$3,0,0,'Données projet'!$E$14+1,1))-AVERAGE(OFFSET($H$3,0,0,'Données projet'!$E$14+1,1))</f>
        <v>328.70784159273131</v>
      </c>
      <c r="DU111" s="62">
        <f t="shared" si="98"/>
        <v>193.18009444354601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216.00000000000006</v>
      </c>
      <c r="O112" s="14">
        <f>N112*VLOOKUP('Données projet'!$B$9,Paramètres!$A$1:$I$89,3,0)*VLOOKUP('Données projet'!$B$9,Paramètres!$A$1:$I$89,5,0)</f>
        <v>195.43680000000006</v>
      </c>
      <c r="P112" s="14">
        <f t="shared" si="87"/>
        <v>48.739971354487849</v>
      </c>
      <c r="Q112" s="22">
        <f t="shared" si="107"/>
        <v>425.27454344239982</v>
      </c>
      <c r="R112" s="62">
        <f t="shared" si="55"/>
        <v>718.60787677573308</v>
      </c>
      <c r="S112" s="62">
        <f ca="1">AVERAGE(OFFSET($R$3,0,0,'Données projet'!$E$9+1,1))-AVERAGE(OFFSET($H$3,0,0,'Données projet'!$E$9+1,1))</f>
        <v>177.70053246230015</v>
      </c>
      <c r="T112" s="62">
        <f t="shared" si="88"/>
        <v>85.631326020763254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8.5265128291212022E-14</v>
      </c>
      <c r="AJ112" s="14">
        <f>AI112*VLOOKUP('Données projet'!$B$10,Paramètres!$A$1:$I$89,3,0)*VLOOKUP('Données projet'!$B$10,Paramètres!$A$1:$I$89,5,0)</f>
        <v>7.4487616075202836E-14</v>
      </c>
      <c r="AK112" s="14">
        <f t="shared" si="89"/>
        <v>1.1580453144473142E-12</v>
      </c>
      <c r="AL112" s="22">
        <f t="shared" si="58"/>
        <v>2.1466615206600508E-12</v>
      </c>
      <c r="AM112" s="62">
        <f t="shared" si="59"/>
        <v>293.33333333333547</v>
      </c>
      <c r="AN112" s="62">
        <f ca="1">AVERAGE(OFFSET($AM$3,0,0,'Données projet'!$E$10+1,1))-AVERAGE(OFFSET($H$3,0,0,'Données projet'!$E$10+1,1))</f>
        <v>212.11273590951606</v>
      </c>
      <c r="AO112" s="62">
        <f t="shared" si="90"/>
        <v>240.9595690943346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2.2737367544323206E-13</v>
      </c>
      <c r="BE112" s="14">
        <f>BD112*VLOOKUP('Données projet'!$B$11,Paramètres!$A$1:$I$89,3,0)*VLOOKUP('Données projet'!$B$11,Paramètres!$A$1:$I$89,5,0)</f>
        <v>1.3596945791505279E-13</v>
      </c>
      <c r="BF112" s="14">
        <f t="shared" si="91"/>
        <v>1.9708830566360721E-12</v>
      </c>
      <c r="BG112" s="22">
        <f t="shared" si="61"/>
        <v>3.669434796176543E-12</v>
      </c>
      <c r="BH112" s="62">
        <f t="shared" si="62"/>
        <v>293.33333333333701</v>
      </c>
      <c r="BI112" s="62">
        <f ca="1">AVERAGE(OFFSET($BH$3,0,0,'Données projet'!$E$11+1,1))-AVERAGE(OFFSET($H$3,0,0,'Données projet'!$E$11+1,1))</f>
        <v>172.49153247238672</v>
      </c>
      <c r="BJ112" s="62">
        <f t="shared" si="92"/>
        <v>301.94982606323254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6.0398899165564295</v>
      </c>
      <c r="BQ112" s="23">
        <f>EXP(-LN(2)/25)*BQ111+(1-EXP(-LN(2)/25))/(LN(2)/25)*Calculateur!BL112*Calculateur!BN112*VLOOKUP('Données projet'!$B$11,Paramètres!$A$1:$I$89,3,0)*0.475*44/12</f>
        <v>1.5471646027898678</v>
      </c>
      <c r="BR112" s="23">
        <f>EXP(-LN(2)/2)*BR111+(1-EXP(-LN(2)/2))/(LN(2)/2)*BL112*BO112*VLOOKUP('Données projet'!$B$11,Paramètres!$A$1:$I$89,3,0)*0.475*44/12</f>
        <v>7.4909754329716945E-12</v>
      </c>
      <c r="BS112" s="24">
        <f t="shared" si="63"/>
        <v>7.5870545193537886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3.4106051316484809E-13</v>
      </c>
      <c r="BZ112" s="14">
        <f>BY112*VLOOKUP('Données projet'!$B$12,Paramètres!$A$1:$I$89,3,0)*VLOOKUP('Données projet'!$B$12,Paramètres!$A$1:$I$89,5,0)</f>
        <v>1.9508661353029313E-13</v>
      </c>
      <c r="CA112" s="14">
        <f t="shared" si="93"/>
        <v>2.711421636700695E-12</v>
      </c>
      <c r="CB112" s="22">
        <f t="shared" si="64"/>
        <v>5.0621685358189711E-12</v>
      </c>
      <c r="CC112" s="62">
        <f t="shared" si="65"/>
        <v>293.33333333333837</v>
      </c>
      <c r="CD112" s="62">
        <f ca="1">AVERAGE(OFFSET($CC$3,0,0,'Données projet'!$E$12+1,1))-AVERAGE(OFFSET($H$3,0,0,'Données projet'!$E$12+1,1))</f>
        <v>177.71338645688661</v>
      </c>
      <c r="CE112" s="62">
        <f t="shared" si="94"/>
        <v>153.65872713651345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0.19875314331057214</v>
      </c>
      <c r="CM112" s="23">
        <f>EXP(-LN(2)/2)*CM111+(1-EXP(-LN(2)/2))/(LN(2)/2)*CG112*CJ112*VLOOKUP('Données projet'!$B$12,Paramètres!$A$1:$I$89,3,0)*0.475*44/12</f>
        <v>8.8353345861625197E-13</v>
      </c>
      <c r="CN112" s="24">
        <f t="shared" si="66"/>
        <v>0.19875314331145569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-7.4487616075202823E-14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118.65321241325523</v>
      </c>
      <c r="CZ112" s="62">
        <f t="shared" si="96"/>
        <v>140.55041555757327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</v>
      </c>
      <c r="DO112" s="13">
        <f>IF('Données projet'!$A$166&gt;35,DO111+DN112-DW111,IF(A112&lt;'Données projet'!$A$166,$DL$205^A112,IF(A112='Données projet'!$A$166,'Données projet'!$B$166,DO111+DN112-DW111)))</f>
        <v>279.99999999999955</v>
      </c>
      <c r="DP112" s="18">
        <f>DO112*VLOOKUP('Données projet'!$B$14,Paramètres!$A$1:$I$89,3,0)*VLOOKUP('Données projet'!$B$14,Paramètres!$A$1:$I$89,5,0)</f>
        <v>283.91999999999956</v>
      </c>
      <c r="DQ112" s="14">
        <f t="shared" si="97"/>
        <v>67.794746071143507</v>
      </c>
      <c r="DR112" s="22">
        <f t="shared" si="70"/>
        <v>612.56984940724078</v>
      </c>
      <c r="DS112" s="62">
        <f t="shared" si="71"/>
        <v>905.90318274057404</v>
      </c>
      <c r="DT112" s="62">
        <f ca="1">AVERAGE(OFFSET($DS$3,0,0,'Données projet'!$E$14+1,1))-AVERAGE(OFFSET($H$3,0,0,'Données projet'!$E$14+1,1))</f>
        <v>328.70784159273131</v>
      </c>
      <c r="DU112" s="62">
        <f t="shared" si="98"/>
        <v>193.18009444354601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219.00000000000006</v>
      </c>
      <c r="O113" s="14">
        <f>N113*VLOOKUP('Données projet'!$B$9,Paramètres!$A$1:$I$89,3,0)*VLOOKUP('Données projet'!$B$9,Paramètres!$A$1:$I$89,5,0)</f>
        <v>198.15120000000005</v>
      </c>
      <c r="P113" s="14">
        <f t="shared" si="87"/>
        <v>49.337638092068957</v>
      </c>
      <c r="Q113" s="22">
        <f t="shared" si="107"/>
        <v>431.04305967702015</v>
      </c>
      <c r="R113" s="62">
        <f t="shared" si="55"/>
        <v>724.37639301035347</v>
      </c>
      <c r="S113" s="62">
        <f ca="1">AVERAGE(OFFSET($R$3,0,0,'Données projet'!$E$9+1,1))-AVERAGE(OFFSET($H$3,0,0,'Données projet'!$E$9+1,1))</f>
        <v>177.70053246230015</v>
      </c>
      <c r="T113" s="62">
        <f t="shared" si="88"/>
        <v>85.631326020763254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8.5265128291212022E-14</v>
      </c>
      <c r="AJ113" s="14">
        <f>AI113*VLOOKUP('Données projet'!$B$10,Paramètres!$A$1:$I$89,3,0)*VLOOKUP('Données projet'!$B$10,Paramètres!$A$1:$I$89,5,0)</f>
        <v>7.4487616075202836E-14</v>
      </c>
      <c r="AK113" s="14">
        <f t="shared" si="89"/>
        <v>1.1580453144473142E-12</v>
      </c>
      <c r="AL113" s="22">
        <f t="shared" si="58"/>
        <v>2.1466615206600508E-12</v>
      </c>
      <c r="AM113" s="62">
        <f t="shared" si="59"/>
        <v>293.33333333333547</v>
      </c>
      <c r="AN113" s="62">
        <f ca="1">AVERAGE(OFFSET($AM$3,0,0,'Données projet'!$E$10+1,1))-AVERAGE(OFFSET($H$3,0,0,'Données projet'!$E$10+1,1))</f>
        <v>212.11273590951606</v>
      </c>
      <c r="AO113" s="62">
        <f t="shared" si="90"/>
        <v>240.9595690943346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2.2737367544323206E-13</v>
      </c>
      <c r="BE113" s="14">
        <f>BD113*VLOOKUP('Données projet'!$B$11,Paramètres!$A$1:$I$89,3,0)*VLOOKUP('Données projet'!$B$11,Paramètres!$A$1:$I$89,5,0)</f>
        <v>1.3596945791505279E-13</v>
      </c>
      <c r="BF113" s="14">
        <f t="shared" si="91"/>
        <v>1.9708830566360721E-12</v>
      </c>
      <c r="BG113" s="22">
        <f t="shared" si="61"/>
        <v>3.669434796176543E-12</v>
      </c>
      <c r="BH113" s="62">
        <f t="shared" si="62"/>
        <v>293.33333333333701</v>
      </c>
      <c r="BI113" s="62">
        <f ca="1">AVERAGE(OFFSET($BH$3,0,0,'Données projet'!$E$11+1,1))-AVERAGE(OFFSET($H$3,0,0,'Données projet'!$E$11+1,1))</f>
        <v>172.49153247238672</v>
      </c>
      <c r="BJ113" s="62">
        <f t="shared" si="92"/>
        <v>301.94982606323254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5.9214513592618454</v>
      </c>
      <c r="BQ113" s="23">
        <f>EXP(-LN(2)/25)*BQ112+(1-EXP(-LN(2)/25))/(LN(2)/25)*Calculateur!BL113*Calculateur!BN113*VLOOKUP('Données projet'!$B$11,Paramètres!$A$1:$I$89,3,0)*0.475*44/12</f>
        <v>1.5048573053647285</v>
      </c>
      <c r="BR113" s="23">
        <f>EXP(-LN(2)/2)*BR112+(1-EXP(-LN(2)/2))/(LN(2)/2)*BL113*BO113*VLOOKUP('Données projet'!$B$11,Paramètres!$A$1:$I$89,3,0)*0.475*44/12</f>
        <v>5.2969195263561191E-12</v>
      </c>
      <c r="BS113" s="24">
        <f t="shared" si="63"/>
        <v>7.426308664631871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3.4106051316484809E-13</v>
      </c>
      <c r="BZ113" s="14">
        <f>BY113*VLOOKUP('Données projet'!$B$12,Paramètres!$A$1:$I$89,3,0)*VLOOKUP('Données projet'!$B$12,Paramètres!$A$1:$I$89,5,0)</f>
        <v>1.9508661353029313E-13</v>
      </c>
      <c r="CA113" s="14">
        <f t="shared" si="93"/>
        <v>2.711421636700695E-12</v>
      </c>
      <c r="CB113" s="22">
        <f t="shared" si="64"/>
        <v>5.0621685358189711E-12</v>
      </c>
      <c r="CC113" s="62">
        <f t="shared" si="65"/>
        <v>293.33333333333837</v>
      </c>
      <c r="CD113" s="62">
        <f ca="1">AVERAGE(OFFSET($CC$3,0,0,'Données projet'!$E$12+1,1))-AVERAGE(OFFSET($H$3,0,0,'Données projet'!$E$12+1,1))</f>
        <v>177.71338645688661</v>
      </c>
      <c r="CE113" s="62">
        <f t="shared" si="94"/>
        <v>153.65872713651345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0.19331822815477101</v>
      </c>
      <c r="CM113" s="23">
        <f>EXP(-LN(2)/2)*CM112+(1-EXP(-LN(2)/2))/(LN(2)/2)*CG113*CJ113*VLOOKUP('Données projet'!$B$12,Paramètres!$A$1:$I$89,3,0)*0.475*44/12</f>
        <v>6.2475249999275567E-13</v>
      </c>
      <c r="CN113" s="24">
        <f t="shared" si="66"/>
        <v>0.19331822815539576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-7.4487616075202823E-14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118.65321241325523</v>
      </c>
      <c r="CZ113" s="62">
        <f t="shared" si="96"/>
        <v>140.55041555757327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</v>
      </c>
      <c r="DO113" s="13">
        <f>IF('Données projet'!$A$166&gt;35,DO112+DN113-DW112,IF(A113&lt;'Données projet'!$A$166,$DL$205^A113,IF(A113='Données projet'!$A$166,'Données projet'!$B$166,DO112+DN113-DW112)))</f>
        <v>283.99999999999955</v>
      </c>
      <c r="DP113" s="18">
        <f>DO113*VLOOKUP('Données projet'!$B$14,Paramètres!$A$1:$I$89,3,0)*VLOOKUP('Données projet'!$B$14,Paramètres!$A$1:$I$89,5,0)</f>
        <v>287.97599999999954</v>
      </c>
      <c r="DQ113" s="14">
        <f t="shared" si="97"/>
        <v>68.649801713863027</v>
      </c>
      <c r="DR113" s="22">
        <f t="shared" si="70"/>
        <v>621.12327131831069</v>
      </c>
      <c r="DS113" s="62">
        <f t="shared" si="71"/>
        <v>914.45660465164406</v>
      </c>
      <c r="DT113" s="62">
        <f ca="1">AVERAGE(OFFSET($DS$3,0,0,'Données projet'!$E$14+1,1))-AVERAGE(OFFSET($H$3,0,0,'Données projet'!$E$14+1,1))</f>
        <v>328.70784159273131</v>
      </c>
      <c r="DU113" s="62">
        <f t="shared" si="98"/>
        <v>193.18009444354601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</v>
      </c>
      <c r="N114" s="14">
        <f>IF('Données projet'!$A$36&gt;35,N113+M114-V113,IF(A114&lt;'Données projet'!$A$36,$K$205^A114,IF(A114='Données projet'!$A$36,'Données projet'!$B$36,N113+M114-V113)))</f>
        <v>222.00000000000006</v>
      </c>
      <c r="O114" s="14">
        <f>N114*VLOOKUP('Données projet'!$B$9,Paramètres!$A$1:$I$89,3,0)*VLOOKUP('Données projet'!$B$9,Paramètres!$A$1:$I$89,5,0)</f>
        <v>200.86560000000003</v>
      </c>
      <c r="P114" s="14">
        <f t="shared" si="87"/>
        <v>49.934352565642953</v>
      </c>
      <c r="Q114" s="22">
        <f t="shared" si="107"/>
        <v>436.8099173851615</v>
      </c>
      <c r="R114" s="62">
        <f t="shared" si="55"/>
        <v>730.14325071849476</v>
      </c>
      <c r="S114" s="62">
        <f ca="1">AVERAGE(OFFSET($R$3,0,0,'Données projet'!$E$9+1,1))-AVERAGE(OFFSET($H$3,0,0,'Données projet'!$E$9+1,1))</f>
        <v>177.70053246230015</v>
      </c>
      <c r="T114" s="62">
        <f t="shared" si="88"/>
        <v>85.631326020763254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8.5265128291212022E-14</v>
      </c>
      <c r="AJ114" s="14">
        <f>AI114*VLOOKUP('Données projet'!$B$10,Paramètres!$A$1:$I$89,3,0)*VLOOKUP('Données projet'!$B$10,Paramètres!$A$1:$I$89,5,0)</f>
        <v>7.4487616075202836E-14</v>
      </c>
      <c r="AK114" s="14">
        <f t="shared" si="89"/>
        <v>1.1580453144473142E-12</v>
      </c>
      <c r="AL114" s="22">
        <f t="shared" si="58"/>
        <v>2.1466615206600508E-12</v>
      </c>
      <c r="AM114" s="62">
        <f t="shared" si="59"/>
        <v>293.33333333333547</v>
      </c>
      <c r="AN114" s="62">
        <f ca="1">AVERAGE(OFFSET($AM$3,0,0,'Données projet'!$E$10+1,1))-AVERAGE(OFFSET($H$3,0,0,'Données projet'!$E$10+1,1))</f>
        <v>212.11273590951606</v>
      </c>
      <c r="AO114" s="62">
        <f t="shared" si="90"/>
        <v>240.9595690943346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2.2737367544323206E-13</v>
      </c>
      <c r="BE114" s="14">
        <f>BD114*VLOOKUP('Données projet'!$B$11,Paramètres!$A$1:$I$89,3,0)*VLOOKUP('Données projet'!$B$11,Paramètres!$A$1:$I$89,5,0)</f>
        <v>1.3596945791505279E-13</v>
      </c>
      <c r="BF114" s="14">
        <f t="shared" si="91"/>
        <v>1.9708830566360721E-12</v>
      </c>
      <c r="BG114" s="22">
        <f t="shared" si="61"/>
        <v>3.669434796176543E-12</v>
      </c>
      <c r="BH114" s="62">
        <f t="shared" si="62"/>
        <v>293.33333333333701</v>
      </c>
      <c r="BI114" s="62">
        <f ca="1">AVERAGE(OFFSET($BH$3,0,0,'Données projet'!$E$11+1,1))-AVERAGE(OFFSET($H$3,0,0,'Données projet'!$E$11+1,1))</f>
        <v>172.49153247238672</v>
      </c>
      <c r="BJ114" s="62">
        <f t="shared" si="92"/>
        <v>301.94982606323254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5.8053353098354208</v>
      </c>
      <c r="BQ114" s="23">
        <f>EXP(-LN(2)/25)*BQ113+(1-EXP(-LN(2)/25))/(LN(2)/25)*Calculateur!BL114*Calculateur!BN114*VLOOKUP('Données projet'!$B$11,Paramètres!$A$1:$I$89,3,0)*0.475*44/12</f>
        <v>1.4637069032125236</v>
      </c>
      <c r="BR114" s="23">
        <f>EXP(-LN(2)/2)*BR113+(1-EXP(-LN(2)/2))/(LN(2)/2)*BL114*BO114*VLOOKUP('Données projet'!$B$11,Paramètres!$A$1:$I$89,3,0)*0.475*44/12</f>
        <v>3.7454877164858472E-12</v>
      </c>
      <c r="BS114" s="24">
        <f t="shared" si="63"/>
        <v>7.2690422130516898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3.4106051316484809E-13</v>
      </c>
      <c r="BZ114" s="14">
        <f>BY114*VLOOKUP('Données projet'!$B$12,Paramètres!$A$1:$I$89,3,0)*VLOOKUP('Données projet'!$B$12,Paramètres!$A$1:$I$89,5,0)</f>
        <v>1.9508661353029313E-13</v>
      </c>
      <c r="CA114" s="14">
        <f t="shared" si="93"/>
        <v>2.711421636700695E-12</v>
      </c>
      <c r="CB114" s="22">
        <f t="shared" si="64"/>
        <v>5.0621685358189711E-12</v>
      </c>
      <c r="CC114" s="62">
        <f t="shared" si="65"/>
        <v>293.33333333333837</v>
      </c>
      <c r="CD114" s="62">
        <f ca="1">AVERAGE(OFFSET($CC$3,0,0,'Données projet'!$E$12+1,1))-AVERAGE(OFFSET($H$3,0,0,'Données projet'!$E$12+1,1))</f>
        <v>177.71338645688661</v>
      </c>
      <c r="CE114" s="62">
        <f t="shared" si="94"/>
        <v>153.65872713651345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0.18803193103971502</v>
      </c>
      <c r="CM114" s="23">
        <f>EXP(-LN(2)/2)*CM113+(1-EXP(-LN(2)/2))/(LN(2)/2)*CG114*CJ114*VLOOKUP('Données projet'!$B$12,Paramètres!$A$1:$I$89,3,0)*0.475*44/12</f>
        <v>4.4176672930812604E-13</v>
      </c>
      <c r="CN114" s="24">
        <f t="shared" si="66"/>
        <v>0.18803193104015678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-7.4487616075202823E-14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118.65321241325523</v>
      </c>
      <c r="CZ114" s="62">
        <f t="shared" si="96"/>
        <v>140.55041555757327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</v>
      </c>
      <c r="DO114" s="13">
        <f>IF('Données projet'!$A$166&gt;35,DO113+DN114-DW113,IF(A114&lt;'Données projet'!$A$166,$DL$205^A114,IF(A114='Données projet'!$A$166,'Données projet'!$B$166,DO113+DN114-DW113)))</f>
        <v>287.99999999999955</v>
      </c>
      <c r="DP114" s="18">
        <f>DO114*VLOOKUP('Données projet'!$B$14,Paramètres!$A$1:$I$89,3,0)*VLOOKUP('Données projet'!$B$14,Paramètres!$A$1:$I$89,5,0)</f>
        <v>292.03199999999953</v>
      </c>
      <c r="DQ114" s="14">
        <f t="shared" si="97"/>
        <v>69.503456646543185</v>
      </c>
      <c r="DR114" s="22">
        <f t="shared" si="70"/>
        <v>629.67425365939516</v>
      </c>
      <c r="DS114" s="62">
        <f t="shared" si="71"/>
        <v>923.00758699272842</v>
      </c>
      <c r="DT114" s="62">
        <f ca="1">AVERAGE(OFFSET($DS$3,0,0,'Données projet'!$E$14+1,1))-AVERAGE(OFFSET($H$3,0,0,'Données projet'!$E$14+1,1))</f>
        <v>328.70784159273131</v>
      </c>
      <c r="DU114" s="62">
        <f t="shared" si="98"/>
        <v>193.18009444354601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</v>
      </c>
      <c r="N115" s="14">
        <f>IF('Données projet'!$A$36&gt;35,N114+M115-V114,IF(A115&lt;'Données projet'!$A$36,$K$205^A115,IF(A115='Données projet'!$A$36,'Données projet'!$B$36,N114+M115-V114)))</f>
        <v>225.00000000000006</v>
      </c>
      <c r="O115" s="14">
        <f>N115*VLOOKUP('Données projet'!$B$9,Paramètres!$A$1:$I$89,3,0)*VLOOKUP('Données projet'!$B$9,Paramètres!$A$1:$I$89,5,0)</f>
        <v>203.58000000000004</v>
      </c>
      <c r="P115" s="14">
        <f t="shared" si="87"/>
        <v>50.530129131114101</v>
      </c>
      <c r="Q115" s="22">
        <f t="shared" si="107"/>
        <v>442.57514157002379</v>
      </c>
      <c r="R115" s="62">
        <f t="shared" si="55"/>
        <v>735.90847490335705</v>
      </c>
      <c r="S115" s="62">
        <f ca="1">AVERAGE(OFFSET($R$3,0,0,'Données projet'!$E$9+1,1))-AVERAGE(OFFSET($H$3,0,0,'Données projet'!$E$9+1,1))</f>
        <v>177.70053246230015</v>
      </c>
      <c r="T115" s="62">
        <f t="shared" si="88"/>
        <v>85.631326020763254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8.5265128291212022E-14</v>
      </c>
      <c r="AJ115" s="14">
        <f>AI115*VLOOKUP('Données projet'!$B$10,Paramètres!$A$1:$I$89,3,0)*VLOOKUP('Données projet'!$B$10,Paramètres!$A$1:$I$89,5,0)</f>
        <v>7.4487616075202836E-14</v>
      </c>
      <c r="AK115" s="14">
        <f t="shared" si="89"/>
        <v>1.1580453144473142E-12</v>
      </c>
      <c r="AL115" s="22">
        <f t="shared" si="58"/>
        <v>2.1466615206600508E-12</v>
      </c>
      <c r="AM115" s="62">
        <f t="shared" si="59"/>
        <v>293.33333333333547</v>
      </c>
      <c r="AN115" s="62">
        <f ca="1">AVERAGE(OFFSET($AM$3,0,0,'Données projet'!$E$10+1,1))-AVERAGE(OFFSET($H$3,0,0,'Données projet'!$E$10+1,1))</f>
        <v>212.11273590951606</v>
      </c>
      <c r="AO115" s="62">
        <f t="shared" si="90"/>
        <v>240.9595690943346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2.2737367544323206E-13</v>
      </c>
      <c r="BE115" s="14">
        <f>BD115*VLOOKUP('Données projet'!$B$11,Paramètres!$A$1:$I$89,3,0)*VLOOKUP('Données projet'!$B$11,Paramètres!$A$1:$I$89,5,0)</f>
        <v>1.3596945791505279E-13</v>
      </c>
      <c r="BF115" s="14">
        <f t="shared" si="91"/>
        <v>1.9708830566360721E-12</v>
      </c>
      <c r="BG115" s="22">
        <f t="shared" si="61"/>
        <v>3.669434796176543E-12</v>
      </c>
      <c r="BH115" s="62">
        <f t="shared" si="62"/>
        <v>293.33333333333701</v>
      </c>
      <c r="BI115" s="62">
        <f ca="1">AVERAGE(OFFSET($BH$3,0,0,'Données projet'!$E$11+1,1))-AVERAGE(OFFSET($H$3,0,0,'Données projet'!$E$11+1,1))</f>
        <v>172.49153247238672</v>
      </c>
      <c r="BJ115" s="62">
        <f t="shared" si="92"/>
        <v>301.94982606323254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5.6914962253144514</v>
      </c>
      <c r="BQ115" s="23">
        <f>EXP(-LN(2)/25)*BQ114+(1-EXP(-LN(2)/25))/(LN(2)/25)*Calculateur!BL115*Calculateur!BN115*VLOOKUP('Données projet'!$B$11,Paramètres!$A$1:$I$89,3,0)*0.475*44/12</f>
        <v>1.4236817609711765</v>
      </c>
      <c r="BR115" s="23">
        <f>EXP(-LN(2)/2)*BR114+(1-EXP(-LN(2)/2))/(LN(2)/2)*BL115*BO115*VLOOKUP('Données projet'!$B$11,Paramètres!$A$1:$I$89,3,0)*0.475*44/12</f>
        <v>2.6484597631780596E-12</v>
      </c>
      <c r="BS115" s="24">
        <f t="shared" si="63"/>
        <v>7.1151779862882769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3.4106051316484809E-13</v>
      </c>
      <c r="BZ115" s="14">
        <f>BY115*VLOOKUP('Données projet'!$B$12,Paramètres!$A$1:$I$89,3,0)*VLOOKUP('Données projet'!$B$12,Paramètres!$A$1:$I$89,5,0)</f>
        <v>1.9508661353029313E-13</v>
      </c>
      <c r="CA115" s="14">
        <f t="shared" si="93"/>
        <v>2.711421636700695E-12</v>
      </c>
      <c r="CB115" s="22">
        <f t="shared" si="64"/>
        <v>5.0621685358189711E-12</v>
      </c>
      <c r="CC115" s="62">
        <f t="shared" si="65"/>
        <v>293.33333333333837</v>
      </c>
      <c r="CD115" s="62">
        <f ca="1">AVERAGE(OFFSET($CC$3,0,0,'Données projet'!$E$12+1,1))-AVERAGE(OFFSET($H$3,0,0,'Données projet'!$E$12+1,1))</f>
        <v>177.71338645688661</v>
      </c>
      <c r="CE115" s="62">
        <f t="shared" si="94"/>
        <v>153.65872713651345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0.1828901879972645</v>
      </c>
      <c r="CM115" s="23">
        <f>EXP(-LN(2)/2)*CM114+(1-EXP(-LN(2)/2))/(LN(2)/2)*CG115*CJ115*VLOOKUP('Données projet'!$B$12,Paramètres!$A$1:$I$89,3,0)*0.475*44/12</f>
        <v>3.1237624999637789E-13</v>
      </c>
      <c r="CN115" s="24">
        <f t="shared" si="66"/>
        <v>0.18289018799757689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-7.4487616075202823E-14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118.65321241325523</v>
      </c>
      <c r="CZ115" s="62">
        <f t="shared" si="96"/>
        <v>140.55041555757327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</v>
      </c>
      <c r="DO115" s="13">
        <f>IF('Données projet'!$A$166&gt;35,DO114+DN115-DW114,IF(A115&lt;'Données projet'!$A$166,$DL$205^A115,IF(A115='Données projet'!$A$166,'Données projet'!$B$166,DO114+DN115-DW114)))</f>
        <v>291.99999999999955</v>
      </c>
      <c r="DP115" s="18">
        <f>DO115*VLOOKUP('Données projet'!$B$14,Paramètres!$A$1:$I$89,3,0)*VLOOKUP('Données projet'!$B$14,Paramètres!$A$1:$I$89,5,0)</f>
        <v>296.08799999999957</v>
      </c>
      <c r="DQ115" s="14">
        <f t="shared" si="97"/>
        <v>70.35573257182898</v>
      </c>
      <c r="DR115" s="22">
        <f t="shared" si="70"/>
        <v>638.22283422926796</v>
      </c>
      <c r="DS115" s="62">
        <f t="shared" si="71"/>
        <v>931.55616756260133</v>
      </c>
      <c r="DT115" s="62">
        <f ca="1">AVERAGE(OFFSET($DS$3,0,0,'Données projet'!$E$14+1,1))-AVERAGE(OFFSET($H$3,0,0,'Données projet'!$E$14+1,1))</f>
        <v>328.70784159273131</v>
      </c>
      <c r="DU115" s="62">
        <f t="shared" si="98"/>
        <v>193.18009444354601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</v>
      </c>
      <c r="N116" s="14">
        <f>IF('Données projet'!$A$36&gt;35,N115+M116-V115,IF(A116&lt;'Données projet'!$A$36,$K$205^A116,IF(A116='Données projet'!$A$36,'Données projet'!$B$36,N115+M116-V115)))</f>
        <v>228.00000000000006</v>
      </c>
      <c r="O116" s="14">
        <f>N116*VLOOKUP('Données projet'!$B$9,Paramètres!$A$1:$I$89,3,0)*VLOOKUP('Données projet'!$B$9,Paramètres!$A$1:$I$89,5,0)</f>
        <v>206.29440000000005</v>
      </c>
      <c r="P116" s="14">
        <f t="shared" si="87"/>
        <v>51.124981739560724</v>
      </c>
      <c r="Q116" s="22">
        <f t="shared" si="107"/>
        <v>448.33875652973501</v>
      </c>
      <c r="R116" s="62">
        <f t="shared" si="55"/>
        <v>741.67208986306832</v>
      </c>
      <c r="S116" s="62">
        <f ca="1">AVERAGE(OFFSET($R$3,0,0,'Données projet'!$E$9+1,1))-AVERAGE(OFFSET($H$3,0,0,'Données projet'!$E$9+1,1))</f>
        <v>177.70053246230015</v>
      </c>
      <c r="T116" s="62">
        <f t="shared" si="88"/>
        <v>85.631326020763254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8.5265128291212022E-14</v>
      </c>
      <c r="AJ116" s="14">
        <f>AI116*VLOOKUP('Données projet'!$B$10,Paramètres!$A$1:$I$89,3,0)*VLOOKUP('Données projet'!$B$10,Paramètres!$A$1:$I$89,5,0)</f>
        <v>7.4487616075202836E-14</v>
      </c>
      <c r="AK116" s="14">
        <f t="shared" si="89"/>
        <v>1.1580453144473142E-12</v>
      </c>
      <c r="AL116" s="22">
        <f t="shared" si="58"/>
        <v>2.1466615206600508E-12</v>
      </c>
      <c r="AM116" s="62">
        <f t="shared" si="59"/>
        <v>293.33333333333547</v>
      </c>
      <c r="AN116" s="62">
        <f ca="1">AVERAGE(OFFSET($AM$3,0,0,'Données projet'!$E$10+1,1))-AVERAGE(OFFSET($H$3,0,0,'Données projet'!$E$10+1,1))</f>
        <v>212.11273590951606</v>
      </c>
      <c r="AO116" s="62">
        <f t="shared" si="90"/>
        <v>240.9595690943346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2.2737367544323206E-13</v>
      </c>
      <c r="BE116" s="14">
        <f>BD116*VLOOKUP('Données projet'!$B$11,Paramètres!$A$1:$I$89,3,0)*VLOOKUP('Données projet'!$B$11,Paramètres!$A$1:$I$89,5,0)</f>
        <v>1.3596945791505279E-13</v>
      </c>
      <c r="BF116" s="14">
        <f t="shared" si="91"/>
        <v>1.9708830566360721E-12</v>
      </c>
      <c r="BG116" s="22">
        <f t="shared" si="61"/>
        <v>3.669434796176543E-12</v>
      </c>
      <c r="BH116" s="62">
        <f t="shared" si="62"/>
        <v>293.33333333333701</v>
      </c>
      <c r="BI116" s="62">
        <f ca="1">AVERAGE(OFFSET($BH$3,0,0,'Données projet'!$E$11+1,1))-AVERAGE(OFFSET($H$3,0,0,'Données projet'!$E$11+1,1))</f>
        <v>172.49153247238672</v>
      </c>
      <c r="BJ116" s="62">
        <f t="shared" si="92"/>
        <v>301.94982606323254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5.5798894558059535</v>
      </c>
      <c r="BQ116" s="23">
        <f>EXP(-LN(2)/25)*BQ115+(1-EXP(-LN(2)/25))/(LN(2)/25)*Calculateur!BL116*Calculateur!BN116*VLOOKUP('Données projet'!$B$11,Paramètres!$A$1:$I$89,3,0)*0.475*44/12</f>
        <v>1.3847511083492496</v>
      </c>
      <c r="BR116" s="23">
        <f>EXP(-LN(2)/2)*BR115+(1-EXP(-LN(2)/2))/(LN(2)/2)*BL116*BO116*VLOOKUP('Données projet'!$B$11,Paramètres!$A$1:$I$89,3,0)*0.475*44/12</f>
        <v>1.8727438582429236E-12</v>
      </c>
      <c r="BS116" s="24">
        <f t="shared" si="63"/>
        <v>6.9646405641570768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3.4106051316484809E-13</v>
      </c>
      <c r="BZ116" s="14">
        <f>BY116*VLOOKUP('Données projet'!$B$12,Paramètres!$A$1:$I$89,3,0)*VLOOKUP('Données projet'!$B$12,Paramètres!$A$1:$I$89,5,0)</f>
        <v>1.9508661353029313E-13</v>
      </c>
      <c r="CA116" s="14">
        <f t="shared" si="93"/>
        <v>2.711421636700695E-12</v>
      </c>
      <c r="CB116" s="22">
        <f t="shared" si="64"/>
        <v>5.0621685358189711E-12</v>
      </c>
      <c r="CC116" s="62">
        <f t="shared" si="65"/>
        <v>293.33333333333837</v>
      </c>
      <c r="CD116" s="62">
        <f ca="1">AVERAGE(OFFSET($CC$3,0,0,'Données projet'!$E$12+1,1))-AVERAGE(OFFSET($H$3,0,0,'Données projet'!$E$12+1,1))</f>
        <v>177.71338645688661</v>
      </c>
      <c r="CE116" s="62">
        <f t="shared" si="94"/>
        <v>153.65872713651345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0.17788904618870233</v>
      </c>
      <c r="CM116" s="23">
        <f>EXP(-LN(2)/2)*CM115+(1-EXP(-LN(2)/2))/(LN(2)/2)*CG116*CJ116*VLOOKUP('Données projet'!$B$12,Paramètres!$A$1:$I$89,3,0)*0.475*44/12</f>
        <v>2.2088336465406307E-13</v>
      </c>
      <c r="CN116" s="24">
        <f t="shared" si="66"/>
        <v>0.17788904618892321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-7.4487616075202823E-14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118.65321241325523</v>
      </c>
      <c r="CZ116" s="62">
        <f t="shared" si="96"/>
        <v>140.55041555757327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</v>
      </c>
      <c r="DO116" s="13">
        <f>IF('Données projet'!$A$166&gt;35,DO115+DN116-DW115,IF(A116&lt;'Données projet'!$A$166,$DL$205^A116,IF(A116='Données projet'!$A$166,'Données projet'!$B$166,DO115+DN116-DW115)))</f>
        <v>295.99999999999955</v>
      </c>
      <c r="DP116" s="18">
        <f>DO116*VLOOKUP('Données projet'!$B$14,Paramètres!$A$1:$I$89,3,0)*VLOOKUP('Données projet'!$B$14,Paramètres!$A$1:$I$89,5,0)</f>
        <v>300.14399999999955</v>
      </c>
      <c r="DQ116" s="14">
        <f t="shared" si="97"/>
        <v>71.206650563609799</v>
      </c>
      <c r="DR116" s="22">
        <f t="shared" si="70"/>
        <v>646.76904973161959</v>
      </c>
      <c r="DS116" s="62">
        <f t="shared" si="71"/>
        <v>940.10238306495285</v>
      </c>
      <c r="DT116" s="62">
        <f ca="1">AVERAGE(OFFSET($DS$3,0,0,'Données projet'!$E$14+1,1))-AVERAGE(OFFSET($H$3,0,0,'Données projet'!$E$14+1,1))</f>
        <v>328.70784159273131</v>
      </c>
      <c r="DU116" s="62">
        <f t="shared" si="98"/>
        <v>193.18009444354601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</v>
      </c>
      <c r="N117" s="14">
        <f>IF('Données projet'!$A$36&gt;35,N116+M117-V116,IF(A117&lt;'Données projet'!$A$36,$K$205^A117,IF(A117='Données projet'!$A$36,'Données projet'!$B$36,N116+M117-V116)))</f>
        <v>231.00000000000006</v>
      </c>
      <c r="O117" s="14">
        <f>N117*VLOOKUP('Données projet'!$B$9,Paramètres!$A$1:$I$89,3,0)*VLOOKUP('Données projet'!$B$9,Paramètres!$A$1:$I$89,5,0)</f>
        <v>209.00880000000004</v>
      </c>
      <c r="P117" s="14">
        <f t="shared" si="87"/>
        <v>51.718923953824252</v>
      </c>
      <c r="Q117" s="22">
        <f t="shared" si="107"/>
        <v>454.10078588624395</v>
      </c>
      <c r="R117" s="62">
        <f t="shared" si="55"/>
        <v>747.43411921957727</v>
      </c>
      <c r="S117" s="62">
        <f ca="1">AVERAGE(OFFSET($R$3,0,0,'Données projet'!$E$9+1,1))-AVERAGE(OFFSET($H$3,0,0,'Données projet'!$E$9+1,1))</f>
        <v>177.70053246230015</v>
      </c>
      <c r="T117" s="62">
        <f t="shared" si="88"/>
        <v>85.631326020763254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8.5265128291212022E-14</v>
      </c>
      <c r="AJ117" s="14">
        <f>AI117*VLOOKUP('Données projet'!$B$10,Paramètres!$A$1:$I$89,3,0)*VLOOKUP('Données projet'!$B$10,Paramètres!$A$1:$I$89,5,0)</f>
        <v>7.4487616075202836E-14</v>
      </c>
      <c r="AK117" s="14">
        <f t="shared" si="89"/>
        <v>1.1580453144473142E-12</v>
      </c>
      <c r="AL117" s="22">
        <f t="shared" si="58"/>
        <v>2.1466615206600508E-12</v>
      </c>
      <c r="AM117" s="62">
        <f t="shared" si="59"/>
        <v>293.33333333333547</v>
      </c>
      <c r="AN117" s="62">
        <f ca="1">AVERAGE(OFFSET($AM$3,0,0,'Données projet'!$E$10+1,1))-AVERAGE(OFFSET($H$3,0,0,'Données projet'!$E$10+1,1))</f>
        <v>212.11273590951606</v>
      </c>
      <c r="AO117" s="62">
        <f t="shared" si="90"/>
        <v>240.9595690943346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2.2737367544323206E-13</v>
      </c>
      <c r="BE117" s="14">
        <f>BD117*VLOOKUP('Données projet'!$B$11,Paramètres!$A$1:$I$89,3,0)*VLOOKUP('Données projet'!$B$11,Paramètres!$A$1:$I$89,5,0)</f>
        <v>1.3596945791505279E-13</v>
      </c>
      <c r="BF117" s="14">
        <f t="shared" si="91"/>
        <v>1.9708830566360721E-12</v>
      </c>
      <c r="BG117" s="22">
        <f t="shared" si="61"/>
        <v>3.669434796176543E-12</v>
      </c>
      <c r="BH117" s="62">
        <f t="shared" si="62"/>
        <v>293.33333333333701</v>
      </c>
      <c r="BI117" s="62">
        <f ca="1">AVERAGE(OFFSET($BH$3,0,0,'Données projet'!$E$11+1,1))-AVERAGE(OFFSET($H$3,0,0,'Données projet'!$E$11+1,1))</f>
        <v>172.49153247238672</v>
      </c>
      <c r="BJ117" s="62">
        <f t="shared" si="92"/>
        <v>301.94982606323254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5.4704712269741096</v>
      </c>
      <c r="BQ117" s="23">
        <f>EXP(-LN(2)/25)*BQ116+(1-EXP(-LN(2)/25))/(LN(2)/25)*Calculateur!BL117*Calculateur!BN117*VLOOKUP('Données projet'!$B$11,Paramètres!$A$1:$I$89,3,0)*0.475*44/12</f>
        <v>1.3468850164705435</v>
      </c>
      <c r="BR117" s="23">
        <f>EXP(-LN(2)/2)*BR116+(1-EXP(-LN(2)/2))/(LN(2)/2)*BL117*BO117*VLOOKUP('Données projet'!$B$11,Paramètres!$A$1:$I$89,3,0)*0.475*44/12</f>
        <v>1.3242298815890298E-12</v>
      </c>
      <c r="BS117" s="24">
        <f t="shared" si="63"/>
        <v>6.8173562434459773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3.4106051316484809E-13</v>
      </c>
      <c r="BZ117" s="14">
        <f>BY117*VLOOKUP('Données projet'!$B$12,Paramètres!$A$1:$I$89,3,0)*VLOOKUP('Données projet'!$B$12,Paramètres!$A$1:$I$89,5,0)</f>
        <v>1.9508661353029313E-13</v>
      </c>
      <c r="CA117" s="14">
        <f t="shared" si="93"/>
        <v>2.711421636700695E-12</v>
      </c>
      <c r="CB117" s="22">
        <f t="shared" si="64"/>
        <v>5.0621685358189711E-12</v>
      </c>
      <c r="CC117" s="62">
        <f t="shared" si="65"/>
        <v>293.33333333333837</v>
      </c>
      <c r="CD117" s="62">
        <f ca="1">AVERAGE(OFFSET($CC$3,0,0,'Données projet'!$E$12+1,1))-AVERAGE(OFFSET($H$3,0,0,'Données projet'!$E$12+1,1))</f>
        <v>177.71338645688661</v>
      </c>
      <c r="CE117" s="62">
        <f t="shared" si="94"/>
        <v>153.65872713651345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0.17302466086589388</v>
      </c>
      <c r="CM117" s="23">
        <f>EXP(-LN(2)/2)*CM116+(1-EXP(-LN(2)/2))/(LN(2)/2)*CG117*CJ117*VLOOKUP('Données projet'!$B$12,Paramètres!$A$1:$I$89,3,0)*0.475*44/12</f>
        <v>1.5618812499818897E-13</v>
      </c>
      <c r="CN117" s="24">
        <f t="shared" si="66"/>
        <v>0.17302466086605006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-7.4487616075202823E-14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118.65321241325523</v>
      </c>
      <c r="CZ117" s="62">
        <f t="shared" si="96"/>
        <v>140.55041555757327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</v>
      </c>
      <c r="DO117" s="13">
        <f>IF('Données projet'!$A$166&gt;35,DO116+DN117-DW116,IF(A117&lt;'Données projet'!$A$166,$DL$205^A117,IF(A117='Données projet'!$A$166,'Données projet'!$B$166,DO116+DN117-DW116)))</f>
        <v>299.99999999999955</v>
      </c>
      <c r="DP117" s="18">
        <f>DO117*VLOOKUP('Données projet'!$B$14,Paramètres!$A$1:$I$89,3,0)*VLOOKUP('Données projet'!$B$14,Paramètres!$A$1:$I$89,5,0)</f>
        <v>304.19999999999959</v>
      </c>
      <c r="DQ117" s="14">
        <f t="shared" si="97"/>
        <v>72.056231093481003</v>
      </c>
      <c r="DR117" s="22">
        <f t="shared" si="70"/>
        <v>655.31293582114529</v>
      </c>
      <c r="DS117" s="62">
        <f t="shared" si="71"/>
        <v>948.64626915447866</v>
      </c>
      <c r="DT117" s="62">
        <f ca="1">AVERAGE(OFFSET($DS$3,0,0,'Données projet'!$E$14+1,1))-AVERAGE(OFFSET($H$3,0,0,'Données projet'!$E$14+1,1))</f>
        <v>328.70784159273131</v>
      </c>
      <c r="DU117" s="62">
        <f t="shared" si="98"/>
        <v>193.18009444354601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234</v>
      </c>
      <c r="L118" s="13">
        <f>VLOOKUP(A118,'Données projet'!$A$35:$I$55,9,0)</f>
        <v>3</v>
      </c>
      <c r="M118" s="13">
        <f t="array" ref="M118">INDEX(L:L,MIN(IF(ISNUMBER(L118:L314),ROW(L118:L314),"")))</f>
        <v>3</v>
      </c>
      <c r="N118" s="14">
        <f>IF('Données projet'!$A$36&gt;35,N117+M118-V117,IF(A118&lt;'Données projet'!$A$36,$K$205^A118,IF(A118='Données projet'!$A$36,'Données projet'!$B$36,N117+M118-V117)))</f>
        <v>234.00000000000006</v>
      </c>
      <c r="O118" s="14">
        <f>N118*VLOOKUP('Données projet'!$B$9,Paramètres!$A$1:$I$89,3,0)*VLOOKUP('Données projet'!$B$9,Paramètres!$A$1:$I$89,5,0)</f>
        <v>211.72320000000005</v>
      </c>
      <c r="P118" s="14">
        <f t="shared" si="87"/>
        <v>52.311968964212078</v>
      </c>
      <c r="Q118" s="22">
        <f t="shared" si="107"/>
        <v>459.86125261266943</v>
      </c>
      <c r="R118" s="62">
        <f t="shared" si="55"/>
        <v>753.19458594600269</v>
      </c>
      <c r="S118" s="62">
        <f ca="1">AVERAGE(OFFSET($R$3,0,0,'Données projet'!$E$9+1,1))-AVERAGE(OFFSET($H$3,0,0,'Données projet'!$E$9+1,1))</f>
        <v>177.70053246230015</v>
      </c>
      <c r="T118" s="62">
        <f t="shared" si="88"/>
        <v>85.631326020763254</v>
      </c>
      <c r="U118" s="16">
        <f>IF(ISNA(VLOOKUP(A118,'Données projet'!$A$35:$I$55,3,0)),0,VLOOKUP(A118,'Données projet'!$A$35:$I$55,3,0))</f>
        <v>9</v>
      </c>
      <c r="V118" s="16">
        <f>IF(ISNA(VLOOKUP(A118,'Données projet'!$A$35:$I$55,4,0)),0,VLOOKUP(A118,'Données projet'!$A$35:$I$55,4,0))</f>
        <v>26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8.5265128291212022E-14</v>
      </c>
      <c r="AJ118" s="14">
        <f>AI118*VLOOKUP('Données projet'!$B$10,Paramètres!$A$1:$I$89,3,0)*VLOOKUP('Données projet'!$B$10,Paramètres!$A$1:$I$89,5,0)</f>
        <v>7.4487616075202836E-14</v>
      </c>
      <c r="AK118" s="14">
        <f t="shared" si="89"/>
        <v>1.1580453144473142E-12</v>
      </c>
      <c r="AL118" s="22">
        <f t="shared" si="58"/>
        <v>2.1466615206600508E-12</v>
      </c>
      <c r="AM118" s="62">
        <f t="shared" si="59"/>
        <v>293.33333333333547</v>
      </c>
      <c r="AN118" s="62">
        <f ca="1">AVERAGE(OFFSET($AM$3,0,0,'Données projet'!$E$10+1,1))-AVERAGE(OFFSET($H$3,0,0,'Données projet'!$E$10+1,1))</f>
        <v>212.11273590951606</v>
      </c>
      <c r="AO118" s="62">
        <f t="shared" si="90"/>
        <v>240.9595690943346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2.2737367544323206E-13</v>
      </c>
      <c r="BE118" s="14">
        <f>BD118*VLOOKUP('Données projet'!$B$11,Paramètres!$A$1:$I$89,3,0)*VLOOKUP('Données projet'!$B$11,Paramètres!$A$1:$I$89,5,0)</f>
        <v>1.3596945791505279E-13</v>
      </c>
      <c r="BF118" s="14">
        <f t="shared" si="91"/>
        <v>1.9708830566360721E-12</v>
      </c>
      <c r="BG118" s="22">
        <f t="shared" si="61"/>
        <v>3.669434796176543E-12</v>
      </c>
      <c r="BH118" s="62">
        <f t="shared" si="62"/>
        <v>293.33333333333701</v>
      </c>
      <c r="BI118" s="62">
        <f ca="1">AVERAGE(OFFSET($BH$3,0,0,'Données projet'!$E$11+1,1))-AVERAGE(OFFSET($H$3,0,0,'Données projet'!$E$11+1,1))</f>
        <v>172.49153247238672</v>
      </c>
      <c r="BJ118" s="62">
        <f t="shared" si="92"/>
        <v>301.94982606323254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5.3631986228711286</v>
      </c>
      <c r="BQ118" s="23">
        <f>EXP(-LN(2)/25)*BQ117+(1-EXP(-LN(2)/25))/(LN(2)/25)*Calculateur!BL118*Calculateur!BN118*VLOOKUP('Données projet'!$B$11,Paramètres!$A$1:$I$89,3,0)*0.475*44/12</f>
        <v>1.3100543748655518</v>
      </c>
      <c r="BR118" s="23">
        <f>EXP(-LN(2)/2)*BR117+(1-EXP(-LN(2)/2))/(LN(2)/2)*BL118*BO118*VLOOKUP('Données projet'!$B$11,Paramètres!$A$1:$I$89,3,0)*0.475*44/12</f>
        <v>9.3637192912146181E-13</v>
      </c>
      <c r="BS118" s="24">
        <f t="shared" si="63"/>
        <v>6.6732529977376167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3.4106051316484809E-13</v>
      </c>
      <c r="BZ118" s="14">
        <f>BY118*VLOOKUP('Données projet'!$B$12,Paramètres!$A$1:$I$89,3,0)*VLOOKUP('Données projet'!$B$12,Paramètres!$A$1:$I$89,5,0)</f>
        <v>1.9508661353029313E-13</v>
      </c>
      <c r="CA118" s="14">
        <f t="shared" si="93"/>
        <v>2.711421636700695E-12</v>
      </c>
      <c r="CB118" s="22">
        <f t="shared" si="64"/>
        <v>5.0621685358189711E-12</v>
      </c>
      <c r="CC118" s="62">
        <f t="shared" si="65"/>
        <v>293.33333333333837</v>
      </c>
      <c r="CD118" s="62">
        <f ca="1">AVERAGE(OFFSET($CC$3,0,0,'Données projet'!$E$12+1,1))-AVERAGE(OFFSET($H$3,0,0,'Données projet'!$E$12+1,1))</f>
        <v>177.71338645688661</v>
      </c>
      <c r="CE118" s="62">
        <f t="shared" si="94"/>
        <v>153.65872713651345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0.16829329241554455</v>
      </c>
      <c r="CM118" s="23">
        <f>EXP(-LN(2)/2)*CM117+(1-EXP(-LN(2)/2))/(LN(2)/2)*CG118*CJ118*VLOOKUP('Données projet'!$B$12,Paramètres!$A$1:$I$89,3,0)*0.475*44/12</f>
        <v>1.1044168232703155E-13</v>
      </c>
      <c r="CN118" s="24">
        <f t="shared" si="66"/>
        <v>0.16829329241565499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-7.4487616075202823E-14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118.65321241325523</v>
      </c>
      <c r="CZ118" s="62">
        <f t="shared" si="96"/>
        <v>140.55041555757327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304</v>
      </c>
      <c r="DM118" s="13">
        <f>VLOOKUP(A118,'Données projet'!$A$165:$I$185,9,0)</f>
        <v>4</v>
      </c>
      <c r="DN118" s="13">
        <f t="array" ref="DN118">INDEX(DM:DM,MIN(IF(ISNUMBER(DM118:DM314),ROW(DM118:DM314),"")))</f>
        <v>4</v>
      </c>
      <c r="DO118" s="13">
        <f>IF('Données projet'!$A$166&gt;35,DO117+DN118-DW117,IF(A118&lt;'Données projet'!$A$166,$DL$205^A118,IF(A118='Données projet'!$A$166,'Données projet'!$B$166,DO117+DN118-DW117)))</f>
        <v>303.99999999999955</v>
      </c>
      <c r="DP118" s="18">
        <f>DO118*VLOOKUP('Données projet'!$B$14,Paramètres!$A$1:$I$89,3,0)*VLOOKUP('Données projet'!$B$14,Paramètres!$A$1:$I$89,5,0)</f>
        <v>308.25599999999957</v>
      </c>
      <c r="DQ118" s="14">
        <f t="shared" si="97"/>
        <v>72.904494055753887</v>
      </c>
      <c r="DR118" s="22">
        <f t="shared" si="70"/>
        <v>663.85452714710391</v>
      </c>
      <c r="DS118" s="62">
        <f t="shared" si="71"/>
        <v>957.18786048043717</v>
      </c>
      <c r="DT118" s="62">
        <f ca="1">AVERAGE(OFFSET($DS$3,0,0,'Données projet'!$E$14+1,1))-AVERAGE(OFFSET($H$3,0,0,'Données projet'!$E$14+1,1))</f>
        <v>328.70784159273131</v>
      </c>
      <c r="DU118" s="62">
        <f t="shared" si="98"/>
        <v>193.18009444354601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37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2.4</v>
      </c>
      <c r="N119" s="14">
        <f>IF('Données projet'!$A$36&gt;35,N118+M119-V118,IF(A119&lt;'Données projet'!$A$36,$K$205^A119,IF(A119='Données projet'!$A$36,'Données projet'!$B$36,N118+M119-V118)))</f>
        <v>210.40000000000006</v>
      </c>
      <c r="O119" s="14">
        <f>N119*VLOOKUP('Données projet'!$B$9,Paramètres!$A$1:$I$89,3,0)*VLOOKUP('Données projet'!$B$9,Paramètres!$A$1:$I$89,5,0)</f>
        <v>190.36992000000004</v>
      </c>
      <c r="P119" s="14">
        <f t="shared" si="87"/>
        <v>47.621727650589136</v>
      </c>
      <c r="Q119" s="22">
        <f t="shared" si="107"/>
        <v>414.50211965810945</v>
      </c>
      <c r="R119" s="62">
        <f t="shared" si="55"/>
        <v>707.83545299144271</v>
      </c>
      <c r="S119" s="62">
        <f ca="1">AVERAGE(OFFSET($R$3,0,0,'Données projet'!$E$9+1,1))-AVERAGE(OFFSET($H$3,0,0,'Données projet'!$E$9+1,1))</f>
        <v>177.70053246230015</v>
      </c>
      <c r="T119" s="62">
        <f t="shared" si="88"/>
        <v>85.631326020763254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8.5265128291212022E-14</v>
      </c>
      <c r="AJ119" s="14">
        <f>AI119*VLOOKUP('Données projet'!$B$10,Paramètres!$A$1:$I$89,3,0)*VLOOKUP('Données projet'!$B$10,Paramètres!$A$1:$I$89,5,0)</f>
        <v>7.4487616075202836E-14</v>
      </c>
      <c r="AK119" s="14">
        <f t="shared" si="89"/>
        <v>1.1580453144473142E-12</v>
      </c>
      <c r="AL119" s="22">
        <f t="shared" si="58"/>
        <v>2.1466615206600508E-12</v>
      </c>
      <c r="AM119" s="62">
        <f t="shared" si="59"/>
        <v>293.33333333333547</v>
      </c>
      <c r="AN119" s="62">
        <f ca="1">AVERAGE(OFFSET($AM$3,0,0,'Données projet'!$E$10+1,1))-AVERAGE(OFFSET($H$3,0,0,'Données projet'!$E$10+1,1))</f>
        <v>212.11273590951606</v>
      </c>
      <c r="AO119" s="62">
        <f t="shared" si="90"/>
        <v>240.9595690943346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2.2737367544323206E-13</v>
      </c>
      <c r="BE119" s="14">
        <f>BD119*VLOOKUP('Données projet'!$B$11,Paramètres!$A$1:$I$89,3,0)*VLOOKUP('Données projet'!$B$11,Paramètres!$A$1:$I$89,5,0)</f>
        <v>1.3596945791505279E-13</v>
      </c>
      <c r="BF119" s="14">
        <f t="shared" si="91"/>
        <v>1.9708830566360721E-12</v>
      </c>
      <c r="BG119" s="22">
        <f t="shared" si="61"/>
        <v>3.669434796176543E-12</v>
      </c>
      <c r="BH119" s="62">
        <f t="shared" si="62"/>
        <v>293.33333333333701</v>
      </c>
      <c r="BI119" s="62">
        <f ca="1">AVERAGE(OFFSET($BH$3,0,0,'Données projet'!$E$11+1,1))-AVERAGE(OFFSET($H$3,0,0,'Données projet'!$E$11+1,1))</f>
        <v>172.49153247238672</v>
      </c>
      <c r="BJ119" s="62">
        <f t="shared" si="92"/>
        <v>301.94982606323254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5.2580295691047789</v>
      </c>
      <c r="BQ119" s="23">
        <f>EXP(-LN(2)/25)*BQ118+(1-EXP(-LN(2)/25))/(LN(2)/25)*Calculateur!BL119*Calculateur!BN119*VLOOKUP('Données projet'!$B$11,Paramètres!$A$1:$I$89,3,0)*0.475*44/12</f>
        <v>1.2742308690920878</v>
      </c>
      <c r="BR119" s="23">
        <f>EXP(-LN(2)/2)*BR118+(1-EXP(-LN(2)/2))/(LN(2)/2)*BL119*BO119*VLOOKUP('Données projet'!$B$11,Paramètres!$A$1:$I$89,3,0)*0.475*44/12</f>
        <v>6.6211494079451489E-13</v>
      </c>
      <c r="BS119" s="24">
        <f t="shared" si="63"/>
        <v>6.532260438197528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3.4106051316484809E-13</v>
      </c>
      <c r="BZ119" s="14">
        <f>BY119*VLOOKUP('Données projet'!$B$12,Paramètres!$A$1:$I$89,3,0)*VLOOKUP('Données projet'!$B$12,Paramètres!$A$1:$I$89,5,0)</f>
        <v>1.9508661353029313E-13</v>
      </c>
      <c r="CA119" s="14">
        <f t="shared" si="93"/>
        <v>2.711421636700695E-12</v>
      </c>
      <c r="CB119" s="22">
        <f t="shared" si="64"/>
        <v>5.0621685358189711E-12</v>
      </c>
      <c r="CC119" s="62">
        <f t="shared" si="65"/>
        <v>293.33333333333837</v>
      </c>
      <c r="CD119" s="62">
        <f ca="1">AVERAGE(OFFSET($CC$3,0,0,'Données projet'!$E$12+1,1))-AVERAGE(OFFSET($H$3,0,0,'Données projet'!$E$12+1,1))</f>
        <v>177.71338645688661</v>
      </c>
      <c r="CE119" s="62">
        <f t="shared" si="94"/>
        <v>153.65872713651345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0.16369130348428187</v>
      </c>
      <c r="CM119" s="23">
        <f>EXP(-LN(2)/2)*CM118+(1-EXP(-LN(2)/2))/(LN(2)/2)*CG119*CJ119*VLOOKUP('Données projet'!$B$12,Paramètres!$A$1:$I$89,3,0)*0.475*44/12</f>
        <v>7.8094062499094497E-14</v>
      </c>
      <c r="CN119" s="24">
        <f t="shared" si="66"/>
        <v>0.16369130348435998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-7.4487616075202823E-14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118.65321241325523</v>
      </c>
      <c r="CZ119" s="62">
        <f t="shared" si="96"/>
        <v>140.55041555757327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3.4</v>
      </c>
      <c r="DO119" s="13">
        <f>IF('Données projet'!$A$166&gt;35,DO118+DN119-DW118,IF(A119&lt;'Données projet'!$A$166,$DL$205^A119,IF(A119='Données projet'!$A$166,'Données projet'!$B$166,DO118+DN119-DW118)))</f>
        <v>270.39999999999952</v>
      </c>
      <c r="DP119" s="18">
        <f>DO119*VLOOKUP('Données projet'!$B$14,Paramètres!$A$1:$I$89,3,0)*VLOOKUP('Données projet'!$B$14,Paramètres!$A$1:$I$89,5,0)</f>
        <v>274.18559999999957</v>
      </c>
      <c r="DQ119" s="14">
        <f t="shared" si="97"/>
        <v>65.736762389907327</v>
      </c>
      <c r="DR119" s="22">
        <f t="shared" si="70"/>
        <v>592.03144782908782</v>
      </c>
      <c r="DS119" s="62">
        <f t="shared" si="71"/>
        <v>885.3647811624212</v>
      </c>
      <c r="DT119" s="62">
        <f ca="1">AVERAGE(OFFSET($DS$3,0,0,'Données projet'!$E$14+1,1))-AVERAGE(OFFSET($H$3,0,0,'Données projet'!$E$14+1,1))</f>
        <v>328.70784159273131</v>
      </c>
      <c r="DU119" s="62">
        <f t="shared" si="98"/>
        <v>193.18009444354601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2.4</v>
      </c>
      <c r="N120" s="14">
        <f>IF('Données projet'!$A$36&gt;35,N119+M120-V119,IF(A120&lt;'Données projet'!$A$36,$K$205^A120,IF(A120='Données projet'!$A$36,'Données projet'!$B$36,N119+M120-V119)))</f>
        <v>212.80000000000007</v>
      </c>
      <c r="O120" s="14">
        <f>N120*VLOOKUP('Données projet'!$B$9,Paramètres!$A$1:$I$89,3,0)*VLOOKUP('Données projet'!$B$9,Paramètres!$A$1:$I$89,5,0)</f>
        <v>192.54144000000005</v>
      </c>
      <c r="P120" s="14">
        <f t="shared" si="87"/>
        <v>48.101393902059698</v>
      </c>
      <c r="Q120" s="22">
        <f t="shared" si="107"/>
        <v>419.11960237942071</v>
      </c>
      <c r="R120" s="62">
        <f t="shared" si="55"/>
        <v>712.45293571275397</v>
      </c>
      <c r="S120" s="62">
        <f ca="1">AVERAGE(OFFSET($R$3,0,0,'Données projet'!$E$9+1,1))-AVERAGE(OFFSET($H$3,0,0,'Données projet'!$E$9+1,1))</f>
        <v>177.70053246230015</v>
      </c>
      <c r="T120" s="62">
        <f t="shared" si="88"/>
        <v>85.631326020763254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8.5265128291212022E-14</v>
      </c>
      <c r="AJ120" s="14">
        <f>AI120*VLOOKUP('Données projet'!$B$10,Paramètres!$A$1:$I$89,3,0)*VLOOKUP('Données projet'!$B$10,Paramètres!$A$1:$I$89,5,0)</f>
        <v>7.4487616075202836E-14</v>
      </c>
      <c r="AK120" s="14">
        <f t="shared" si="89"/>
        <v>1.1580453144473142E-12</v>
      </c>
      <c r="AL120" s="22">
        <f t="shared" si="58"/>
        <v>2.1466615206600508E-12</v>
      </c>
      <c r="AM120" s="62">
        <f t="shared" si="59"/>
        <v>293.33333333333547</v>
      </c>
      <c r="AN120" s="62">
        <f ca="1">AVERAGE(OFFSET($AM$3,0,0,'Données projet'!$E$10+1,1))-AVERAGE(OFFSET($H$3,0,0,'Données projet'!$E$10+1,1))</f>
        <v>212.11273590951606</v>
      </c>
      <c r="AO120" s="62">
        <f t="shared" si="90"/>
        <v>240.9595690943346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2.2737367544323206E-13</v>
      </c>
      <c r="BE120" s="14">
        <f>BD120*VLOOKUP('Données projet'!$B$11,Paramètres!$A$1:$I$89,3,0)*VLOOKUP('Données projet'!$B$11,Paramètres!$A$1:$I$89,5,0)</f>
        <v>1.3596945791505279E-13</v>
      </c>
      <c r="BF120" s="14">
        <f t="shared" si="91"/>
        <v>1.9708830566360721E-12</v>
      </c>
      <c r="BG120" s="22">
        <f t="shared" si="61"/>
        <v>3.669434796176543E-12</v>
      </c>
      <c r="BH120" s="62">
        <f t="shared" si="62"/>
        <v>293.33333333333701</v>
      </c>
      <c r="BI120" s="62">
        <f ca="1">AVERAGE(OFFSET($BH$3,0,0,'Données projet'!$E$11+1,1))-AVERAGE(OFFSET($H$3,0,0,'Données projet'!$E$11+1,1))</f>
        <v>172.49153247238672</v>
      </c>
      <c r="BJ120" s="62">
        <f t="shared" si="92"/>
        <v>301.94982606323254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5.1549228163359988</v>
      </c>
      <c r="BQ120" s="23">
        <f>EXP(-LN(2)/25)*BQ119+(1-EXP(-LN(2)/25))/(LN(2)/25)*Calculateur!BL120*Calculateur!BN120*VLOOKUP('Données projet'!$B$11,Paramètres!$A$1:$I$89,3,0)*0.475*44/12</f>
        <v>1.2393869589678757</v>
      </c>
      <c r="BR120" s="23">
        <f>EXP(-LN(2)/2)*BR119+(1-EXP(-LN(2)/2))/(LN(2)/2)*BL120*BO120*VLOOKUP('Données projet'!$B$11,Paramètres!$A$1:$I$89,3,0)*0.475*44/12</f>
        <v>4.6818596456073091E-13</v>
      </c>
      <c r="BS120" s="24">
        <f t="shared" si="63"/>
        <v>6.3943097753043423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3.4106051316484809E-13</v>
      </c>
      <c r="BZ120" s="14">
        <f>BY120*VLOOKUP('Données projet'!$B$12,Paramètres!$A$1:$I$89,3,0)*VLOOKUP('Données projet'!$B$12,Paramètres!$A$1:$I$89,5,0)</f>
        <v>1.9508661353029313E-13</v>
      </c>
      <c r="CA120" s="14">
        <f t="shared" si="93"/>
        <v>2.711421636700695E-12</v>
      </c>
      <c r="CB120" s="22">
        <f t="shared" si="64"/>
        <v>5.0621685358189711E-12</v>
      </c>
      <c r="CC120" s="62">
        <f t="shared" si="65"/>
        <v>293.33333333333837</v>
      </c>
      <c r="CD120" s="62">
        <f ca="1">AVERAGE(OFFSET($CC$3,0,0,'Données projet'!$E$12+1,1))-AVERAGE(OFFSET($H$3,0,0,'Données projet'!$E$12+1,1))</f>
        <v>177.71338645688661</v>
      </c>
      <c r="CE120" s="62">
        <f t="shared" si="94"/>
        <v>153.65872713651345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0.15921515618235266</v>
      </c>
      <c r="CM120" s="23">
        <f>EXP(-LN(2)/2)*CM119+(1-EXP(-LN(2)/2))/(LN(2)/2)*CG120*CJ120*VLOOKUP('Données projet'!$B$12,Paramètres!$A$1:$I$89,3,0)*0.475*44/12</f>
        <v>5.5220841163515786E-14</v>
      </c>
      <c r="CN120" s="24">
        <f t="shared" si="66"/>
        <v>0.15921515618240789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-7.4487616075202823E-14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118.65321241325523</v>
      </c>
      <c r="CZ120" s="62">
        <f t="shared" si="96"/>
        <v>140.55041555757327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3.4</v>
      </c>
      <c r="DO120" s="13">
        <f>IF('Données projet'!$A$166&gt;35,DO119+DN120-DW119,IF(A120&lt;'Données projet'!$A$166,$DL$205^A120,IF(A120='Données projet'!$A$166,'Données projet'!$B$166,DO119+DN120-DW119)))</f>
        <v>273.7999999999995</v>
      </c>
      <c r="DP120" s="18">
        <f>DO120*VLOOKUP('Données projet'!$B$14,Paramètres!$A$1:$I$89,3,0)*VLOOKUP('Données projet'!$B$14,Paramètres!$A$1:$I$89,5,0)</f>
        <v>277.63319999999953</v>
      </c>
      <c r="DQ120" s="14">
        <f t="shared" si="97"/>
        <v>66.466589162975581</v>
      </c>
      <c r="DR120" s="22">
        <f t="shared" si="70"/>
        <v>599.30713279218173</v>
      </c>
      <c r="DS120" s="62">
        <f t="shared" si="71"/>
        <v>892.6404661255151</v>
      </c>
      <c r="DT120" s="62">
        <f ca="1">AVERAGE(OFFSET($DS$3,0,0,'Données projet'!$E$14+1,1))-AVERAGE(OFFSET($H$3,0,0,'Données projet'!$E$14+1,1))</f>
        <v>328.70784159273131</v>
      </c>
      <c r="DU120" s="62">
        <f t="shared" si="98"/>
        <v>193.18009444354601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2.4</v>
      </c>
      <c r="N121" s="14">
        <f>IF('Données projet'!$A$36&gt;35,N120+M121-V120,IF(A121&lt;'Données projet'!$A$36,$K$205^A121,IF(A121='Données projet'!$A$36,'Données projet'!$B$36,N120+M121-V120)))</f>
        <v>215.20000000000007</v>
      </c>
      <c r="O121" s="14">
        <f>N121*VLOOKUP('Données projet'!$B$9,Paramètres!$A$1:$I$89,3,0)*VLOOKUP('Données projet'!$B$9,Paramètres!$A$1:$I$89,5,0)</f>
        <v>194.71296000000007</v>
      </c>
      <c r="P121" s="14">
        <f t="shared" si="87"/>
        <v>48.580430855369244</v>
      </c>
      <c r="Q121" s="22">
        <f t="shared" si="107"/>
        <v>423.73598907310151</v>
      </c>
      <c r="R121" s="62">
        <f t="shared" si="55"/>
        <v>717.06932240643482</v>
      </c>
      <c r="S121" s="62">
        <f ca="1">AVERAGE(OFFSET($R$3,0,0,'Données projet'!$E$9+1,1))-AVERAGE(OFFSET($H$3,0,0,'Données projet'!$E$9+1,1))</f>
        <v>177.70053246230015</v>
      </c>
      <c r="T121" s="62">
        <f t="shared" si="88"/>
        <v>85.631326020763254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8.5265128291212022E-14</v>
      </c>
      <c r="AJ121" s="14">
        <f>AI121*VLOOKUP('Données projet'!$B$10,Paramètres!$A$1:$I$89,3,0)*VLOOKUP('Données projet'!$B$10,Paramètres!$A$1:$I$89,5,0)</f>
        <v>7.4487616075202836E-14</v>
      </c>
      <c r="AK121" s="14">
        <f t="shared" si="89"/>
        <v>1.1580453144473142E-12</v>
      </c>
      <c r="AL121" s="22">
        <f t="shared" si="58"/>
        <v>2.1466615206600508E-12</v>
      </c>
      <c r="AM121" s="62">
        <f t="shared" si="59"/>
        <v>293.33333333333547</v>
      </c>
      <c r="AN121" s="62">
        <f ca="1">AVERAGE(OFFSET($AM$3,0,0,'Données projet'!$E$10+1,1))-AVERAGE(OFFSET($H$3,0,0,'Données projet'!$E$10+1,1))</f>
        <v>212.11273590951606</v>
      </c>
      <c r="AO121" s="62">
        <f t="shared" si="90"/>
        <v>240.9595690943346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2.2737367544323206E-13</v>
      </c>
      <c r="BE121" s="14">
        <f>BD121*VLOOKUP('Données projet'!$B$11,Paramètres!$A$1:$I$89,3,0)*VLOOKUP('Données projet'!$B$11,Paramètres!$A$1:$I$89,5,0)</f>
        <v>1.3596945791505279E-13</v>
      </c>
      <c r="BF121" s="14">
        <f t="shared" si="91"/>
        <v>1.9708830566360721E-12</v>
      </c>
      <c r="BG121" s="22">
        <f t="shared" si="61"/>
        <v>3.669434796176543E-12</v>
      </c>
      <c r="BH121" s="62">
        <f t="shared" si="62"/>
        <v>293.33333333333701</v>
      </c>
      <c r="BI121" s="62">
        <f ca="1">AVERAGE(OFFSET($BH$3,0,0,'Données projet'!$E$11+1,1))-AVERAGE(OFFSET($H$3,0,0,'Données projet'!$E$11+1,1))</f>
        <v>172.49153247238672</v>
      </c>
      <c r="BJ121" s="62">
        <f t="shared" si="92"/>
        <v>301.94982606323254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5.0538379241001046</v>
      </c>
      <c r="BQ121" s="23">
        <f>EXP(-LN(2)/25)*BQ120+(1-EXP(-LN(2)/25))/(LN(2)/25)*Calculateur!BL121*Calculateur!BN121*VLOOKUP('Données projet'!$B$11,Paramètres!$A$1:$I$89,3,0)*0.475*44/12</f>
        <v>1.2054958573983716</v>
      </c>
      <c r="BR121" s="23">
        <f>EXP(-LN(2)/2)*BR120+(1-EXP(-LN(2)/2))/(LN(2)/2)*BL121*BO121*VLOOKUP('Données projet'!$B$11,Paramètres!$A$1:$I$89,3,0)*0.475*44/12</f>
        <v>3.3105747039725745E-13</v>
      </c>
      <c r="BS121" s="24">
        <f t="shared" si="63"/>
        <v>6.2593337814988077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3.4106051316484809E-13</v>
      </c>
      <c r="BZ121" s="14">
        <f>BY121*VLOOKUP('Données projet'!$B$12,Paramètres!$A$1:$I$89,3,0)*VLOOKUP('Données projet'!$B$12,Paramètres!$A$1:$I$89,5,0)</f>
        <v>1.9508661353029313E-13</v>
      </c>
      <c r="CA121" s="14">
        <f t="shared" si="93"/>
        <v>2.711421636700695E-12</v>
      </c>
      <c r="CB121" s="22">
        <f t="shared" si="64"/>
        <v>5.0621685358189711E-12</v>
      </c>
      <c r="CC121" s="62">
        <f t="shared" si="65"/>
        <v>293.33333333333837</v>
      </c>
      <c r="CD121" s="62">
        <f ca="1">AVERAGE(OFFSET($CC$3,0,0,'Données projet'!$E$12+1,1))-AVERAGE(OFFSET($H$3,0,0,'Données projet'!$E$12+1,1))</f>
        <v>177.71338645688661</v>
      </c>
      <c r="CE121" s="62">
        <f t="shared" si="94"/>
        <v>153.65872713651345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0.15486140936378506</v>
      </c>
      <c r="CM121" s="23">
        <f>EXP(-LN(2)/2)*CM120+(1-EXP(-LN(2)/2))/(LN(2)/2)*CG121*CJ121*VLOOKUP('Données projet'!$B$12,Paramètres!$A$1:$I$89,3,0)*0.475*44/12</f>
        <v>3.9047031249547255E-14</v>
      </c>
      <c r="CN121" s="24">
        <f t="shared" si="66"/>
        <v>0.15486140936382412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-7.4487616075202823E-14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118.65321241325523</v>
      </c>
      <c r="CZ121" s="62">
        <f t="shared" si="96"/>
        <v>140.55041555757327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3.4</v>
      </c>
      <c r="DO121" s="13">
        <f>IF('Données projet'!$A$166&gt;35,DO120+DN121-DW120,IF(A121&lt;'Données projet'!$A$166,$DL$205^A121,IF(A121='Données projet'!$A$166,'Données projet'!$B$166,DO120+DN121-DW120)))</f>
        <v>277.19999999999948</v>
      </c>
      <c r="DP121" s="18">
        <f>DO121*VLOOKUP('Données projet'!$B$14,Paramètres!$A$1:$I$89,3,0)*VLOOKUP('Données projet'!$B$14,Paramètres!$A$1:$I$89,5,0)</f>
        <v>281.0807999999995</v>
      </c>
      <c r="DQ121" s="14">
        <f t="shared" si="97"/>
        <v>67.195361752546063</v>
      </c>
      <c r="DR121" s="22">
        <f t="shared" si="70"/>
        <v>606.5809817190169</v>
      </c>
      <c r="DS121" s="62">
        <f t="shared" si="71"/>
        <v>899.91431505235028</v>
      </c>
      <c r="DT121" s="62">
        <f ca="1">AVERAGE(OFFSET($DS$3,0,0,'Données projet'!$E$14+1,1))-AVERAGE(OFFSET($H$3,0,0,'Données projet'!$E$14+1,1))</f>
        <v>328.70784159273131</v>
      </c>
      <c r="DU121" s="62">
        <f t="shared" si="98"/>
        <v>193.18009444354601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2.4</v>
      </c>
      <c r="N122" s="14">
        <f>IF('Données projet'!$A$36&gt;35,N121+M122-V121,IF(A122&lt;'Données projet'!$A$36,$K$205^A122,IF(A122='Données projet'!$A$36,'Données projet'!$B$36,N121+M122-V121)))</f>
        <v>217.60000000000008</v>
      </c>
      <c r="O122" s="14">
        <f>N122*VLOOKUP('Données projet'!$B$9,Paramètres!$A$1:$I$89,3,0)*VLOOKUP('Données projet'!$B$9,Paramètres!$A$1:$I$89,5,0)</f>
        <v>196.88448000000008</v>
      </c>
      <c r="P122" s="14">
        <f t="shared" si="87"/>
        <v>49.058846340873686</v>
      </c>
      <c r="Q122" s="22">
        <f t="shared" si="107"/>
        <v>428.35129337702182</v>
      </c>
      <c r="R122" s="62">
        <f t="shared" si="55"/>
        <v>721.68462671035513</v>
      </c>
      <c r="S122" s="62">
        <f ca="1">AVERAGE(OFFSET($R$3,0,0,'Données projet'!$E$9+1,1))-AVERAGE(OFFSET($H$3,0,0,'Données projet'!$E$9+1,1))</f>
        <v>177.70053246230015</v>
      </c>
      <c r="T122" s="62">
        <f t="shared" si="88"/>
        <v>85.631326020763254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8.5265128291212022E-14</v>
      </c>
      <c r="AJ122" s="14">
        <f>AI122*VLOOKUP('Données projet'!$B$10,Paramètres!$A$1:$I$89,3,0)*VLOOKUP('Données projet'!$B$10,Paramètres!$A$1:$I$89,5,0)</f>
        <v>7.4487616075202836E-14</v>
      </c>
      <c r="AK122" s="14">
        <f t="shared" si="89"/>
        <v>1.1580453144473142E-12</v>
      </c>
      <c r="AL122" s="22">
        <f t="shared" si="58"/>
        <v>2.1466615206600508E-12</v>
      </c>
      <c r="AM122" s="62">
        <f t="shared" si="59"/>
        <v>293.33333333333547</v>
      </c>
      <c r="AN122" s="62">
        <f ca="1">AVERAGE(OFFSET($AM$3,0,0,'Données projet'!$E$10+1,1))-AVERAGE(OFFSET($H$3,0,0,'Données projet'!$E$10+1,1))</f>
        <v>212.11273590951606</v>
      </c>
      <c r="AO122" s="62">
        <f t="shared" si="90"/>
        <v>240.9595690943346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2.2737367544323206E-13</v>
      </c>
      <c r="BE122" s="14">
        <f>BD122*VLOOKUP('Données projet'!$B$11,Paramètres!$A$1:$I$89,3,0)*VLOOKUP('Données projet'!$B$11,Paramètres!$A$1:$I$89,5,0)</f>
        <v>1.3596945791505279E-13</v>
      </c>
      <c r="BF122" s="14">
        <f t="shared" si="91"/>
        <v>1.9708830566360721E-12</v>
      </c>
      <c r="BG122" s="22">
        <f t="shared" si="61"/>
        <v>3.669434796176543E-12</v>
      </c>
      <c r="BH122" s="62">
        <f t="shared" si="62"/>
        <v>293.33333333333701</v>
      </c>
      <c r="BI122" s="62">
        <f ca="1">AVERAGE(OFFSET($BH$3,0,0,'Données projet'!$E$11+1,1))-AVERAGE(OFFSET($H$3,0,0,'Données projet'!$E$11+1,1))</f>
        <v>172.49153247238672</v>
      </c>
      <c r="BJ122" s="62">
        <f t="shared" si="92"/>
        <v>301.94982606323254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4.95473524494526</v>
      </c>
      <c r="BQ122" s="23">
        <f>EXP(-LN(2)/25)*BQ121+(1-EXP(-LN(2)/25))/(LN(2)/25)*Calculateur!BL122*Calculateur!BN122*VLOOKUP('Données projet'!$B$11,Paramètres!$A$1:$I$89,3,0)*0.475*44/12</f>
        <v>1.1725315097835411</v>
      </c>
      <c r="BR122" s="23">
        <f>EXP(-LN(2)/2)*BR121+(1-EXP(-LN(2)/2))/(LN(2)/2)*BL122*BO122*VLOOKUP('Données projet'!$B$11,Paramètres!$A$1:$I$89,3,0)*0.475*44/12</f>
        <v>2.3409298228036545E-13</v>
      </c>
      <c r="BS122" s="24">
        <f t="shared" si="63"/>
        <v>6.1272667547290354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3.4106051316484809E-13</v>
      </c>
      <c r="BZ122" s="14">
        <f>BY122*VLOOKUP('Données projet'!$B$12,Paramètres!$A$1:$I$89,3,0)*VLOOKUP('Données projet'!$B$12,Paramètres!$A$1:$I$89,5,0)</f>
        <v>1.9508661353029313E-13</v>
      </c>
      <c r="CA122" s="14">
        <f t="shared" si="93"/>
        <v>2.711421636700695E-12</v>
      </c>
      <c r="CB122" s="22">
        <f t="shared" si="64"/>
        <v>5.0621685358189711E-12</v>
      </c>
      <c r="CC122" s="62">
        <f t="shared" si="65"/>
        <v>293.33333333333837</v>
      </c>
      <c r="CD122" s="62">
        <f ca="1">AVERAGE(OFFSET($CC$3,0,0,'Données projet'!$E$12+1,1))-AVERAGE(OFFSET($H$3,0,0,'Données projet'!$E$12+1,1))</f>
        <v>177.71338645688661</v>
      </c>
      <c r="CE122" s="62">
        <f t="shared" si="94"/>
        <v>153.65872713651345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0.15062671598092478</v>
      </c>
      <c r="CM122" s="23">
        <f>EXP(-LN(2)/2)*CM121+(1-EXP(-LN(2)/2))/(LN(2)/2)*CG122*CJ122*VLOOKUP('Données projet'!$B$12,Paramètres!$A$1:$I$89,3,0)*0.475*44/12</f>
        <v>2.7610420581757896E-14</v>
      </c>
      <c r="CN122" s="24">
        <f t="shared" si="66"/>
        <v>0.1506267159809524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-7.4487616075202823E-14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118.65321241325523</v>
      </c>
      <c r="CZ122" s="62">
        <f t="shared" si="96"/>
        <v>140.55041555757327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3.4</v>
      </c>
      <c r="DO122" s="13">
        <f>IF('Données projet'!$A$166&gt;35,DO121+DN122-DW121,IF(A122&lt;'Données projet'!$A$166,$DL$205^A122,IF(A122='Données projet'!$A$166,'Données projet'!$B$166,DO121+DN122-DW121)))</f>
        <v>280.59999999999945</v>
      </c>
      <c r="DP122" s="18">
        <f>DO122*VLOOKUP('Données projet'!$B$14,Paramètres!$A$1:$I$89,3,0)*VLOOKUP('Données projet'!$B$14,Paramètres!$A$1:$I$89,5,0)</f>
        <v>284.52839999999946</v>
      </c>
      <c r="DQ122" s="14">
        <f t="shared" si="97"/>
        <v>67.923094584210745</v>
      </c>
      <c r="DR122" s="22">
        <f t="shared" si="70"/>
        <v>613.85301973416608</v>
      </c>
      <c r="DS122" s="62">
        <f t="shared" si="71"/>
        <v>907.18635306749934</v>
      </c>
      <c r="DT122" s="62">
        <f ca="1">AVERAGE(OFFSET($DS$3,0,0,'Données projet'!$E$14+1,1))-AVERAGE(OFFSET($H$3,0,0,'Données projet'!$E$14+1,1))</f>
        <v>328.70784159273131</v>
      </c>
      <c r="DU122" s="62">
        <f t="shared" si="98"/>
        <v>193.18009444354601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2.4</v>
      </c>
      <c r="N123" s="14">
        <f>IF('Données projet'!$A$36&gt;35,N122+M123-V122,IF(A123&lt;'Données projet'!$A$36,$K$205^A123,IF(A123='Données projet'!$A$36,'Données projet'!$B$36,N122+M123-V122)))</f>
        <v>220.00000000000009</v>
      </c>
      <c r="O123" s="14">
        <f>N123*VLOOKUP('Données projet'!$B$9,Paramètres!$A$1:$I$89,3,0)*VLOOKUP('Données projet'!$B$9,Paramètres!$A$1:$I$89,5,0)</f>
        <v>199.05600000000007</v>
      </c>
      <c r="P123" s="14">
        <f t="shared" si="87"/>
        <v>49.536648006253934</v>
      </c>
      <c r="Q123" s="22">
        <f t="shared" si="107"/>
        <v>432.96552861089236</v>
      </c>
      <c r="R123" s="62">
        <f t="shared" si="55"/>
        <v>726.29886194422568</v>
      </c>
      <c r="S123" s="62">
        <f ca="1">AVERAGE(OFFSET($R$3,0,0,'Données projet'!$E$9+1,1))-AVERAGE(OFFSET($H$3,0,0,'Données projet'!$E$9+1,1))</f>
        <v>177.70053246230015</v>
      </c>
      <c r="T123" s="62">
        <f t="shared" si="88"/>
        <v>85.631326020763254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8.5265128291212022E-14</v>
      </c>
      <c r="AJ123" s="14">
        <f>AI123*VLOOKUP('Données projet'!$B$10,Paramètres!$A$1:$I$89,3,0)*VLOOKUP('Données projet'!$B$10,Paramètres!$A$1:$I$89,5,0)</f>
        <v>7.4487616075202836E-14</v>
      </c>
      <c r="AK123" s="14">
        <f t="shared" si="89"/>
        <v>1.1580453144473142E-12</v>
      </c>
      <c r="AL123" s="22">
        <f t="shared" si="58"/>
        <v>2.1466615206600508E-12</v>
      </c>
      <c r="AM123" s="62">
        <f t="shared" si="59"/>
        <v>293.33333333333547</v>
      </c>
      <c r="AN123" s="62">
        <f ca="1">AVERAGE(OFFSET($AM$3,0,0,'Données projet'!$E$10+1,1))-AVERAGE(OFFSET($H$3,0,0,'Données projet'!$E$10+1,1))</f>
        <v>212.11273590951606</v>
      </c>
      <c r="AO123" s="62">
        <f t="shared" si="90"/>
        <v>240.9595690943346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2.2737367544323206E-13</v>
      </c>
      <c r="BE123" s="14">
        <f>BD123*VLOOKUP('Données projet'!$B$11,Paramètres!$A$1:$I$89,3,0)*VLOOKUP('Données projet'!$B$11,Paramètres!$A$1:$I$89,5,0)</f>
        <v>1.3596945791505279E-13</v>
      </c>
      <c r="BF123" s="14">
        <f t="shared" si="91"/>
        <v>1.9708830566360721E-12</v>
      </c>
      <c r="BG123" s="22">
        <f t="shared" si="61"/>
        <v>3.669434796176543E-12</v>
      </c>
      <c r="BH123" s="62">
        <f t="shared" si="62"/>
        <v>293.33333333333701</v>
      </c>
      <c r="BI123" s="62">
        <f ca="1">AVERAGE(OFFSET($BH$3,0,0,'Données projet'!$E$11+1,1))-AVERAGE(OFFSET($H$3,0,0,'Données projet'!$E$11+1,1))</f>
        <v>172.49153247238672</v>
      </c>
      <c r="BJ123" s="62">
        <f t="shared" si="92"/>
        <v>301.94982606323254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4.8575759088819765</v>
      </c>
      <c r="BQ123" s="23">
        <f>EXP(-LN(2)/25)*BQ122+(1-EXP(-LN(2)/25))/(LN(2)/25)*Calculateur!BL123*Calculateur!BN123*VLOOKUP('Données projet'!$B$11,Paramètres!$A$1:$I$89,3,0)*0.475*44/12</f>
        <v>1.140468573987758</v>
      </c>
      <c r="BR123" s="23">
        <f>EXP(-LN(2)/2)*BR122+(1-EXP(-LN(2)/2))/(LN(2)/2)*BL123*BO123*VLOOKUP('Données projet'!$B$11,Paramètres!$A$1:$I$89,3,0)*0.475*44/12</f>
        <v>1.6552873519862872E-13</v>
      </c>
      <c r="BS123" s="24">
        <f t="shared" si="63"/>
        <v>5.9980444828698998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3.4106051316484809E-13</v>
      </c>
      <c r="BZ123" s="14">
        <f>BY123*VLOOKUP('Données projet'!$B$12,Paramètres!$A$1:$I$89,3,0)*VLOOKUP('Données projet'!$B$12,Paramètres!$A$1:$I$89,5,0)</f>
        <v>1.9508661353029313E-13</v>
      </c>
      <c r="CA123" s="14">
        <f t="shared" si="93"/>
        <v>2.711421636700695E-12</v>
      </c>
      <c r="CB123" s="22">
        <f t="shared" si="64"/>
        <v>5.0621685358189711E-12</v>
      </c>
      <c r="CC123" s="62">
        <f t="shared" si="65"/>
        <v>293.33333333333837</v>
      </c>
      <c r="CD123" s="62">
        <f ca="1">AVERAGE(OFFSET($CC$3,0,0,'Données projet'!$E$12+1,1))-AVERAGE(OFFSET($H$3,0,0,'Données projet'!$E$12+1,1))</f>
        <v>177.71338645688661</v>
      </c>
      <c r="CE123" s="62">
        <f t="shared" si="94"/>
        <v>153.65872713651345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0.14650782051131167</v>
      </c>
      <c r="CM123" s="23">
        <f>EXP(-LN(2)/2)*CM122+(1-EXP(-LN(2)/2))/(LN(2)/2)*CG123*CJ123*VLOOKUP('Données projet'!$B$12,Paramètres!$A$1:$I$89,3,0)*0.475*44/12</f>
        <v>1.9523515624773631E-14</v>
      </c>
      <c r="CN123" s="24">
        <f t="shared" si="66"/>
        <v>0.14650782051133118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-7.4487616075202823E-14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118.65321241325523</v>
      </c>
      <c r="CZ123" s="62">
        <f t="shared" si="96"/>
        <v>140.55041555757327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3.4</v>
      </c>
      <c r="DO123" s="13">
        <f>IF('Données projet'!$A$166&gt;35,DO122+DN123-DW122,IF(A123&lt;'Données projet'!$A$166,$DL$205^A123,IF(A123='Données projet'!$A$166,'Données projet'!$B$166,DO122+DN123-DW122)))</f>
        <v>283.99999999999943</v>
      </c>
      <c r="DP123" s="18">
        <f>DO123*VLOOKUP('Données projet'!$B$14,Paramètres!$A$1:$I$89,3,0)*VLOOKUP('Données projet'!$B$14,Paramètres!$A$1:$I$89,5,0)</f>
        <v>287.97599999999943</v>
      </c>
      <c r="DQ123" s="14">
        <f t="shared" si="97"/>
        <v>68.649801713863027</v>
      </c>
      <c r="DR123" s="22">
        <f t="shared" si="70"/>
        <v>621.12327131831046</v>
      </c>
      <c r="DS123" s="62">
        <f t="shared" si="71"/>
        <v>914.45660465164383</v>
      </c>
      <c r="DT123" s="62">
        <f ca="1">AVERAGE(OFFSET($DS$3,0,0,'Données projet'!$E$14+1,1))-AVERAGE(OFFSET($H$3,0,0,'Données projet'!$E$14+1,1))</f>
        <v>328.70784159273131</v>
      </c>
      <c r="DU123" s="62">
        <f t="shared" si="98"/>
        <v>193.18009444354601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2.4</v>
      </c>
      <c r="N124" s="14">
        <f>IF('Données projet'!$A$36&gt;35,N123+M124-V123,IF(A124&lt;'Données projet'!$A$36,$K$205^A124,IF(A124='Données projet'!$A$36,'Données projet'!$B$36,N123+M124-V123)))</f>
        <v>222.40000000000009</v>
      </c>
      <c r="O124" s="14">
        <f>N124*VLOOKUP('Données projet'!$B$9,Paramètres!$A$1:$I$89,3,0)*VLOOKUP('Données projet'!$B$9,Paramètres!$A$1:$I$89,5,0)</f>
        <v>201.22752000000008</v>
      </c>
      <c r="P124" s="14">
        <f t="shared" si="87"/>
        <v>50.013843322723098</v>
      </c>
      <c r="Q124" s="22">
        <f t="shared" si="107"/>
        <v>437.57870778707621</v>
      </c>
      <c r="R124" s="62">
        <f t="shared" si="55"/>
        <v>730.91204112040953</v>
      </c>
      <c r="S124" s="62">
        <f ca="1">AVERAGE(OFFSET($R$3,0,0,'Données projet'!$E$9+1,1))-AVERAGE(OFFSET($H$3,0,0,'Données projet'!$E$9+1,1))</f>
        <v>177.70053246230015</v>
      </c>
      <c r="T124" s="62">
        <f t="shared" si="88"/>
        <v>85.631326020763254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8.5265128291212022E-14</v>
      </c>
      <c r="AJ124" s="14">
        <f>AI124*VLOOKUP('Données projet'!$B$10,Paramètres!$A$1:$I$89,3,0)*VLOOKUP('Données projet'!$B$10,Paramètres!$A$1:$I$89,5,0)</f>
        <v>7.4487616075202836E-14</v>
      </c>
      <c r="AK124" s="14">
        <f t="shared" si="89"/>
        <v>1.1580453144473142E-12</v>
      </c>
      <c r="AL124" s="22">
        <f t="shared" si="58"/>
        <v>2.1466615206600508E-12</v>
      </c>
      <c r="AM124" s="62">
        <f t="shared" si="59"/>
        <v>293.33333333333547</v>
      </c>
      <c r="AN124" s="62">
        <f ca="1">AVERAGE(OFFSET($AM$3,0,0,'Données projet'!$E$10+1,1))-AVERAGE(OFFSET($H$3,0,0,'Données projet'!$E$10+1,1))</f>
        <v>212.11273590951606</v>
      </c>
      <c r="AO124" s="62">
        <f t="shared" si="90"/>
        <v>240.9595690943346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2.2737367544323206E-13</v>
      </c>
      <c r="BE124" s="14">
        <f>BD124*VLOOKUP('Données projet'!$B$11,Paramètres!$A$1:$I$89,3,0)*VLOOKUP('Données projet'!$B$11,Paramètres!$A$1:$I$89,5,0)</f>
        <v>1.3596945791505279E-13</v>
      </c>
      <c r="BF124" s="14">
        <f t="shared" si="91"/>
        <v>1.9708830566360721E-12</v>
      </c>
      <c r="BG124" s="22">
        <f t="shared" si="61"/>
        <v>3.669434796176543E-12</v>
      </c>
      <c r="BH124" s="62">
        <f t="shared" si="62"/>
        <v>293.33333333333701</v>
      </c>
      <c r="BI124" s="62">
        <f ca="1">AVERAGE(OFFSET($BH$3,0,0,'Données projet'!$E$11+1,1))-AVERAGE(OFFSET($H$3,0,0,'Données projet'!$E$11+1,1))</f>
        <v>172.49153247238672</v>
      </c>
      <c r="BJ124" s="62">
        <f t="shared" si="92"/>
        <v>301.94982606323254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4.7623218081375507</v>
      </c>
      <c r="BQ124" s="23">
        <f>EXP(-LN(2)/25)*BQ123+(1-EXP(-LN(2)/25))/(LN(2)/25)*Calculateur!BL124*Calculateur!BN124*VLOOKUP('Données projet'!$B$11,Paramètres!$A$1:$I$89,3,0)*0.475*44/12</f>
        <v>1.1092824008574271</v>
      </c>
      <c r="BR124" s="23">
        <f>EXP(-LN(2)/2)*BR123+(1-EXP(-LN(2)/2))/(LN(2)/2)*BL124*BO124*VLOOKUP('Données projet'!$B$11,Paramètres!$A$1:$I$89,3,0)*0.475*44/12</f>
        <v>1.1704649114018273E-13</v>
      </c>
      <c r="BS124" s="24">
        <f t="shared" si="63"/>
        <v>5.8716042089950946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3.4106051316484809E-13</v>
      </c>
      <c r="BZ124" s="14">
        <f>BY124*VLOOKUP('Données projet'!$B$12,Paramètres!$A$1:$I$89,3,0)*VLOOKUP('Données projet'!$B$12,Paramètres!$A$1:$I$89,5,0)</f>
        <v>1.9508661353029313E-13</v>
      </c>
      <c r="CA124" s="14">
        <f t="shared" si="93"/>
        <v>2.711421636700695E-12</v>
      </c>
      <c r="CB124" s="22">
        <f t="shared" si="64"/>
        <v>5.0621685358189711E-12</v>
      </c>
      <c r="CC124" s="62">
        <f t="shared" si="65"/>
        <v>293.33333333333837</v>
      </c>
      <c r="CD124" s="62">
        <f ca="1">AVERAGE(OFFSET($CC$3,0,0,'Données projet'!$E$12+1,1))-AVERAGE(OFFSET($H$3,0,0,'Données projet'!$E$12+1,1))</f>
        <v>177.71338645688661</v>
      </c>
      <c r="CE124" s="62">
        <f t="shared" si="94"/>
        <v>153.65872713651345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0.14250155645491841</v>
      </c>
      <c r="CM124" s="23">
        <f>EXP(-LN(2)/2)*CM123+(1-EXP(-LN(2)/2))/(LN(2)/2)*CG124*CJ124*VLOOKUP('Données projet'!$B$12,Paramètres!$A$1:$I$89,3,0)*0.475*44/12</f>
        <v>1.380521029087895E-14</v>
      </c>
      <c r="CN124" s="24">
        <f t="shared" si="66"/>
        <v>0.1425015564549322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-7.4487616075202823E-14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118.65321241325523</v>
      </c>
      <c r="CZ124" s="62">
        <f t="shared" si="96"/>
        <v>140.55041555757327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3.4</v>
      </c>
      <c r="DO124" s="13">
        <f>IF('Données projet'!$A$166&gt;35,DO123+DN124-DW123,IF(A124&lt;'Données projet'!$A$166,$DL$205^A124,IF(A124='Données projet'!$A$166,'Données projet'!$B$166,DO123+DN124-DW123)))</f>
        <v>287.39999999999941</v>
      </c>
      <c r="DP124" s="18">
        <f>DO124*VLOOKUP('Données projet'!$B$14,Paramètres!$A$1:$I$89,3,0)*VLOOKUP('Données projet'!$B$14,Paramètres!$A$1:$I$89,5,0)</f>
        <v>291.42359999999945</v>
      </c>
      <c r="DQ124" s="14">
        <f t="shared" si="97"/>
        <v>69.375496841482047</v>
      </c>
      <c r="DR124" s="22">
        <f t="shared" si="70"/>
        <v>628.39176033224692</v>
      </c>
      <c r="DS124" s="62">
        <f t="shared" si="71"/>
        <v>921.72509366558029</v>
      </c>
      <c r="DT124" s="62">
        <f ca="1">AVERAGE(OFFSET($DS$3,0,0,'Données projet'!$E$14+1,1))-AVERAGE(OFFSET($H$3,0,0,'Données projet'!$E$14+1,1))</f>
        <v>328.70784159273131</v>
      </c>
      <c r="DU124" s="62">
        <f t="shared" si="98"/>
        <v>193.18009444354601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2.4</v>
      </c>
      <c r="N125" s="14">
        <f>IF('Données projet'!$A$36&gt;35,N124+M125-V124,IF(A125&lt;'Données projet'!$A$36,$K$205^A125,IF(A125='Données projet'!$A$36,'Données projet'!$B$36,N124+M125-V124)))</f>
        <v>224.8000000000001</v>
      </c>
      <c r="O125" s="14">
        <f>N125*VLOOKUP('Données projet'!$B$9,Paramètres!$A$1:$I$89,3,0)*VLOOKUP('Données projet'!$B$9,Paramètres!$A$1:$I$89,5,0)</f>
        <v>203.39904000000007</v>
      </c>
      <c r="P125" s="14">
        <f t="shared" si="87"/>
        <v>50.490439590957372</v>
      </c>
      <c r="Q125" s="22">
        <f t="shared" si="107"/>
        <v>442.19084362091752</v>
      </c>
      <c r="R125" s="62">
        <f t="shared" si="55"/>
        <v>735.52417695425083</v>
      </c>
      <c r="S125" s="62">
        <f ca="1">AVERAGE(OFFSET($R$3,0,0,'Données projet'!$E$9+1,1))-AVERAGE(OFFSET($H$3,0,0,'Données projet'!$E$9+1,1))</f>
        <v>177.70053246230015</v>
      </c>
      <c r="T125" s="62">
        <f t="shared" si="88"/>
        <v>85.631326020763254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8.5265128291212022E-14</v>
      </c>
      <c r="AJ125" s="14">
        <f>AI125*VLOOKUP('Données projet'!$B$10,Paramètres!$A$1:$I$89,3,0)*VLOOKUP('Données projet'!$B$10,Paramètres!$A$1:$I$89,5,0)</f>
        <v>7.4487616075202836E-14</v>
      </c>
      <c r="AK125" s="14">
        <f t="shared" si="89"/>
        <v>1.1580453144473142E-12</v>
      </c>
      <c r="AL125" s="22">
        <f t="shared" si="58"/>
        <v>2.1466615206600508E-12</v>
      </c>
      <c r="AM125" s="62">
        <f t="shared" si="59"/>
        <v>293.33333333333547</v>
      </c>
      <c r="AN125" s="62">
        <f ca="1">AVERAGE(OFFSET($AM$3,0,0,'Données projet'!$E$10+1,1))-AVERAGE(OFFSET($H$3,0,0,'Données projet'!$E$10+1,1))</f>
        <v>212.11273590951606</v>
      </c>
      <c r="AO125" s="62">
        <f t="shared" si="90"/>
        <v>240.9595690943346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2.2737367544323206E-13</v>
      </c>
      <c r="BE125" s="14">
        <f>BD125*VLOOKUP('Données projet'!$B$11,Paramètres!$A$1:$I$89,3,0)*VLOOKUP('Données projet'!$B$11,Paramètres!$A$1:$I$89,5,0)</f>
        <v>1.3596945791505279E-13</v>
      </c>
      <c r="BF125" s="14">
        <f t="shared" si="91"/>
        <v>1.9708830566360721E-12</v>
      </c>
      <c r="BG125" s="22">
        <f t="shared" si="61"/>
        <v>3.669434796176543E-12</v>
      </c>
      <c r="BH125" s="62">
        <f t="shared" si="62"/>
        <v>293.33333333333701</v>
      </c>
      <c r="BI125" s="62">
        <f ca="1">AVERAGE(OFFSET($BH$3,0,0,'Données projet'!$E$11+1,1))-AVERAGE(OFFSET($H$3,0,0,'Données projet'!$E$11+1,1))</f>
        <v>172.49153247238672</v>
      </c>
      <c r="BJ125" s="62">
        <f t="shared" si="92"/>
        <v>301.94982606323254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4.6689355822094578</v>
      </c>
      <c r="BQ125" s="23">
        <f>EXP(-LN(2)/25)*BQ124+(1-EXP(-LN(2)/25))/(LN(2)/25)*Calculateur!BL125*Calculateur!BN125*VLOOKUP('Données projet'!$B$11,Paramètres!$A$1:$I$89,3,0)*0.475*44/12</f>
        <v>1.0789490152713546</v>
      </c>
      <c r="BR125" s="23">
        <f>EXP(-LN(2)/2)*BR124+(1-EXP(-LN(2)/2))/(LN(2)/2)*BL125*BO125*VLOOKUP('Données projet'!$B$11,Paramètres!$A$1:$I$89,3,0)*0.475*44/12</f>
        <v>8.2764367599314361E-14</v>
      </c>
      <c r="BS125" s="24">
        <f t="shared" si="63"/>
        <v>5.747884597480895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3.4106051316484809E-13</v>
      </c>
      <c r="BZ125" s="14">
        <f>BY125*VLOOKUP('Données projet'!$B$12,Paramètres!$A$1:$I$89,3,0)*VLOOKUP('Données projet'!$B$12,Paramètres!$A$1:$I$89,5,0)</f>
        <v>1.9508661353029313E-13</v>
      </c>
      <c r="CA125" s="14">
        <f t="shared" si="93"/>
        <v>2.711421636700695E-12</v>
      </c>
      <c r="CB125" s="22">
        <f t="shared" si="64"/>
        <v>5.0621685358189711E-12</v>
      </c>
      <c r="CC125" s="62">
        <f t="shared" si="65"/>
        <v>293.33333333333837</v>
      </c>
      <c r="CD125" s="62">
        <f ca="1">AVERAGE(OFFSET($CC$3,0,0,'Données projet'!$E$12+1,1))-AVERAGE(OFFSET($H$3,0,0,'Données projet'!$E$12+1,1))</f>
        <v>177.71338645688661</v>
      </c>
      <c r="CE125" s="62">
        <f t="shared" si="94"/>
        <v>153.65872713651345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0.1386048438998275</v>
      </c>
      <c r="CM125" s="23">
        <f>EXP(-LN(2)/2)*CM124+(1-EXP(-LN(2)/2))/(LN(2)/2)*CG125*CJ125*VLOOKUP('Données projet'!$B$12,Paramètres!$A$1:$I$89,3,0)*0.475*44/12</f>
        <v>9.7617578123868169E-15</v>
      </c>
      <c r="CN125" s="24">
        <f t="shared" si="66"/>
        <v>0.13860484389983727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-7.4487616075202823E-14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118.65321241325523</v>
      </c>
      <c r="CZ125" s="62">
        <f t="shared" si="96"/>
        <v>140.55041555757327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3.4</v>
      </c>
      <c r="DO125" s="13">
        <f>IF('Données projet'!$A$166&gt;35,DO124+DN125-DW124,IF(A125&lt;'Données projet'!$A$166,$DL$205^A125,IF(A125='Données projet'!$A$166,'Données projet'!$B$166,DO124+DN125-DW124)))</f>
        <v>290.79999999999939</v>
      </c>
      <c r="DP125" s="18">
        <f>DO125*VLOOKUP('Données projet'!$B$14,Paramètres!$A$1:$I$89,3,0)*VLOOKUP('Données projet'!$B$14,Paramètres!$A$1:$I$89,5,0)</f>
        <v>294.87119999999942</v>
      </c>
      <c r="DQ125" s="14">
        <f t="shared" si="97"/>
        <v>70.100193324246931</v>
      </c>
      <c r="DR125" s="22">
        <f t="shared" si="70"/>
        <v>635.65851003972909</v>
      </c>
      <c r="DS125" s="62">
        <f t="shared" si="71"/>
        <v>928.99184337306247</v>
      </c>
      <c r="DT125" s="62">
        <f ca="1">AVERAGE(OFFSET($DS$3,0,0,'Données projet'!$E$14+1,1))-AVERAGE(OFFSET($H$3,0,0,'Données projet'!$E$14+1,1))</f>
        <v>328.70784159273131</v>
      </c>
      <c r="DU125" s="62">
        <f t="shared" si="98"/>
        <v>193.18009444354601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2.4</v>
      </c>
      <c r="N126" s="14">
        <f>IF('Données projet'!$A$36&gt;35,N125+M126-V125,IF(A126&lt;'Données projet'!$A$36,$K$205^A126,IF(A126='Données projet'!$A$36,'Données projet'!$B$36,N125+M126-V125)))</f>
        <v>227.2000000000001</v>
      </c>
      <c r="O126" s="14">
        <f>N126*VLOOKUP('Données projet'!$B$9,Paramètres!$A$1:$I$89,3,0)*VLOOKUP('Données projet'!$B$9,Paramètres!$A$1:$I$89,5,0)</f>
        <v>205.57056000000006</v>
      </c>
      <c r="P126" s="14">
        <f t="shared" si="87"/>
        <v>50.966443946767392</v>
      </c>
      <c r="Q126" s="22">
        <f t="shared" si="107"/>
        <v>446.80194854062</v>
      </c>
      <c r="R126" s="62">
        <f t="shared" si="55"/>
        <v>740.13528187395332</v>
      </c>
      <c r="S126" s="62">
        <f ca="1">AVERAGE(OFFSET($R$3,0,0,'Données projet'!$E$9+1,1))-AVERAGE(OFFSET($H$3,0,0,'Données projet'!$E$9+1,1))</f>
        <v>177.70053246230015</v>
      </c>
      <c r="T126" s="62">
        <f t="shared" si="88"/>
        <v>85.631326020763254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8.5265128291212022E-14</v>
      </c>
      <c r="AJ126" s="14">
        <f>AI126*VLOOKUP('Données projet'!$B$10,Paramètres!$A$1:$I$89,3,0)*VLOOKUP('Données projet'!$B$10,Paramètres!$A$1:$I$89,5,0)</f>
        <v>7.4487616075202836E-14</v>
      </c>
      <c r="AK126" s="14">
        <f t="shared" si="89"/>
        <v>1.1580453144473142E-12</v>
      </c>
      <c r="AL126" s="22">
        <f t="shared" si="58"/>
        <v>2.1466615206600508E-12</v>
      </c>
      <c r="AM126" s="62">
        <f t="shared" si="59"/>
        <v>293.33333333333547</v>
      </c>
      <c r="AN126" s="62">
        <f ca="1">AVERAGE(OFFSET($AM$3,0,0,'Données projet'!$E$10+1,1))-AVERAGE(OFFSET($H$3,0,0,'Données projet'!$E$10+1,1))</f>
        <v>212.11273590951606</v>
      </c>
      <c r="AO126" s="62">
        <f t="shared" si="90"/>
        <v>240.9595690943346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2.2737367544323206E-13</v>
      </c>
      <c r="BE126" s="14">
        <f>BD126*VLOOKUP('Données projet'!$B$11,Paramètres!$A$1:$I$89,3,0)*VLOOKUP('Données projet'!$B$11,Paramètres!$A$1:$I$89,5,0)</f>
        <v>1.3596945791505279E-13</v>
      </c>
      <c r="BF126" s="14">
        <f t="shared" si="91"/>
        <v>1.9708830566360721E-12</v>
      </c>
      <c r="BG126" s="22">
        <f t="shared" si="61"/>
        <v>3.669434796176543E-12</v>
      </c>
      <c r="BH126" s="62">
        <f t="shared" si="62"/>
        <v>293.33333333333701</v>
      </c>
      <c r="BI126" s="62">
        <f ca="1">AVERAGE(OFFSET($BH$3,0,0,'Données projet'!$E$11+1,1))-AVERAGE(OFFSET($H$3,0,0,'Données projet'!$E$11+1,1))</f>
        <v>172.49153247238672</v>
      </c>
      <c r="BJ126" s="62">
        <f t="shared" si="92"/>
        <v>301.94982606323254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4.577380603211842</v>
      </c>
      <c r="BQ126" s="23">
        <f>EXP(-LN(2)/25)*BQ125+(1-EXP(-LN(2)/25))/(LN(2)/25)*Calculateur!BL126*Calculateur!BN126*VLOOKUP('Données projet'!$B$11,Paramètres!$A$1:$I$89,3,0)*0.475*44/12</f>
        <v>1.0494450977092966</v>
      </c>
      <c r="BR126" s="23">
        <f>EXP(-LN(2)/2)*BR125+(1-EXP(-LN(2)/2))/(LN(2)/2)*BL126*BO126*VLOOKUP('Données projet'!$B$11,Paramètres!$A$1:$I$89,3,0)*0.475*44/12</f>
        <v>5.8523245570091363E-14</v>
      </c>
      <c r="BS126" s="24">
        <f t="shared" si="63"/>
        <v>5.6268257009211968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3.4106051316484809E-13</v>
      </c>
      <c r="BZ126" s="14">
        <f>BY126*VLOOKUP('Données projet'!$B$12,Paramètres!$A$1:$I$89,3,0)*VLOOKUP('Données projet'!$B$12,Paramètres!$A$1:$I$89,5,0)</f>
        <v>1.9508661353029313E-13</v>
      </c>
      <c r="CA126" s="14">
        <f t="shared" si="93"/>
        <v>2.711421636700695E-12</v>
      </c>
      <c r="CB126" s="22">
        <f t="shared" si="64"/>
        <v>5.0621685358189711E-12</v>
      </c>
      <c r="CC126" s="62">
        <f t="shared" si="65"/>
        <v>293.33333333333837</v>
      </c>
      <c r="CD126" s="62">
        <f ca="1">AVERAGE(OFFSET($CC$3,0,0,'Données projet'!$E$12+1,1))-AVERAGE(OFFSET($H$3,0,0,'Données projet'!$E$12+1,1))</f>
        <v>177.71338645688661</v>
      </c>
      <c r="CE126" s="62">
        <f t="shared" si="94"/>
        <v>153.65872713651345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0.13481468715447475</v>
      </c>
      <c r="CM126" s="23">
        <f>EXP(-LN(2)/2)*CM125+(1-EXP(-LN(2)/2))/(LN(2)/2)*CG126*CJ126*VLOOKUP('Données projet'!$B$12,Paramètres!$A$1:$I$89,3,0)*0.475*44/12</f>
        <v>6.9026051454394764E-15</v>
      </c>
      <c r="CN126" s="24">
        <f t="shared" si="66"/>
        <v>0.13481468715448167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-7.4487616075202823E-14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118.65321241325523</v>
      </c>
      <c r="CZ126" s="62">
        <f t="shared" si="96"/>
        <v>140.55041555757327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3.4</v>
      </c>
      <c r="DO126" s="13">
        <f>IF('Données projet'!$A$166&gt;35,DO125+DN126-DW125,IF(A126&lt;'Données projet'!$A$166,$DL$205^A126,IF(A126='Données projet'!$A$166,'Données projet'!$B$166,DO125+DN126-DW125)))</f>
        <v>294.19999999999936</v>
      </c>
      <c r="DP126" s="18">
        <f>DO126*VLOOKUP('Données projet'!$B$14,Paramètres!$A$1:$I$89,3,0)*VLOOKUP('Données projet'!$B$14,Paramètres!$A$1:$I$89,5,0)</f>
        <v>298.31879999999938</v>
      </c>
      <c r="DQ126" s="14">
        <f t="shared" si="97"/>
        <v>70.823904189019785</v>
      </c>
      <c r="DR126" s="22">
        <f t="shared" si="70"/>
        <v>642.92354312920827</v>
      </c>
      <c r="DS126" s="62">
        <f t="shared" si="71"/>
        <v>936.25687646254164</v>
      </c>
      <c r="DT126" s="62">
        <f ca="1">AVERAGE(OFFSET($DS$3,0,0,'Données projet'!$E$14+1,1))-AVERAGE(OFFSET($H$3,0,0,'Données projet'!$E$14+1,1))</f>
        <v>328.70784159273131</v>
      </c>
      <c r="DU126" s="62">
        <f t="shared" si="98"/>
        <v>193.18009444354601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2.4</v>
      </c>
      <c r="N127" s="14">
        <f>IF('Données projet'!$A$36&gt;35,N126+M127-V126,IF(A127&lt;'Données projet'!$A$36,$K$205^A127,IF(A127='Données projet'!$A$36,'Données projet'!$B$36,N126+M127-V126)))</f>
        <v>229.60000000000011</v>
      </c>
      <c r="O127" s="14">
        <f>N127*VLOOKUP('Données projet'!$B$9,Paramètres!$A$1:$I$89,3,0)*VLOOKUP('Données projet'!$B$9,Paramètres!$A$1:$I$89,5,0)</f>
        <v>207.7420800000001</v>
      </c>
      <c r="P127" s="14">
        <f t="shared" si="87"/>
        <v>51.441863366522419</v>
      </c>
      <c r="Q127" s="22">
        <f t="shared" si="107"/>
        <v>451.41203469669335</v>
      </c>
      <c r="R127" s="62">
        <f t="shared" si="55"/>
        <v>744.74536803002661</v>
      </c>
      <c r="S127" s="62">
        <f ca="1">AVERAGE(OFFSET($R$3,0,0,'Données projet'!$E$9+1,1))-AVERAGE(OFFSET($H$3,0,0,'Données projet'!$E$9+1,1))</f>
        <v>177.70053246230015</v>
      </c>
      <c r="T127" s="62">
        <f t="shared" si="88"/>
        <v>85.631326020763254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8.5265128291212022E-14</v>
      </c>
      <c r="AJ127" s="14">
        <f>AI127*VLOOKUP('Données projet'!$B$10,Paramètres!$A$1:$I$89,3,0)*VLOOKUP('Données projet'!$B$10,Paramètres!$A$1:$I$89,5,0)</f>
        <v>7.4487616075202836E-14</v>
      </c>
      <c r="AK127" s="14">
        <f t="shared" si="89"/>
        <v>1.1580453144473142E-12</v>
      </c>
      <c r="AL127" s="22">
        <f t="shared" si="58"/>
        <v>2.1466615206600508E-12</v>
      </c>
      <c r="AM127" s="62">
        <f t="shared" si="59"/>
        <v>293.33333333333547</v>
      </c>
      <c r="AN127" s="62">
        <f ca="1">AVERAGE(OFFSET($AM$3,0,0,'Données projet'!$E$10+1,1))-AVERAGE(OFFSET($H$3,0,0,'Données projet'!$E$10+1,1))</f>
        <v>212.11273590951606</v>
      </c>
      <c r="AO127" s="62">
        <f t="shared" si="90"/>
        <v>240.9595690943346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2.2737367544323206E-13</v>
      </c>
      <c r="BE127" s="14">
        <f>BD127*VLOOKUP('Données projet'!$B$11,Paramètres!$A$1:$I$89,3,0)*VLOOKUP('Données projet'!$B$11,Paramètres!$A$1:$I$89,5,0)</f>
        <v>1.3596945791505279E-13</v>
      </c>
      <c r="BF127" s="14">
        <f t="shared" si="91"/>
        <v>1.9708830566360721E-12</v>
      </c>
      <c r="BG127" s="22">
        <f t="shared" si="61"/>
        <v>3.669434796176543E-12</v>
      </c>
      <c r="BH127" s="62">
        <f t="shared" si="62"/>
        <v>293.33333333333701</v>
      </c>
      <c r="BI127" s="62">
        <f ca="1">AVERAGE(OFFSET($BH$3,0,0,'Données projet'!$E$11+1,1))-AVERAGE(OFFSET($H$3,0,0,'Données projet'!$E$11+1,1))</f>
        <v>172.49153247238672</v>
      </c>
      <c r="BJ127" s="62">
        <f t="shared" si="92"/>
        <v>301.94982606323254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4.4876209615093456</v>
      </c>
      <c r="BQ127" s="23">
        <f>EXP(-LN(2)/25)*BQ126+(1-EXP(-LN(2)/25))/(LN(2)/25)*Calculateur!BL127*Calculateur!BN127*VLOOKUP('Données projet'!$B$11,Paramètres!$A$1:$I$89,3,0)*0.475*44/12</f>
        <v>1.0207479663245167</v>
      </c>
      <c r="BR127" s="23">
        <f>EXP(-LN(2)/2)*BR126+(1-EXP(-LN(2)/2))/(LN(2)/2)*BL127*BO127*VLOOKUP('Données projet'!$B$11,Paramètres!$A$1:$I$89,3,0)*0.475*44/12</f>
        <v>4.1382183799657181E-14</v>
      </c>
      <c r="BS127" s="24">
        <f t="shared" si="63"/>
        <v>5.5083689278339039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3.4106051316484809E-13</v>
      </c>
      <c r="BZ127" s="14">
        <f>BY127*VLOOKUP('Données projet'!$B$12,Paramètres!$A$1:$I$89,3,0)*VLOOKUP('Données projet'!$B$12,Paramètres!$A$1:$I$89,5,0)</f>
        <v>1.9508661353029313E-13</v>
      </c>
      <c r="CA127" s="14">
        <f t="shared" si="93"/>
        <v>2.711421636700695E-12</v>
      </c>
      <c r="CB127" s="22">
        <f t="shared" si="64"/>
        <v>5.0621685358189711E-12</v>
      </c>
      <c r="CC127" s="62">
        <f t="shared" si="65"/>
        <v>293.33333333333837</v>
      </c>
      <c r="CD127" s="62">
        <f ca="1">AVERAGE(OFFSET($CC$3,0,0,'Données projet'!$E$12+1,1))-AVERAGE(OFFSET($H$3,0,0,'Données projet'!$E$12+1,1))</f>
        <v>177.71338645688661</v>
      </c>
      <c r="CE127" s="62">
        <f t="shared" si="94"/>
        <v>153.65872713651345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0.13112817244463937</v>
      </c>
      <c r="CM127" s="23">
        <f>EXP(-LN(2)/2)*CM126+(1-EXP(-LN(2)/2))/(LN(2)/2)*CG127*CJ127*VLOOKUP('Données projet'!$B$12,Paramètres!$A$1:$I$89,3,0)*0.475*44/12</f>
        <v>4.8808789061934092E-15</v>
      </c>
      <c r="CN127" s="24">
        <f t="shared" si="66"/>
        <v>0.13112817244464425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-7.4487616075202823E-14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118.65321241325523</v>
      </c>
      <c r="CZ127" s="62">
        <f t="shared" si="96"/>
        <v>140.55041555757327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3.4</v>
      </c>
      <c r="DO127" s="13">
        <f>IF('Données projet'!$A$166&gt;35,DO126+DN127-DW126,IF(A127&lt;'Données projet'!$A$166,$DL$205^A127,IF(A127='Données projet'!$A$166,'Données projet'!$B$166,DO126+DN127-DW126)))</f>
        <v>297.59999999999934</v>
      </c>
      <c r="DP127" s="18">
        <f>DO127*VLOOKUP('Données projet'!$B$14,Paramètres!$A$1:$I$89,3,0)*VLOOKUP('Données projet'!$B$14,Paramètres!$A$1:$I$89,5,0)</f>
        <v>301.76639999999935</v>
      </c>
      <c r="DQ127" s="14">
        <f t="shared" si="97"/>
        <v>71.546642144235236</v>
      </c>
      <c r="DR127" s="22">
        <f t="shared" si="70"/>
        <v>650.18688173454188</v>
      </c>
      <c r="DS127" s="62">
        <f t="shared" si="71"/>
        <v>943.52021506787514</v>
      </c>
      <c r="DT127" s="62">
        <f ca="1">AVERAGE(OFFSET($DS$3,0,0,'Données projet'!$E$14+1,1))-AVERAGE(OFFSET($H$3,0,0,'Données projet'!$E$14+1,1))</f>
        <v>328.70784159273131</v>
      </c>
      <c r="DU127" s="62">
        <f t="shared" si="98"/>
        <v>193.18009444354601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232</v>
      </c>
      <c r="L128" s="13">
        <f>VLOOKUP(A128,'Données projet'!$A$35:$I$55,9,0)</f>
        <v>2.4</v>
      </c>
      <c r="M128" s="13">
        <f t="array" ref="M128">INDEX(L:L,MIN(IF(ISNUMBER(L128:L324),ROW(L128:L324),"")))</f>
        <v>2.4</v>
      </c>
      <c r="N128" s="14">
        <f>IF('Données projet'!$A$36&gt;35,N127+M128-V127,IF(A128&lt;'Données projet'!$A$36,$K$205^A128,IF(A128='Données projet'!$A$36,'Données projet'!$B$36,N127+M128-V127)))</f>
        <v>232.00000000000011</v>
      </c>
      <c r="O128" s="14">
        <f>N128*VLOOKUP('Données projet'!$B$9,Paramètres!$A$1:$I$89,3,0)*VLOOKUP('Données projet'!$B$9,Paramètres!$A$1:$I$89,5,0)</f>
        <v>209.91360000000009</v>
      </c>
      <c r="P128" s="14">
        <f t="shared" si="87"/>
        <v>51.916704672341361</v>
      </c>
      <c r="Q128" s="22">
        <f t="shared" si="107"/>
        <v>456.02111397099469</v>
      </c>
      <c r="R128" s="62">
        <f t="shared" si="55"/>
        <v>749.354447304328</v>
      </c>
      <c r="S128" s="62">
        <f ca="1">AVERAGE(OFFSET($R$3,0,0,'Données projet'!$E$9+1,1))-AVERAGE(OFFSET($H$3,0,0,'Données projet'!$E$9+1,1))</f>
        <v>177.70053246230015</v>
      </c>
      <c r="T128" s="62">
        <f t="shared" si="88"/>
        <v>85.631326020763254</v>
      </c>
      <c r="U128" s="16">
        <f>IF(ISNA(VLOOKUP(A128,'Données projet'!$A$35:$I$55,3,0)),0,VLOOKUP(A128,'Données projet'!$A$35:$I$55,3,0))</f>
        <v>10</v>
      </c>
      <c r="V128" s="16">
        <f>IF(ISNA(VLOOKUP(A128,'Données projet'!$A$35:$I$55,4,0)),0,VLOOKUP(A128,'Données projet'!$A$35:$I$55,4,0))</f>
        <v>23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8.5265128291212022E-14</v>
      </c>
      <c r="AJ128" s="14">
        <f>AI128*VLOOKUP('Données projet'!$B$10,Paramètres!$A$1:$I$89,3,0)*VLOOKUP('Données projet'!$B$10,Paramètres!$A$1:$I$89,5,0)</f>
        <v>7.4487616075202836E-14</v>
      </c>
      <c r="AK128" s="14">
        <f t="shared" si="89"/>
        <v>1.1580453144473142E-12</v>
      </c>
      <c r="AL128" s="22">
        <f t="shared" si="58"/>
        <v>2.1466615206600508E-12</v>
      </c>
      <c r="AM128" s="62">
        <f t="shared" si="59"/>
        <v>293.33333333333547</v>
      </c>
      <c r="AN128" s="62">
        <f ca="1">AVERAGE(OFFSET($AM$3,0,0,'Données projet'!$E$10+1,1))-AVERAGE(OFFSET($H$3,0,0,'Données projet'!$E$10+1,1))</f>
        <v>212.11273590951606</v>
      </c>
      <c r="AO128" s="62">
        <f t="shared" si="90"/>
        <v>240.9595690943346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2.2737367544323206E-13</v>
      </c>
      <c r="BE128" s="14">
        <f>BD128*VLOOKUP('Données projet'!$B$11,Paramètres!$A$1:$I$89,3,0)*VLOOKUP('Données projet'!$B$11,Paramètres!$A$1:$I$89,5,0)</f>
        <v>1.3596945791505279E-13</v>
      </c>
      <c r="BF128" s="14">
        <f t="shared" si="91"/>
        <v>1.9708830566360721E-12</v>
      </c>
      <c r="BG128" s="22">
        <f t="shared" si="61"/>
        <v>3.669434796176543E-12</v>
      </c>
      <c r="BH128" s="62">
        <f t="shared" si="62"/>
        <v>293.33333333333701</v>
      </c>
      <c r="BI128" s="62">
        <f ca="1">AVERAGE(OFFSET($BH$3,0,0,'Données projet'!$E$11+1,1))-AVERAGE(OFFSET($H$3,0,0,'Données projet'!$E$11+1,1))</f>
        <v>172.49153247238672</v>
      </c>
      <c r="BJ128" s="62">
        <f t="shared" si="92"/>
        <v>301.94982606323254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4.3996214516326599</v>
      </c>
      <c r="BQ128" s="23">
        <f>EXP(-LN(2)/25)*BQ127+(1-EXP(-LN(2)/25))/(LN(2)/25)*Calculateur!BL128*Calculateur!BN128*VLOOKUP('Données projet'!$B$11,Paramètres!$A$1:$I$89,3,0)*0.475*44/12</f>
        <v>0.99283555950657021</v>
      </c>
      <c r="BR128" s="23">
        <f>EXP(-LN(2)/2)*BR127+(1-EXP(-LN(2)/2))/(LN(2)/2)*BL128*BO128*VLOOKUP('Données projet'!$B$11,Paramètres!$A$1:$I$89,3,0)*0.475*44/12</f>
        <v>2.9261622785045682E-14</v>
      </c>
      <c r="BS128" s="24">
        <f t="shared" si="63"/>
        <v>5.3924570111392596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3.4106051316484809E-13</v>
      </c>
      <c r="BZ128" s="14">
        <f>BY128*VLOOKUP('Données projet'!$B$12,Paramètres!$A$1:$I$89,3,0)*VLOOKUP('Données projet'!$B$12,Paramètres!$A$1:$I$89,5,0)</f>
        <v>1.9508661353029313E-13</v>
      </c>
      <c r="CA128" s="14">
        <f t="shared" si="93"/>
        <v>2.711421636700695E-12</v>
      </c>
      <c r="CB128" s="22">
        <f t="shared" si="64"/>
        <v>5.0621685358189711E-12</v>
      </c>
      <c r="CC128" s="62">
        <f t="shared" si="65"/>
        <v>293.33333333333837</v>
      </c>
      <c r="CD128" s="62">
        <f ca="1">AVERAGE(OFFSET($CC$3,0,0,'Données projet'!$E$12+1,1))-AVERAGE(OFFSET($H$3,0,0,'Données projet'!$E$12+1,1))</f>
        <v>177.71338645688661</v>
      </c>
      <c r="CE128" s="62">
        <f t="shared" si="94"/>
        <v>153.65872713651345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0.12754246567340982</v>
      </c>
      <c r="CM128" s="23">
        <f>EXP(-LN(2)/2)*CM127+(1-EXP(-LN(2)/2))/(LN(2)/2)*CG128*CJ128*VLOOKUP('Données projet'!$B$12,Paramètres!$A$1:$I$89,3,0)*0.475*44/12</f>
        <v>3.4513025727197386E-15</v>
      </c>
      <c r="CN128" s="24">
        <f t="shared" si="66"/>
        <v>0.12754246567341326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-7.4487616075202823E-14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118.65321241325523</v>
      </c>
      <c r="CZ128" s="62">
        <f t="shared" si="96"/>
        <v>140.55041555757327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301</v>
      </c>
      <c r="DM128" s="13">
        <f>VLOOKUP(A128,'Données projet'!$A$165:$I$185,9,0)</f>
        <v>3.4</v>
      </c>
      <c r="DN128" s="13">
        <f t="array" ref="DN128">INDEX(DM:DM,MIN(IF(ISNUMBER(DM128:DM324),ROW(DM128:DM324),"")))</f>
        <v>3.4</v>
      </c>
      <c r="DO128" s="13">
        <f>IF('Données projet'!$A$166&gt;35,DO127+DN128-DW127,IF(A128&lt;'Données projet'!$A$166,$DL$205^A128,IF(A128='Données projet'!$A$166,'Données projet'!$B$166,DO127+DN128-DW127)))</f>
        <v>300.99999999999932</v>
      </c>
      <c r="DP128" s="18">
        <f>DO128*VLOOKUP('Données projet'!$B$14,Paramètres!$A$1:$I$89,3,0)*VLOOKUP('Données projet'!$B$14,Paramètres!$A$1:$I$89,5,0)</f>
        <v>305.21399999999932</v>
      </c>
      <c r="DQ128" s="14">
        <f t="shared" si="97"/>
        <v>72.268419591231137</v>
      </c>
      <c r="DR128" s="22">
        <f t="shared" si="70"/>
        <v>657.44854745472628</v>
      </c>
      <c r="DS128" s="62">
        <f t="shared" si="71"/>
        <v>950.78188078805965</v>
      </c>
      <c r="DT128" s="62">
        <f ca="1">AVERAGE(OFFSET($DS$3,0,0,'Données projet'!$E$14+1,1))-AVERAGE(OFFSET($H$3,0,0,'Données projet'!$E$14+1,1))</f>
        <v>328.70784159273131</v>
      </c>
      <c r="DU128" s="62">
        <f t="shared" si="98"/>
        <v>193.18009444354601</v>
      </c>
      <c r="DV128" s="16">
        <f>IF(ISNA(VLOOKUP(A128,'Données projet'!$A$165:$I$185,3,0)),0,VLOOKUP(A128,'Données projet'!$A$165:$I$185,3,0))</f>
        <v>11</v>
      </c>
      <c r="DW128" s="16">
        <f>IF(ISNA(VLOOKUP(A128,'Données projet'!$A$165:$I$185,4,0)),0,VLOOKUP(A128,'Données projet'!$A$165:$I$185,4,0))</f>
        <v>33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2</v>
      </c>
      <c r="N129" s="14">
        <f>IF('Données projet'!$A$36&gt;35,N128+M129-V128,IF(A129&lt;'Données projet'!$A$36,$K$205^A129,IF(A129='Données projet'!$A$36,'Données projet'!$B$36,N128+M129-V128)))</f>
        <v>211.00000000000011</v>
      </c>
      <c r="O129" s="14">
        <f>N129*VLOOKUP('Données projet'!$B$9,Paramètres!$A$1:$I$89,3,0)*VLOOKUP('Données projet'!$B$9,Paramètres!$A$1:$I$89,5,0)</f>
        <v>190.91280000000009</v>
      </c>
      <c r="P129" s="14">
        <f t="shared" si="87"/>
        <v>47.741703645431649</v>
      </c>
      <c r="Q129" s="22">
        <f t="shared" si="107"/>
        <v>415.65659384912692</v>
      </c>
      <c r="R129" s="62">
        <f t="shared" si="55"/>
        <v>708.98992718246018</v>
      </c>
      <c r="S129" s="62">
        <f ca="1">AVERAGE(OFFSET($R$3,0,0,'Données projet'!$E$9+1,1))-AVERAGE(OFFSET($H$3,0,0,'Données projet'!$E$9+1,1))</f>
        <v>177.70053246230015</v>
      </c>
      <c r="T129" s="62">
        <f t="shared" si="88"/>
        <v>85.631326020763254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8.5265128291212022E-14</v>
      </c>
      <c r="AJ129" s="14">
        <f>AI129*VLOOKUP('Données projet'!$B$10,Paramètres!$A$1:$I$89,3,0)*VLOOKUP('Données projet'!$B$10,Paramètres!$A$1:$I$89,5,0)</f>
        <v>7.4487616075202836E-14</v>
      </c>
      <c r="AK129" s="14">
        <f t="shared" si="89"/>
        <v>1.1580453144473142E-12</v>
      </c>
      <c r="AL129" s="22">
        <f t="shared" si="58"/>
        <v>2.1466615206600508E-12</v>
      </c>
      <c r="AM129" s="62">
        <f t="shared" si="59"/>
        <v>293.33333333333547</v>
      </c>
      <c r="AN129" s="62">
        <f ca="1">AVERAGE(OFFSET($AM$3,0,0,'Données projet'!$E$10+1,1))-AVERAGE(OFFSET($H$3,0,0,'Données projet'!$E$10+1,1))</f>
        <v>212.11273590951606</v>
      </c>
      <c r="AO129" s="62">
        <f t="shared" si="90"/>
        <v>240.9595690943346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2.2737367544323206E-13</v>
      </c>
      <c r="BE129" s="14">
        <f>BD129*VLOOKUP('Données projet'!$B$11,Paramètres!$A$1:$I$89,3,0)*VLOOKUP('Données projet'!$B$11,Paramètres!$A$1:$I$89,5,0)</f>
        <v>1.3596945791505279E-13</v>
      </c>
      <c r="BF129" s="14">
        <f t="shared" si="91"/>
        <v>1.9708830566360721E-12</v>
      </c>
      <c r="BG129" s="22">
        <f t="shared" si="61"/>
        <v>3.669434796176543E-12</v>
      </c>
      <c r="BH129" s="62">
        <f t="shared" si="62"/>
        <v>293.33333333333701</v>
      </c>
      <c r="BI129" s="62">
        <f ca="1">AVERAGE(OFFSET($BH$3,0,0,'Données projet'!$E$11+1,1))-AVERAGE(OFFSET($H$3,0,0,'Données projet'!$E$11+1,1))</f>
        <v>172.49153247238672</v>
      </c>
      <c r="BJ129" s="62">
        <f t="shared" si="92"/>
        <v>301.94982606323254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4.3133475584702552</v>
      </c>
      <c r="BQ129" s="23">
        <f>EXP(-LN(2)/25)*BQ128+(1-EXP(-LN(2)/25))/(LN(2)/25)*Calculateur!BL129*Calculateur!BN129*VLOOKUP('Données projet'!$B$11,Paramètres!$A$1:$I$89,3,0)*0.475*44/12</f>
        <v>0.96568641892091012</v>
      </c>
      <c r="BR129" s="23">
        <f>EXP(-LN(2)/2)*BR128+(1-EXP(-LN(2)/2))/(LN(2)/2)*BL129*BO129*VLOOKUP('Données projet'!$B$11,Paramètres!$A$1:$I$89,3,0)*0.475*44/12</f>
        <v>2.069109189982859E-14</v>
      </c>
      <c r="BS129" s="24">
        <f t="shared" si="63"/>
        <v>5.2790339773911859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3.4106051316484809E-13</v>
      </c>
      <c r="BZ129" s="14">
        <f>BY129*VLOOKUP('Données projet'!$B$12,Paramètres!$A$1:$I$89,3,0)*VLOOKUP('Données projet'!$B$12,Paramètres!$A$1:$I$89,5,0)</f>
        <v>1.9508661353029313E-13</v>
      </c>
      <c r="CA129" s="14">
        <f t="shared" si="93"/>
        <v>2.711421636700695E-12</v>
      </c>
      <c r="CB129" s="22">
        <f t="shared" si="64"/>
        <v>5.0621685358189711E-12</v>
      </c>
      <c r="CC129" s="62">
        <f t="shared" si="65"/>
        <v>293.33333333333837</v>
      </c>
      <c r="CD129" s="62">
        <f ca="1">AVERAGE(OFFSET($CC$3,0,0,'Données projet'!$E$12+1,1))-AVERAGE(OFFSET($H$3,0,0,'Données projet'!$E$12+1,1))</f>
        <v>177.71338645688661</v>
      </c>
      <c r="CE129" s="62">
        <f t="shared" si="94"/>
        <v>153.65872713651345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0.12405481024240367</v>
      </c>
      <c r="CM129" s="23">
        <f>EXP(-LN(2)/2)*CM128+(1-EXP(-LN(2)/2))/(LN(2)/2)*CG129*CJ129*VLOOKUP('Données projet'!$B$12,Paramètres!$A$1:$I$89,3,0)*0.475*44/12</f>
        <v>2.440439453096705E-15</v>
      </c>
      <c r="CN129" s="24">
        <f t="shared" si="66"/>
        <v>0.12405481024240611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-7.4487616075202823E-14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118.65321241325523</v>
      </c>
      <c r="CZ129" s="62">
        <f t="shared" si="96"/>
        <v>140.55041555757327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</v>
      </c>
      <c r="DO129" s="13">
        <f>IF('Données projet'!$A$166&gt;35,DO128+DN129-DW128,IF(A129&lt;'Données projet'!$A$166,$DL$205^A129,IF(A129='Données projet'!$A$166,'Données projet'!$B$166,DO128+DN129-DW128)))</f>
        <v>270.99999999999932</v>
      </c>
      <c r="DP129" s="18">
        <f>DO129*VLOOKUP('Données projet'!$B$14,Paramètres!$A$1:$I$89,3,0)*VLOOKUP('Données projet'!$B$14,Paramètres!$A$1:$I$89,5,0)</f>
        <v>274.7939999999993</v>
      </c>
      <c r="DQ129" s="14">
        <f t="shared" si="97"/>
        <v>65.865632600455356</v>
      </c>
      <c r="DR129" s="22">
        <f t="shared" si="70"/>
        <v>593.31552677912521</v>
      </c>
      <c r="DS129" s="62">
        <f t="shared" si="71"/>
        <v>886.64886011245858</v>
      </c>
      <c r="DT129" s="62">
        <f ca="1">AVERAGE(OFFSET($DS$3,0,0,'Données projet'!$E$14+1,1))-AVERAGE(OFFSET($H$3,0,0,'Données projet'!$E$14+1,1))</f>
        <v>328.70784159273131</v>
      </c>
      <c r="DU129" s="62">
        <f t="shared" si="98"/>
        <v>193.18009444354601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2</v>
      </c>
      <c r="N130" s="14">
        <f>IF('Données projet'!$A$36&gt;35,N129+M130-V129,IF(A130&lt;'Données projet'!$A$36,$K$205^A130,IF(A130='Données projet'!$A$36,'Données projet'!$B$36,N129+M130-V129)))</f>
        <v>213.00000000000011</v>
      </c>
      <c r="O130" s="14">
        <f>N130*VLOOKUP('Données projet'!$B$9,Paramètres!$A$1:$I$89,3,0)*VLOOKUP('Données projet'!$B$9,Paramètres!$A$1:$I$89,5,0)</f>
        <v>192.72240000000011</v>
      </c>
      <c r="P130" s="14">
        <f t="shared" si="87"/>
        <v>48.141337574630874</v>
      </c>
      <c r="Q130" s="22">
        <f t="shared" si="107"/>
        <v>419.50434294248231</v>
      </c>
      <c r="R130" s="62">
        <f t="shared" si="55"/>
        <v>712.83767627581562</v>
      </c>
      <c r="S130" s="62">
        <f ca="1">AVERAGE(OFFSET($R$3,0,0,'Données projet'!$E$9+1,1))-AVERAGE(OFFSET($H$3,0,0,'Données projet'!$E$9+1,1))</f>
        <v>177.70053246230015</v>
      </c>
      <c r="T130" s="62">
        <f t="shared" si="88"/>
        <v>85.631326020763254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8.5265128291212022E-14</v>
      </c>
      <c r="AJ130" s="14">
        <f>AI130*VLOOKUP('Données projet'!$B$10,Paramètres!$A$1:$I$89,3,0)*VLOOKUP('Données projet'!$B$10,Paramètres!$A$1:$I$89,5,0)</f>
        <v>7.4487616075202836E-14</v>
      </c>
      <c r="AK130" s="14">
        <f t="shared" si="89"/>
        <v>1.1580453144473142E-12</v>
      </c>
      <c r="AL130" s="22">
        <f t="shared" si="58"/>
        <v>2.1466615206600508E-12</v>
      </c>
      <c r="AM130" s="62">
        <f t="shared" si="59"/>
        <v>293.33333333333547</v>
      </c>
      <c r="AN130" s="62">
        <f ca="1">AVERAGE(OFFSET($AM$3,0,0,'Données projet'!$E$10+1,1))-AVERAGE(OFFSET($H$3,0,0,'Données projet'!$E$10+1,1))</f>
        <v>212.11273590951606</v>
      </c>
      <c r="AO130" s="62">
        <f t="shared" si="90"/>
        <v>240.9595690943346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2.2737367544323206E-13</v>
      </c>
      <c r="BE130" s="14">
        <f>BD130*VLOOKUP('Données projet'!$B$11,Paramètres!$A$1:$I$89,3,0)*VLOOKUP('Données projet'!$B$11,Paramètres!$A$1:$I$89,5,0)</f>
        <v>1.3596945791505279E-13</v>
      </c>
      <c r="BF130" s="14">
        <f t="shared" si="91"/>
        <v>1.9708830566360721E-12</v>
      </c>
      <c r="BG130" s="22">
        <f t="shared" si="61"/>
        <v>3.669434796176543E-12</v>
      </c>
      <c r="BH130" s="62">
        <f t="shared" si="62"/>
        <v>293.33333333333701</v>
      </c>
      <c r="BI130" s="62">
        <f ca="1">AVERAGE(OFFSET($BH$3,0,0,'Données projet'!$E$11+1,1))-AVERAGE(OFFSET($H$3,0,0,'Données projet'!$E$11+1,1))</f>
        <v>172.49153247238672</v>
      </c>
      <c r="BJ130" s="62">
        <f t="shared" si="92"/>
        <v>301.94982606323254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4.2287654437308859</v>
      </c>
      <c r="BQ130" s="23">
        <f>EXP(-LN(2)/25)*BQ129+(1-EXP(-LN(2)/25))/(LN(2)/25)*Calculateur!BL130*Calculateur!BN130*VLOOKUP('Données projet'!$B$11,Paramètres!$A$1:$I$89,3,0)*0.475*44/12</f>
        <v>0.93927967301227622</v>
      </c>
      <c r="BR130" s="23">
        <f>EXP(-LN(2)/2)*BR129+(1-EXP(-LN(2)/2))/(LN(2)/2)*BL130*BO130*VLOOKUP('Données projet'!$B$11,Paramètres!$A$1:$I$89,3,0)*0.475*44/12</f>
        <v>1.4630811392522841E-14</v>
      </c>
      <c r="BS130" s="24">
        <f t="shared" si="63"/>
        <v>5.1680451167431762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3.4106051316484809E-13</v>
      </c>
      <c r="BZ130" s="14">
        <f>BY130*VLOOKUP('Données projet'!$B$12,Paramètres!$A$1:$I$89,3,0)*VLOOKUP('Données projet'!$B$12,Paramètres!$A$1:$I$89,5,0)</f>
        <v>1.9508661353029313E-13</v>
      </c>
      <c r="CA130" s="14">
        <f t="shared" si="93"/>
        <v>2.711421636700695E-12</v>
      </c>
      <c r="CB130" s="22">
        <f t="shared" si="64"/>
        <v>5.0621685358189711E-12</v>
      </c>
      <c r="CC130" s="62">
        <f t="shared" si="65"/>
        <v>293.33333333333837</v>
      </c>
      <c r="CD130" s="62">
        <f ca="1">AVERAGE(OFFSET($CC$3,0,0,'Données projet'!$E$12+1,1))-AVERAGE(OFFSET($H$3,0,0,'Données projet'!$E$12+1,1))</f>
        <v>177.71338645688661</v>
      </c>
      <c r="CE130" s="62">
        <f t="shared" si="94"/>
        <v>153.65872713651345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0.1206625249325662</v>
      </c>
      <c r="CM130" s="23">
        <f>EXP(-LN(2)/2)*CM129+(1-EXP(-LN(2)/2))/(LN(2)/2)*CG130*CJ130*VLOOKUP('Données projet'!$B$12,Paramètres!$A$1:$I$89,3,0)*0.475*44/12</f>
        <v>1.7256512863598697E-15</v>
      </c>
      <c r="CN130" s="24">
        <f t="shared" si="66"/>
        <v>0.12066252493256792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-7.4487616075202823E-14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118.65321241325523</v>
      </c>
      <c r="CZ130" s="62">
        <f t="shared" si="96"/>
        <v>140.55041555757327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</v>
      </c>
      <c r="DO130" s="13">
        <f>IF('Données projet'!$A$166&gt;35,DO129+DN130-DW129,IF(A130&lt;'Données projet'!$A$166,$DL$205^A130,IF(A130='Données projet'!$A$166,'Données projet'!$B$166,DO129+DN130-DW129)))</f>
        <v>273.99999999999932</v>
      </c>
      <c r="DP130" s="18">
        <f>DO130*VLOOKUP('Données projet'!$B$14,Paramètres!$A$1:$I$89,3,0)*VLOOKUP('Données projet'!$B$14,Paramètres!$A$1:$I$89,5,0)</f>
        <v>277.83599999999933</v>
      </c>
      <c r="DQ130" s="14">
        <f t="shared" si="97"/>
        <v>66.509487177652147</v>
      </c>
      <c r="DR130" s="22">
        <f t="shared" si="70"/>
        <v>599.73505683440965</v>
      </c>
      <c r="DS130" s="62">
        <f t="shared" si="71"/>
        <v>893.06839016774302</v>
      </c>
      <c r="DT130" s="62">
        <f ca="1">AVERAGE(OFFSET($DS$3,0,0,'Données projet'!$E$14+1,1))-AVERAGE(OFFSET($H$3,0,0,'Données projet'!$E$14+1,1))</f>
        <v>328.70784159273131</v>
      </c>
      <c r="DU130" s="62">
        <f t="shared" si="98"/>
        <v>193.18009444354601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2</v>
      </c>
      <c r="N131" s="14">
        <f>IF('Données projet'!$A$36&gt;35,N130+M131-V130,IF(A131&lt;'Données projet'!$A$36,$K$205^A131,IF(A131='Données projet'!$A$36,'Données projet'!$B$36,N130+M131-V130)))</f>
        <v>215.00000000000011</v>
      </c>
      <c r="O131" s="14">
        <f>N131*VLOOKUP('Données projet'!$B$9,Paramètres!$A$1:$I$89,3,0)*VLOOKUP('Données projet'!$B$9,Paramètres!$A$1:$I$89,5,0)</f>
        <v>194.5320000000001</v>
      </c>
      <c r="P131" s="14">
        <f t="shared" si="87"/>
        <v>48.540534952652621</v>
      </c>
      <c r="Q131" s="22">
        <f t="shared" ref="Q131:Q153" si="108">(O131+P131)*0.475*44/12</f>
        <v>423.35133170920352</v>
      </c>
      <c r="R131" s="62">
        <f t="shared" ref="R131:R194" si="109">Q131+(I131+J131)*44/12</f>
        <v>716.68466504253684</v>
      </c>
      <c r="S131" s="62">
        <f ca="1">AVERAGE(OFFSET($R$3,0,0,'Données projet'!$E$9+1,1))-AVERAGE(OFFSET($H$3,0,0,'Données projet'!$E$9+1,1))</f>
        <v>177.70053246230015</v>
      </c>
      <c r="T131" s="62">
        <f t="shared" si="88"/>
        <v>85.631326020763254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8.5265128291212022E-14</v>
      </c>
      <c r="AJ131" s="14">
        <f>AI131*VLOOKUP('Données projet'!$B$10,Paramètres!$A$1:$I$89,3,0)*VLOOKUP('Données projet'!$B$10,Paramètres!$A$1:$I$89,5,0)</f>
        <v>7.4487616075202836E-14</v>
      </c>
      <c r="AK131" s="14">
        <f t="shared" si="89"/>
        <v>1.1580453144473142E-12</v>
      </c>
      <c r="AL131" s="22">
        <f t="shared" si="58"/>
        <v>2.1466615206600508E-12</v>
      </c>
      <c r="AM131" s="62">
        <f t="shared" si="59"/>
        <v>293.33333333333547</v>
      </c>
      <c r="AN131" s="62">
        <f ca="1">AVERAGE(OFFSET($AM$3,0,0,'Données projet'!$E$10+1,1))-AVERAGE(OFFSET($H$3,0,0,'Données projet'!$E$10+1,1))</f>
        <v>212.11273590951606</v>
      </c>
      <c r="AO131" s="62">
        <f t="shared" si="90"/>
        <v>240.9595690943346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2.2737367544323206E-13</v>
      </c>
      <c r="BE131" s="14">
        <f>BD131*VLOOKUP('Données projet'!$B$11,Paramètres!$A$1:$I$89,3,0)*VLOOKUP('Données projet'!$B$11,Paramètres!$A$1:$I$89,5,0)</f>
        <v>1.3596945791505279E-13</v>
      </c>
      <c r="BF131" s="14">
        <f t="shared" si="91"/>
        <v>1.9708830566360721E-12</v>
      </c>
      <c r="BG131" s="22">
        <f t="shared" si="61"/>
        <v>3.669434796176543E-12</v>
      </c>
      <c r="BH131" s="62">
        <f t="shared" si="62"/>
        <v>293.33333333333701</v>
      </c>
      <c r="BI131" s="62">
        <f ca="1">AVERAGE(OFFSET($BH$3,0,0,'Données projet'!$E$11+1,1))-AVERAGE(OFFSET($H$3,0,0,'Données projet'!$E$11+1,1))</f>
        <v>172.49153247238672</v>
      </c>
      <c r="BJ131" s="62">
        <f t="shared" si="92"/>
        <v>301.94982606323254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4.1458419326715603</v>
      </c>
      <c r="BQ131" s="23">
        <f>EXP(-LN(2)/25)*BQ130+(1-EXP(-LN(2)/25))/(LN(2)/25)*Calculateur!BL131*Calculateur!BN131*VLOOKUP('Données projet'!$B$11,Paramètres!$A$1:$I$89,3,0)*0.475*44/12</f>
        <v>0.91359502095918432</v>
      </c>
      <c r="BR131" s="23">
        <f>EXP(-LN(2)/2)*BR130+(1-EXP(-LN(2)/2))/(LN(2)/2)*BL131*BO131*VLOOKUP('Données projet'!$B$11,Paramètres!$A$1:$I$89,3,0)*0.475*44/12</f>
        <v>1.0345545949914295E-14</v>
      </c>
      <c r="BS131" s="24">
        <f t="shared" si="63"/>
        <v>5.0594369536307555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3.4106051316484809E-13</v>
      </c>
      <c r="BZ131" s="14">
        <f>BY131*VLOOKUP('Données projet'!$B$12,Paramètres!$A$1:$I$89,3,0)*VLOOKUP('Données projet'!$B$12,Paramètres!$A$1:$I$89,5,0)</f>
        <v>1.9508661353029313E-13</v>
      </c>
      <c r="CA131" s="14">
        <f t="shared" si="93"/>
        <v>2.711421636700695E-12</v>
      </c>
      <c r="CB131" s="22">
        <f t="shared" si="64"/>
        <v>5.0621685358189711E-12</v>
      </c>
      <c r="CC131" s="62">
        <f t="shared" si="65"/>
        <v>293.33333333333837</v>
      </c>
      <c r="CD131" s="62">
        <f ca="1">AVERAGE(OFFSET($CC$3,0,0,'Données projet'!$E$12+1,1))-AVERAGE(OFFSET($H$3,0,0,'Données projet'!$E$12+1,1))</f>
        <v>177.71338645688661</v>
      </c>
      <c r="CE131" s="62">
        <f t="shared" si="94"/>
        <v>153.65872713651345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0.11736300184291877</v>
      </c>
      <c r="CM131" s="23">
        <f>EXP(-LN(2)/2)*CM130+(1-EXP(-LN(2)/2))/(LN(2)/2)*CG131*CJ131*VLOOKUP('Données projet'!$B$12,Paramètres!$A$1:$I$89,3,0)*0.475*44/12</f>
        <v>1.2202197265483527E-15</v>
      </c>
      <c r="CN131" s="24">
        <f t="shared" si="66"/>
        <v>0.11736300184291999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-7.4487616075202823E-14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118.65321241325523</v>
      </c>
      <c r="CZ131" s="62">
        <f t="shared" si="96"/>
        <v>140.55041555757327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</v>
      </c>
      <c r="DO131" s="13">
        <f>IF('Données projet'!$A$166&gt;35,DO130+DN131-DW130,IF(A131&lt;'Données projet'!$A$166,$DL$205^A131,IF(A131='Données projet'!$A$166,'Données projet'!$B$166,DO130+DN131-DW130)))</f>
        <v>276.99999999999932</v>
      </c>
      <c r="DP131" s="18">
        <f>DO131*VLOOKUP('Données projet'!$B$14,Paramètres!$A$1:$I$89,3,0)*VLOOKUP('Données projet'!$B$14,Paramètres!$A$1:$I$89,5,0)</f>
        <v>280.8779999999993</v>
      </c>
      <c r="DQ131" s="14">
        <f t="shared" si="97"/>
        <v>67.152521698072178</v>
      </c>
      <c r="DR131" s="22">
        <f t="shared" si="70"/>
        <v>606.15315862414116</v>
      </c>
      <c r="DS131" s="62">
        <f t="shared" si="71"/>
        <v>899.48649195747453</v>
      </c>
      <c r="DT131" s="62">
        <f ca="1">AVERAGE(OFFSET($DS$3,0,0,'Données projet'!$E$14+1,1))-AVERAGE(OFFSET($H$3,0,0,'Données projet'!$E$14+1,1))</f>
        <v>328.70784159273131</v>
      </c>
      <c r="DU131" s="62">
        <f t="shared" si="98"/>
        <v>193.18009444354601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2</v>
      </c>
      <c r="N132" s="14">
        <f>IF('Données projet'!$A$36&gt;35,N131+M132-V131,IF(A132&lt;'Données projet'!$A$36,$K$205^A132,IF(A132='Données projet'!$A$36,'Données projet'!$B$36,N131+M132-V131)))</f>
        <v>217.00000000000011</v>
      </c>
      <c r="O132" s="14">
        <f>N132*VLOOKUP('Données projet'!$B$9,Paramètres!$A$1:$I$89,3,0)*VLOOKUP('Données projet'!$B$9,Paramètres!$A$1:$I$89,5,0)</f>
        <v>196.34160000000008</v>
      </c>
      <c r="P132" s="14">
        <f t="shared" si="87"/>
        <v>48.939300310809159</v>
      </c>
      <c r="Q132" s="22">
        <f t="shared" si="108"/>
        <v>427.19756804132612</v>
      </c>
      <c r="R132" s="62">
        <f t="shared" si="109"/>
        <v>720.53090137465938</v>
      </c>
      <c r="S132" s="62">
        <f ca="1">AVERAGE(OFFSET($R$3,0,0,'Données projet'!$E$9+1,1))-AVERAGE(OFFSET($H$3,0,0,'Données projet'!$E$9+1,1))</f>
        <v>177.70053246230015</v>
      </c>
      <c r="T132" s="62">
        <f t="shared" si="88"/>
        <v>85.631326020763254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8.5265128291212022E-14</v>
      </c>
      <c r="AJ132" s="14">
        <f>AI132*VLOOKUP('Données projet'!$B$10,Paramètres!$A$1:$I$89,3,0)*VLOOKUP('Données projet'!$B$10,Paramètres!$A$1:$I$89,5,0)</f>
        <v>7.4487616075202836E-14</v>
      </c>
      <c r="AK132" s="14">
        <f t="shared" si="89"/>
        <v>1.1580453144473142E-12</v>
      </c>
      <c r="AL132" s="22">
        <f t="shared" ref="AL132:AL153" si="112">(AJ132+AK132)*0.475*44/12</f>
        <v>2.1466615206600508E-12</v>
      </c>
      <c r="AM132" s="62">
        <f t="shared" ref="AM132:AM195" si="113">AL132+(AD132+AE132)*44/12</f>
        <v>293.33333333333547</v>
      </c>
      <c r="AN132" s="62">
        <f ca="1">AVERAGE(OFFSET($AM$3,0,0,'Données projet'!$E$10+1,1))-AVERAGE(OFFSET($H$3,0,0,'Données projet'!$E$10+1,1))</f>
        <v>212.11273590951606</v>
      </c>
      <c r="AO132" s="62">
        <f t="shared" si="90"/>
        <v>240.9595690943346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2.2737367544323206E-13</v>
      </c>
      <c r="BE132" s="14">
        <f>BD132*VLOOKUP('Données projet'!$B$11,Paramètres!$A$1:$I$89,3,0)*VLOOKUP('Données projet'!$B$11,Paramètres!$A$1:$I$89,5,0)</f>
        <v>1.3596945791505279E-13</v>
      </c>
      <c r="BF132" s="14">
        <f t="shared" si="91"/>
        <v>1.9708830566360721E-12</v>
      </c>
      <c r="BG132" s="22">
        <f t="shared" ref="BG132:BG153" si="115">(BE132+BF132)*0.475*44/12</f>
        <v>3.669434796176543E-12</v>
      </c>
      <c r="BH132" s="62">
        <f t="shared" ref="BH132:BH195" si="116">BG132+(AY132+AZ132)*44/12</f>
        <v>293.33333333333701</v>
      </c>
      <c r="BI132" s="62">
        <f ca="1">AVERAGE(OFFSET($BH$3,0,0,'Données projet'!$E$11+1,1))-AVERAGE(OFFSET($H$3,0,0,'Données projet'!$E$11+1,1))</f>
        <v>172.49153247238672</v>
      </c>
      <c r="BJ132" s="62">
        <f t="shared" si="92"/>
        <v>301.94982606323254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4.0645445010857602</v>
      </c>
      <c r="BQ132" s="23">
        <f>EXP(-LN(2)/25)*BQ131+(1-EXP(-LN(2)/25))/(LN(2)/25)*Calculateur!BL132*Calculateur!BN132*VLOOKUP('Données projet'!$B$11,Paramètres!$A$1:$I$89,3,0)*0.475*44/12</f>
        <v>0.88861271706718137</v>
      </c>
      <c r="BR132" s="23">
        <f>EXP(-LN(2)/2)*BR131+(1-EXP(-LN(2)/2))/(LN(2)/2)*BL132*BO132*VLOOKUP('Données projet'!$B$11,Paramètres!$A$1:$I$89,3,0)*0.475*44/12</f>
        <v>7.3154056962614204E-15</v>
      </c>
      <c r="BS132" s="24">
        <f t="shared" ref="BS132:BS153" si="117">SUM(BP132:BR132)</f>
        <v>4.9531572181529491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3.4106051316484809E-13</v>
      </c>
      <c r="BZ132" s="14">
        <f>BY132*VLOOKUP('Données projet'!$B$12,Paramètres!$A$1:$I$89,3,0)*VLOOKUP('Données projet'!$B$12,Paramètres!$A$1:$I$89,5,0)</f>
        <v>1.9508661353029313E-13</v>
      </c>
      <c r="CA132" s="14">
        <f t="shared" si="93"/>
        <v>2.711421636700695E-12</v>
      </c>
      <c r="CB132" s="22">
        <f t="shared" ref="CB132:CB153" si="118">(BZ132+CA132)*0.475*44/12</f>
        <v>5.0621685358189711E-12</v>
      </c>
      <c r="CC132" s="62">
        <f t="shared" ref="CC132:CC195" si="119">CB132+(BT132+BU132)*44/12</f>
        <v>293.33333333333837</v>
      </c>
      <c r="CD132" s="62">
        <f ca="1">AVERAGE(OFFSET($CC$3,0,0,'Données projet'!$E$12+1,1))-AVERAGE(OFFSET($H$3,0,0,'Données projet'!$E$12+1,1))</f>
        <v>177.71338645688661</v>
      </c>
      <c r="CE132" s="62">
        <f t="shared" si="94"/>
        <v>153.65872713651345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0.11415370438567213</v>
      </c>
      <c r="CM132" s="23">
        <f>EXP(-LN(2)/2)*CM131+(1-EXP(-LN(2)/2))/(LN(2)/2)*CG132*CJ132*VLOOKUP('Données projet'!$B$12,Paramètres!$A$1:$I$89,3,0)*0.475*44/12</f>
        <v>8.6282564317993495E-16</v>
      </c>
      <c r="CN132" s="24">
        <f t="shared" ref="CN132:CN153" si="120">SUM(CK132:CM132)</f>
        <v>0.11415370438567299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-7.4487616075202823E-14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118.65321241325523</v>
      </c>
      <c r="CZ132" s="62">
        <f t="shared" si="96"/>
        <v>140.55041555757327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</v>
      </c>
      <c r="DO132" s="13">
        <f>IF('Données projet'!$A$166&gt;35,DO131+DN132-DW131,IF(A132&lt;'Données projet'!$A$166,$DL$205^A132,IF(A132='Données projet'!$A$166,'Données projet'!$B$166,DO131+DN132-DW131)))</f>
        <v>279.99999999999932</v>
      </c>
      <c r="DP132" s="18">
        <f>DO132*VLOOKUP('Données projet'!$B$14,Paramètres!$A$1:$I$89,3,0)*VLOOKUP('Données projet'!$B$14,Paramètres!$A$1:$I$89,5,0)</f>
        <v>283.91999999999933</v>
      </c>
      <c r="DQ132" s="14">
        <f t="shared" si="97"/>
        <v>67.794746071143507</v>
      </c>
      <c r="DR132" s="22">
        <f t="shared" ref="DR132:DR153" si="124">(DP132+DQ132)*0.475*44/12</f>
        <v>612.56984940724044</v>
      </c>
      <c r="DS132" s="62">
        <f t="shared" ref="DS132:DS195" si="125">DR132+(DJ132+DK132)*44/12</f>
        <v>905.90318274057381</v>
      </c>
      <c r="DT132" s="62">
        <f ca="1">AVERAGE(OFFSET($DS$3,0,0,'Données projet'!$E$14+1,1))-AVERAGE(OFFSET($H$3,0,0,'Données projet'!$E$14+1,1))</f>
        <v>328.70784159273131</v>
      </c>
      <c r="DU132" s="62">
        <f t="shared" si="98"/>
        <v>193.18009444354601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2</v>
      </c>
      <c r="N133" s="14">
        <f>IF('Données projet'!$A$36&gt;35,N132+M133-V132,IF(A133&lt;'Données projet'!$A$36,$K$205^A133,IF(A133='Données projet'!$A$36,'Données projet'!$B$36,N132+M133-V132)))</f>
        <v>219.00000000000011</v>
      </c>
      <c r="O133" s="14">
        <f>N133*VLOOKUP('Données projet'!$B$9,Paramètres!$A$1:$I$89,3,0)*VLOOKUP('Données projet'!$B$9,Paramètres!$A$1:$I$89,5,0)</f>
        <v>198.1512000000001</v>
      </c>
      <c r="P133" s="14">
        <f t="shared" ref="P133:P196" si="141">EXP(-1.0587+0.8836*LN(O133)+0.284)</f>
        <v>49.337638092068957</v>
      </c>
      <c r="Q133" s="22">
        <f t="shared" si="108"/>
        <v>431.04305967702021</v>
      </c>
      <c r="R133" s="62">
        <f t="shared" si="109"/>
        <v>724.37639301035347</v>
      </c>
      <c r="S133" s="62">
        <f ca="1">AVERAGE(OFFSET($R$3,0,0,'Données projet'!$E$9+1,1))-AVERAGE(OFFSET($H$3,0,0,'Données projet'!$E$9+1,1))</f>
        <v>177.70053246230015</v>
      </c>
      <c r="T133" s="62">
        <f t="shared" ref="T133:T196" si="142">$T$3</f>
        <v>85.631326020763254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8.5265128291212022E-14</v>
      </c>
      <c r="AJ133" s="14">
        <f>AI133*VLOOKUP('Données projet'!$B$10,Paramètres!$A$1:$I$89,3,0)*VLOOKUP('Données projet'!$B$10,Paramètres!$A$1:$I$89,5,0)</f>
        <v>7.4487616075202836E-14</v>
      </c>
      <c r="AK133" s="14">
        <f t="shared" ref="AK133:AK153" si="143">EXP(-1.0587+0.8836*LN(AJ133)+0.284)</f>
        <v>1.1580453144473142E-12</v>
      </c>
      <c r="AL133" s="22">
        <f t="shared" si="112"/>
        <v>2.1466615206600508E-12</v>
      </c>
      <c r="AM133" s="62">
        <f t="shared" si="113"/>
        <v>293.33333333333547</v>
      </c>
      <c r="AN133" s="62">
        <f ca="1">AVERAGE(OFFSET($AM$3,0,0,'Données projet'!$E$10+1,1))-AVERAGE(OFFSET($H$3,0,0,'Données projet'!$E$10+1,1))</f>
        <v>212.11273590951606</v>
      </c>
      <c r="AO133" s="62">
        <f t="shared" ref="AO133:AO196" si="144">$AO$3</f>
        <v>240.9595690943346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2.2737367544323206E-13</v>
      </c>
      <c r="BE133" s="14">
        <f>BD133*VLOOKUP('Données projet'!$B$11,Paramètres!$A$1:$I$89,3,0)*VLOOKUP('Données projet'!$B$11,Paramètres!$A$1:$I$89,5,0)</f>
        <v>1.3596945791505279E-13</v>
      </c>
      <c r="BF133" s="14">
        <f t="shared" ref="BF133:BF153" si="145">EXP(-1.0587+0.8836*LN(BE133)+0.284)</f>
        <v>1.9708830566360721E-12</v>
      </c>
      <c r="BG133" s="22">
        <f t="shared" si="115"/>
        <v>3.669434796176543E-12</v>
      </c>
      <c r="BH133" s="62">
        <f t="shared" si="116"/>
        <v>293.33333333333701</v>
      </c>
      <c r="BI133" s="62">
        <f ca="1">AVERAGE(OFFSET($BH$3,0,0,'Données projet'!$E$11+1,1))-AVERAGE(OFFSET($H$3,0,0,'Données projet'!$E$11+1,1))</f>
        <v>172.49153247238672</v>
      </c>
      <c r="BJ133" s="62">
        <f t="shared" ref="BJ133:BJ196" si="146">$BJ$3</f>
        <v>301.94982606323254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3.9848412625468206</v>
      </c>
      <c r="BQ133" s="23">
        <f>EXP(-LN(2)/25)*BQ132+(1-EXP(-LN(2)/25))/(LN(2)/25)*Calculateur!BL133*Calculateur!BN133*VLOOKUP('Données projet'!$B$11,Paramètres!$A$1:$I$89,3,0)*0.475*44/12</f>
        <v>0.86431355558886747</v>
      </c>
      <c r="BR133" s="23">
        <f>EXP(-LN(2)/2)*BR132+(1-EXP(-LN(2)/2))/(LN(2)/2)*BL133*BO133*VLOOKUP('Données projet'!$B$11,Paramètres!$A$1:$I$89,3,0)*0.475*44/12</f>
        <v>5.1727729749571476E-15</v>
      </c>
      <c r="BS133" s="24">
        <f t="shared" si="117"/>
        <v>4.8491548181356929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3.4106051316484809E-13</v>
      </c>
      <c r="BZ133" s="14">
        <f>BY133*VLOOKUP('Données projet'!$B$12,Paramètres!$A$1:$I$89,3,0)*VLOOKUP('Données projet'!$B$12,Paramètres!$A$1:$I$89,5,0)</f>
        <v>1.9508661353029313E-13</v>
      </c>
      <c r="CA133" s="14">
        <f t="shared" ref="CA133:CA153" si="147">EXP(-1.0587+0.8836*LN(BZ133)+0.284)</f>
        <v>2.711421636700695E-12</v>
      </c>
      <c r="CB133" s="22">
        <f t="shared" si="118"/>
        <v>5.0621685358189711E-12</v>
      </c>
      <c r="CC133" s="62">
        <f t="shared" si="119"/>
        <v>293.33333333333837</v>
      </c>
      <c r="CD133" s="62">
        <f ca="1">AVERAGE(OFFSET($CC$3,0,0,'Données projet'!$E$12+1,1))-AVERAGE(OFFSET($H$3,0,0,'Données projet'!$E$12+1,1))</f>
        <v>177.71338645688661</v>
      </c>
      <c r="CE133" s="62">
        <f t="shared" ref="CE133:CE196" si="148">$CE$3</f>
        <v>153.65872713651345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0.11103216533616352</v>
      </c>
      <c r="CM133" s="23">
        <f>EXP(-LN(2)/2)*CM132+(1-EXP(-LN(2)/2))/(LN(2)/2)*CG133*CJ133*VLOOKUP('Données projet'!$B$12,Paramètres!$A$1:$I$89,3,0)*0.475*44/12</f>
        <v>6.1010986327417645E-16</v>
      </c>
      <c r="CN133" s="24">
        <f t="shared" si="120"/>
        <v>0.11103216533616413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-7.4487616075202823E-14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118.65321241325523</v>
      </c>
      <c r="CZ133" s="62">
        <f t="shared" ref="CZ133:CZ196" si="150">$CZ$3</f>
        <v>140.55041555757327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3</v>
      </c>
      <c r="DO133" s="13">
        <f>IF('Données projet'!$A$166&gt;35,DO132+DN133-DW132,IF(A133&lt;'Données projet'!$A$166,$DL$205^A133,IF(A133='Données projet'!$A$166,'Données projet'!$B$166,DO132+DN133-DW132)))</f>
        <v>282.99999999999932</v>
      </c>
      <c r="DP133" s="18">
        <f>DO133*VLOOKUP('Données projet'!$B$14,Paramètres!$A$1:$I$89,3,0)*VLOOKUP('Données projet'!$B$14,Paramètres!$A$1:$I$89,5,0)</f>
        <v>286.96199999999931</v>
      </c>
      <c r="DQ133" s="14">
        <f t="shared" ref="DQ133:DQ153" si="151">EXP(-1.0587+0.8836*LN(DP133)+0.284)</f>
        <v>68.436169981717669</v>
      </c>
      <c r="DR133" s="22">
        <f t="shared" si="124"/>
        <v>618.98514605149035</v>
      </c>
      <c r="DS133" s="62">
        <f t="shared" si="125"/>
        <v>912.3184793848236</v>
      </c>
      <c r="DT133" s="62">
        <f ca="1">AVERAGE(OFFSET($DS$3,0,0,'Données projet'!$E$14+1,1))-AVERAGE(OFFSET($H$3,0,0,'Données projet'!$E$14+1,1))</f>
        <v>328.70784159273131</v>
      </c>
      <c r="DU133" s="62">
        <f t="shared" ref="DU133:DU196" si="152">$DU$3</f>
        <v>193.18009444354601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</v>
      </c>
      <c r="N134" s="14">
        <f>IF('Données projet'!$A$36&gt;35,N133+M134-V133,IF(A134&lt;'Données projet'!$A$36,$K$205^A134,IF(A134='Données projet'!$A$36,'Données projet'!$B$36,N133+M134-V133)))</f>
        <v>221.00000000000011</v>
      </c>
      <c r="O134" s="14">
        <f>N134*VLOOKUP('Données projet'!$B$9,Paramètres!$A$1:$I$89,3,0)*VLOOKUP('Données projet'!$B$9,Paramètres!$A$1:$I$89,5,0)</f>
        <v>199.96080000000012</v>
      </c>
      <c r="P134" s="14">
        <f t="shared" si="141"/>
        <v>49.735552653569265</v>
      </c>
      <c r="Q134" s="22">
        <f t="shared" si="108"/>
        <v>434.88781420496667</v>
      </c>
      <c r="R134" s="62">
        <f t="shared" si="109"/>
        <v>728.22114753829999</v>
      </c>
      <c r="S134" s="62">
        <f ca="1">AVERAGE(OFFSET($R$3,0,0,'Données projet'!$E$9+1,1))-AVERAGE(OFFSET($H$3,0,0,'Données projet'!$E$9+1,1))</f>
        <v>177.70053246230015</v>
      </c>
      <c r="T134" s="62">
        <f t="shared" si="142"/>
        <v>85.631326020763254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8.5265128291212022E-14</v>
      </c>
      <c r="AJ134" s="14">
        <f>AI134*VLOOKUP('Données projet'!$B$10,Paramètres!$A$1:$I$89,3,0)*VLOOKUP('Données projet'!$B$10,Paramètres!$A$1:$I$89,5,0)</f>
        <v>7.4487616075202836E-14</v>
      </c>
      <c r="AK134" s="14">
        <f t="shared" si="143"/>
        <v>1.1580453144473142E-12</v>
      </c>
      <c r="AL134" s="22">
        <f t="shared" si="112"/>
        <v>2.1466615206600508E-12</v>
      </c>
      <c r="AM134" s="62">
        <f t="shared" si="113"/>
        <v>293.33333333333547</v>
      </c>
      <c r="AN134" s="62">
        <f ca="1">AVERAGE(OFFSET($AM$3,0,0,'Données projet'!$E$10+1,1))-AVERAGE(OFFSET($H$3,0,0,'Données projet'!$E$10+1,1))</f>
        <v>212.11273590951606</v>
      </c>
      <c r="AO134" s="62">
        <f t="shared" si="144"/>
        <v>240.9595690943346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2.2737367544323206E-13</v>
      </c>
      <c r="BE134" s="14">
        <f>BD134*VLOOKUP('Données projet'!$B$11,Paramètres!$A$1:$I$89,3,0)*VLOOKUP('Données projet'!$B$11,Paramètres!$A$1:$I$89,5,0)</f>
        <v>1.3596945791505279E-13</v>
      </c>
      <c r="BF134" s="14">
        <f t="shared" si="145"/>
        <v>1.9708830566360721E-12</v>
      </c>
      <c r="BG134" s="22">
        <f t="shared" si="115"/>
        <v>3.669434796176543E-12</v>
      </c>
      <c r="BH134" s="62">
        <f t="shared" si="116"/>
        <v>293.33333333333701</v>
      </c>
      <c r="BI134" s="62">
        <f ca="1">AVERAGE(OFFSET($BH$3,0,0,'Données projet'!$E$11+1,1))-AVERAGE(OFFSET($H$3,0,0,'Données projet'!$E$11+1,1))</f>
        <v>172.49153247238672</v>
      </c>
      <c r="BJ134" s="62">
        <f t="shared" si="146"/>
        <v>301.94982606323254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3.9067009559014543</v>
      </c>
      <c r="BQ134" s="23">
        <f>EXP(-LN(2)/25)*BQ133+(1-EXP(-LN(2)/25))/(LN(2)/25)*Calculateur!BL134*Calculateur!BN134*VLOOKUP('Données projet'!$B$11,Paramètres!$A$1:$I$89,3,0)*0.475*44/12</f>
        <v>0.84067885595901537</v>
      </c>
      <c r="BR134" s="23">
        <f>EXP(-LN(2)/2)*BR133+(1-EXP(-LN(2)/2))/(LN(2)/2)*BL134*BO134*VLOOKUP('Données projet'!$B$11,Paramètres!$A$1:$I$89,3,0)*0.475*44/12</f>
        <v>3.6577028481307102E-15</v>
      </c>
      <c r="BS134" s="24">
        <f t="shared" si="117"/>
        <v>4.7473798118604735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3.4106051316484809E-13</v>
      </c>
      <c r="BZ134" s="14">
        <f>BY134*VLOOKUP('Données projet'!$B$12,Paramètres!$A$1:$I$89,3,0)*VLOOKUP('Données projet'!$B$12,Paramètres!$A$1:$I$89,5,0)</f>
        <v>1.9508661353029313E-13</v>
      </c>
      <c r="CA134" s="14">
        <f t="shared" si="147"/>
        <v>2.711421636700695E-12</v>
      </c>
      <c r="CB134" s="22">
        <f t="shared" si="118"/>
        <v>5.0621685358189711E-12</v>
      </c>
      <c r="CC134" s="62">
        <f t="shared" si="119"/>
        <v>293.33333333333837</v>
      </c>
      <c r="CD134" s="62">
        <f ca="1">AVERAGE(OFFSET($CC$3,0,0,'Données projet'!$E$12+1,1))-AVERAGE(OFFSET($H$3,0,0,'Données projet'!$E$12+1,1))</f>
        <v>177.71338645688661</v>
      </c>
      <c r="CE134" s="62">
        <f t="shared" si="148"/>
        <v>153.65872713651345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0.10799598493611831</v>
      </c>
      <c r="CM134" s="23">
        <f>EXP(-LN(2)/2)*CM133+(1-EXP(-LN(2)/2))/(LN(2)/2)*CG134*CJ134*VLOOKUP('Données projet'!$B$12,Paramètres!$A$1:$I$89,3,0)*0.475*44/12</f>
        <v>4.3141282158996752E-16</v>
      </c>
      <c r="CN134" s="24">
        <f t="shared" si="120"/>
        <v>0.10799598493611874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-7.4487616075202823E-14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118.65321241325523</v>
      </c>
      <c r="CZ134" s="62">
        <f t="shared" si="150"/>
        <v>140.55041555757327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</v>
      </c>
      <c r="DO134" s="13">
        <f>IF('Données projet'!$A$166&gt;35,DO133+DN134-DW133,IF(A134&lt;'Données projet'!$A$166,$DL$205^A134,IF(A134='Données projet'!$A$166,'Données projet'!$B$166,DO133+DN134-DW133)))</f>
        <v>285.99999999999932</v>
      </c>
      <c r="DP134" s="18">
        <f>DO134*VLOOKUP('Données projet'!$B$14,Paramètres!$A$1:$I$89,3,0)*VLOOKUP('Données projet'!$B$14,Paramètres!$A$1:$I$89,5,0)</f>
        <v>290.00399999999934</v>
      </c>
      <c r="DQ134" s="14">
        <f t="shared" si="151"/>
        <v>69.076802897485763</v>
      </c>
      <c r="DR134" s="22">
        <f t="shared" si="124"/>
        <v>625.39906504645319</v>
      </c>
      <c r="DS134" s="62">
        <f t="shared" si="125"/>
        <v>918.73239837978645</v>
      </c>
      <c r="DT134" s="62">
        <f ca="1">AVERAGE(OFFSET($DS$3,0,0,'Données projet'!$E$14+1,1))-AVERAGE(OFFSET($H$3,0,0,'Données projet'!$E$14+1,1))</f>
        <v>328.70784159273131</v>
      </c>
      <c r="DU134" s="62">
        <f t="shared" si="152"/>
        <v>193.18009444354601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</v>
      </c>
      <c r="N135" s="14">
        <f>IF('Données projet'!$A$36&gt;35,N134+M135-V134,IF(A135&lt;'Données projet'!$A$36,$K$205^A135,IF(A135='Données projet'!$A$36,'Données projet'!$B$36,N134+M135-V134)))</f>
        <v>223.00000000000011</v>
      </c>
      <c r="O135" s="14">
        <f>N135*VLOOKUP('Données projet'!$B$9,Paramètres!$A$1:$I$89,3,0)*VLOOKUP('Données projet'!$B$9,Paramètres!$A$1:$I$89,5,0)</f>
        <v>201.77040000000011</v>
      </c>
      <c r="P135" s="14">
        <f t="shared" si="141"/>
        <v>50.133048269036095</v>
      </c>
      <c r="Q135" s="22">
        <f t="shared" si="108"/>
        <v>438.73183906857139</v>
      </c>
      <c r="R135" s="62">
        <f t="shared" si="109"/>
        <v>732.06517240190465</v>
      </c>
      <c r="S135" s="62">
        <f ca="1">AVERAGE(OFFSET($R$3,0,0,'Données projet'!$E$9+1,1))-AVERAGE(OFFSET($H$3,0,0,'Données projet'!$E$9+1,1))</f>
        <v>177.70053246230015</v>
      </c>
      <c r="T135" s="62">
        <f t="shared" si="142"/>
        <v>85.631326020763254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8.5265128291212022E-14</v>
      </c>
      <c r="AJ135" s="14">
        <f>AI135*VLOOKUP('Données projet'!$B$10,Paramètres!$A$1:$I$89,3,0)*VLOOKUP('Données projet'!$B$10,Paramètres!$A$1:$I$89,5,0)</f>
        <v>7.4487616075202836E-14</v>
      </c>
      <c r="AK135" s="14">
        <f t="shared" si="143"/>
        <v>1.1580453144473142E-12</v>
      </c>
      <c r="AL135" s="22">
        <f t="shared" si="112"/>
        <v>2.1466615206600508E-12</v>
      </c>
      <c r="AM135" s="62">
        <f t="shared" si="113"/>
        <v>293.33333333333547</v>
      </c>
      <c r="AN135" s="62">
        <f ca="1">AVERAGE(OFFSET($AM$3,0,0,'Données projet'!$E$10+1,1))-AVERAGE(OFFSET($H$3,0,0,'Données projet'!$E$10+1,1))</f>
        <v>212.11273590951606</v>
      </c>
      <c r="AO135" s="62">
        <f t="shared" si="144"/>
        <v>240.9595690943346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2.2737367544323206E-13</v>
      </c>
      <c r="BE135" s="14">
        <f>BD135*VLOOKUP('Données projet'!$B$11,Paramètres!$A$1:$I$89,3,0)*VLOOKUP('Données projet'!$B$11,Paramètres!$A$1:$I$89,5,0)</f>
        <v>1.3596945791505279E-13</v>
      </c>
      <c r="BF135" s="14">
        <f t="shared" si="145"/>
        <v>1.9708830566360721E-12</v>
      </c>
      <c r="BG135" s="22">
        <f t="shared" si="115"/>
        <v>3.669434796176543E-12</v>
      </c>
      <c r="BH135" s="62">
        <f t="shared" si="116"/>
        <v>293.33333333333701</v>
      </c>
      <c r="BI135" s="62">
        <f ca="1">AVERAGE(OFFSET($BH$3,0,0,'Données projet'!$E$11+1,1))-AVERAGE(OFFSET($H$3,0,0,'Données projet'!$E$11+1,1))</f>
        <v>172.49153247238672</v>
      </c>
      <c r="BJ135" s="62">
        <f t="shared" si="146"/>
        <v>301.94982606323254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3.8300929330085229</v>
      </c>
      <c r="BQ135" s="23">
        <f>EXP(-LN(2)/25)*BQ134+(1-EXP(-LN(2)/25))/(LN(2)/25)*Calculateur!BL135*Calculateur!BN135*VLOOKUP('Données projet'!$B$11,Paramètres!$A$1:$I$89,3,0)*0.475*44/12</f>
        <v>0.81769044843343641</v>
      </c>
      <c r="BR135" s="23">
        <f>EXP(-LN(2)/2)*BR134+(1-EXP(-LN(2)/2))/(LN(2)/2)*BL135*BO135*VLOOKUP('Données projet'!$B$11,Paramètres!$A$1:$I$89,3,0)*0.475*44/12</f>
        <v>2.5863864874785738E-15</v>
      </c>
      <c r="BS135" s="24">
        <f t="shared" si="117"/>
        <v>4.647783381441962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3.4106051316484809E-13</v>
      </c>
      <c r="BZ135" s="14">
        <f>BY135*VLOOKUP('Données projet'!$B$12,Paramètres!$A$1:$I$89,3,0)*VLOOKUP('Données projet'!$B$12,Paramètres!$A$1:$I$89,5,0)</f>
        <v>1.9508661353029313E-13</v>
      </c>
      <c r="CA135" s="14">
        <f t="shared" si="147"/>
        <v>2.711421636700695E-12</v>
      </c>
      <c r="CB135" s="22">
        <f t="shared" si="118"/>
        <v>5.0621685358189711E-12</v>
      </c>
      <c r="CC135" s="62">
        <f t="shared" si="119"/>
        <v>293.33333333333837</v>
      </c>
      <c r="CD135" s="62">
        <f ca="1">AVERAGE(OFFSET($CC$3,0,0,'Données projet'!$E$12+1,1))-AVERAGE(OFFSET($H$3,0,0,'Données projet'!$E$12+1,1))</f>
        <v>177.71338645688661</v>
      </c>
      <c r="CE135" s="62">
        <f t="shared" si="148"/>
        <v>153.65872713651345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0.10504282904877814</v>
      </c>
      <c r="CM135" s="23">
        <f>EXP(-LN(2)/2)*CM134+(1-EXP(-LN(2)/2))/(LN(2)/2)*CG135*CJ135*VLOOKUP('Données projet'!$B$12,Paramètres!$A$1:$I$89,3,0)*0.475*44/12</f>
        <v>3.0505493163708827E-16</v>
      </c>
      <c r="CN135" s="24">
        <f t="shared" si="120"/>
        <v>0.10504282904877844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-7.4487616075202823E-14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118.65321241325523</v>
      </c>
      <c r="CZ135" s="62">
        <f t="shared" si="150"/>
        <v>140.55041555757327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</v>
      </c>
      <c r="DO135" s="13">
        <f>IF('Données projet'!$A$166&gt;35,DO134+DN135-DW134,IF(A135&lt;'Données projet'!$A$166,$DL$205^A135,IF(A135='Données projet'!$A$166,'Données projet'!$B$166,DO134+DN135-DW134)))</f>
        <v>288.99999999999932</v>
      </c>
      <c r="DP135" s="18">
        <f>DO135*VLOOKUP('Données projet'!$B$14,Paramètres!$A$1:$I$89,3,0)*VLOOKUP('Données projet'!$B$14,Paramètres!$A$1:$I$89,5,0)</f>
        <v>293.04599999999931</v>
      </c>
      <c r="DQ135" s="14">
        <f t="shared" si="151"/>
        <v>69.716654076072487</v>
      </c>
      <c r="DR135" s="22">
        <f t="shared" si="124"/>
        <v>631.81162251582498</v>
      </c>
      <c r="DS135" s="62">
        <f t="shared" si="125"/>
        <v>925.14495584915835</v>
      </c>
      <c r="DT135" s="62">
        <f ca="1">AVERAGE(OFFSET($DS$3,0,0,'Données projet'!$E$14+1,1))-AVERAGE(OFFSET($H$3,0,0,'Données projet'!$E$14+1,1))</f>
        <v>328.70784159273131</v>
      </c>
      <c r="DU135" s="62">
        <f t="shared" si="152"/>
        <v>193.18009444354601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</v>
      </c>
      <c r="N136" s="14">
        <f>IF('Données projet'!$A$36&gt;35,N135+M136-V135,IF(A136&lt;'Données projet'!$A$36,$K$205^A136,IF(A136='Données projet'!$A$36,'Données projet'!$B$36,N135+M136-V135)))</f>
        <v>225.00000000000011</v>
      </c>
      <c r="O136" s="14">
        <f>N136*VLOOKUP('Données projet'!$B$9,Paramètres!$A$1:$I$89,3,0)*VLOOKUP('Données projet'!$B$9,Paramètres!$A$1:$I$89,5,0)</f>
        <v>203.5800000000001</v>
      </c>
      <c r="P136" s="14">
        <f t="shared" si="141"/>
        <v>50.530129131114144</v>
      </c>
      <c r="Q136" s="22">
        <f t="shared" si="108"/>
        <v>442.57514157002396</v>
      </c>
      <c r="R136" s="62">
        <f t="shared" si="109"/>
        <v>735.90847490335727</v>
      </c>
      <c r="S136" s="62">
        <f ca="1">AVERAGE(OFFSET($R$3,0,0,'Données projet'!$E$9+1,1))-AVERAGE(OFFSET($H$3,0,0,'Données projet'!$E$9+1,1))</f>
        <v>177.70053246230015</v>
      </c>
      <c r="T136" s="62">
        <f t="shared" si="142"/>
        <v>85.631326020763254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8.5265128291212022E-14</v>
      </c>
      <c r="AJ136" s="14">
        <f>AI136*VLOOKUP('Données projet'!$B$10,Paramètres!$A$1:$I$89,3,0)*VLOOKUP('Données projet'!$B$10,Paramètres!$A$1:$I$89,5,0)</f>
        <v>7.4487616075202836E-14</v>
      </c>
      <c r="AK136" s="14">
        <f t="shared" si="143"/>
        <v>1.1580453144473142E-12</v>
      </c>
      <c r="AL136" s="22">
        <f t="shared" si="112"/>
        <v>2.1466615206600508E-12</v>
      </c>
      <c r="AM136" s="62">
        <f t="shared" si="113"/>
        <v>293.33333333333547</v>
      </c>
      <c r="AN136" s="62">
        <f ca="1">AVERAGE(OFFSET($AM$3,0,0,'Données projet'!$E$10+1,1))-AVERAGE(OFFSET($H$3,0,0,'Données projet'!$E$10+1,1))</f>
        <v>212.11273590951606</v>
      </c>
      <c r="AO136" s="62">
        <f t="shared" si="144"/>
        <v>240.9595690943346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2.2737367544323206E-13</v>
      </c>
      <c r="BE136" s="14">
        <f>BD136*VLOOKUP('Données projet'!$B$11,Paramètres!$A$1:$I$89,3,0)*VLOOKUP('Données projet'!$B$11,Paramètres!$A$1:$I$89,5,0)</f>
        <v>1.3596945791505279E-13</v>
      </c>
      <c r="BF136" s="14">
        <f t="shared" si="145"/>
        <v>1.9708830566360721E-12</v>
      </c>
      <c r="BG136" s="22">
        <f t="shared" si="115"/>
        <v>3.669434796176543E-12</v>
      </c>
      <c r="BH136" s="62">
        <f t="shared" si="116"/>
        <v>293.33333333333701</v>
      </c>
      <c r="BI136" s="62">
        <f ca="1">AVERAGE(OFFSET($BH$3,0,0,'Données projet'!$E$11+1,1))-AVERAGE(OFFSET($H$3,0,0,'Données projet'!$E$11+1,1))</f>
        <v>172.49153247238672</v>
      </c>
      <c r="BJ136" s="62">
        <f t="shared" si="146"/>
        <v>301.94982606323254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3.7549871467182419</v>
      </c>
      <c r="BQ136" s="23">
        <f>EXP(-LN(2)/25)*BQ135+(1-EXP(-LN(2)/25))/(LN(2)/25)*Calculateur!BL136*Calculateur!BN136*VLOOKUP('Données projet'!$B$11,Paramètres!$A$1:$I$89,3,0)*0.475*44/12</f>
        <v>0.79533066012055231</v>
      </c>
      <c r="BR136" s="23">
        <f>EXP(-LN(2)/2)*BR135+(1-EXP(-LN(2)/2))/(LN(2)/2)*BL136*BO136*VLOOKUP('Données projet'!$B$11,Paramètres!$A$1:$I$89,3,0)*0.475*44/12</f>
        <v>1.8288514240653551E-15</v>
      </c>
      <c r="BS136" s="24">
        <f t="shared" si="117"/>
        <v>4.5503178068387964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3.4106051316484809E-13</v>
      </c>
      <c r="BZ136" s="14">
        <f>BY136*VLOOKUP('Données projet'!$B$12,Paramètres!$A$1:$I$89,3,0)*VLOOKUP('Données projet'!$B$12,Paramètres!$A$1:$I$89,5,0)</f>
        <v>1.9508661353029313E-13</v>
      </c>
      <c r="CA136" s="14">
        <f t="shared" si="147"/>
        <v>2.711421636700695E-12</v>
      </c>
      <c r="CB136" s="22">
        <f t="shared" si="118"/>
        <v>5.0621685358189711E-12</v>
      </c>
      <c r="CC136" s="62">
        <f t="shared" si="119"/>
        <v>293.33333333333837</v>
      </c>
      <c r="CD136" s="62">
        <f ca="1">AVERAGE(OFFSET($CC$3,0,0,'Données projet'!$E$12+1,1))-AVERAGE(OFFSET($H$3,0,0,'Données projet'!$E$12+1,1))</f>
        <v>177.71338645688661</v>
      </c>
      <c r="CE136" s="62">
        <f t="shared" si="148"/>
        <v>153.65872713651345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0.102170427364477</v>
      </c>
      <c r="CM136" s="23">
        <f>EXP(-LN(2)/2)*CM135+(1-EXP(-LN(2)/2))/(LN(2)/2)*CG136*CJ136*VLOOKUP('Données projet'!$B$12,Paramètres!$A$1:$I$89,3,0)*0.475*44/12</f>
        <v>2.1570641079498381E-16</v>
      </c>
      <c r="CN136" s="24">
        <f t="shared" si="120"/>
        <v>0.10217042736447722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-7.4487616075202823E-14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118.65321241325523</v>
      </c>
      <c r="CZ136" s="62">
        <f t="shared" si="150"/>
        <v>140.55041555757327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</v>
      </c>
      <c r="DO136" s="13">
        <f>IF('Données projet'!$A$166&gt;35,DO135+DN136-DW135,IF(A136&lt;'Données projet'!$A$166,$DL$205^A136,IF(A136='Données projet'!$A$166,'Données projet'!$B$166,DO135+DN136-DW135)))</f>
        <v>291.99999999999932</v>
      </c>
      <c r="DP136" s="18">
        <f>DO136*VLOOKUP('Données projet'!$B$14,Paramètres!$A$1:$I$89,3,0)*VLOOKUP('Données projet'!$B$14,Paramètres!$A$1:$I$89,5,0)</f>
        <v>296.08799999999934</v>
      </c>
      <c r="DQ136" s="14">
        <f t="shared" si="151"/>
        <v>70.355732571828923</v>
      </c>
      <c r="DR136" s="22">
        <f t="shared" si="124"/>
        <v>638.22283422926751</v>
      </c>
      <c r="DS136" s="62">
        <f t="shared" si="125"/>
        <v>931.55616756260088</v>
      </c>
      <c r="DT136" s="62">
        <f ca="1">AVERAGE(OFFSET($DS$3,0,0,'Données projet'!$E$14+1,1))-AVERAGE(OFFSET($H$3,0,0,'Données projet'!$E$14+1,1))</f>
        <v>328.70784159273131</v>
      </c>
      <c r="DU136" s="62">
        <f t="shared" si="152"/>
        <v>193.18009444354601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</v>
      </c>
      <c r="N137" s="14">
        <f>IF('Données projet'!$A$36&gt;35,N136+M137-V136,IF(A137&lt;'Données projet'!$A$36,$K$205^A137,IF(A137='Données projet'!$A$36,'Données projet'!$B$36,N136+M137-V136)))</f>
        <v>227.00000000000011</v>
      </c>
      <c r="O137" s="14">
        <f>N137*VLOOKUP('Données projet'!$B$9,Paramètres!$A$1:$I$89,3,0)*VLOOKUP('Données projet'!$B$9,Paramètres!$A$1:$I$89,5,0)</f>
        <v>205.38960000000009</v>
      </c>
      <c r="P137" s="14">
        <f t="shared" si="141"/>
        <v>50.926799353611955</v>
      </c>
      <c r="Q137" s="22">
        <f t="shared" si="108"/>
        <v>446.41772887420757</v>
      </c>
      <c r="R137" s="62">
        <f t="shared" si="109"/>
        <v>739.75106220754083</v>
      </c>
      <c r="S137" s="62">
        <f ca="1">AVERAGE(OFFSET($R$3,0,0,'Données projet'!$E$9+1,1))-AVERAGE(OFFSET($H$3,0,0,'Données projet'!$E$9+1,1))</f>
        <v>177.70053246230015</v>
      </c>
      <c r="T137" s="62">
        <f t="shared" si="142"/>
        <v>85.631326020763254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8.5265128291212022E-14</v>
      </c>
      <c r="AJ137" s="14">
        <f>AI137*VLOOKUP('Données projet'!$B$10,Paramètres!$A$1:$I$89,3,0)*VLOOKUP('Données projet'!$B$10,Paramètres!$A$1:$I$89,5,0)</f>
        <v>7.4487616075202836E-14</v>
      </c>
      <c r="AK137" s="14">
        <f t="shared" si="143"/>
        <v>1.1580453144473142E-12</v>
      </c>
      <c r="AL137" s="22">
        <f t="shared" si="112"/>
        <v>2.1466615206600508E-12</v>
      </c>
      <c r="AM137" s="62">
        <f t="shared" si="113"/>
        <v>293.33333333333547</v>
      </c>
      <c r="AN137" s="62">
        <f ca="1">AVERAGE(OFFSET($AM$3,0,0,'Données projet'!$E$10+1,1))-AVERAGE(OFFSET($H$3,0,0,'Données projet'!$E$10+1,1))</f>
        <v>212.11273590951606</v>
      </c>
      <c r="AO137" s="62">
        <f t="shared" si="144"/>
        <v>240.9595690943346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2.2737367544323206E-13</v>
      </c>
      <c r="BE137" s="14">
        <f>BD137*VLOOKUP('Données projet'!$B$11,Paramètres!$A$1:$I$89,3,0)*VLOOKUP('Données projet'!$B$11,Paramètres!$A$1:$I$89,5,0)</f>
        <v>1.3596945791505279E-13</v>
      </c>
      <c r="BF137" s="14">
        <f t="shared" si="145"/>
        <v>1.9708830566360721E-12</v>
      </c>
      <c r="BG137" s="22">
        <f t="shared" si="115"/>
        <v>3.669434796176543E-12</v>
      </c>
      <c r="BH137" s="62">
        <f t="shared" si="116"/>
        <v>293.33333333333701</v>
      </c>
      <c r="BI137" s="62">
        <f ca="1">AVERAGE(OFFSET($BH$3,0,0,'Données projet'!$E$11+1,1))-AVERAGE(OFFSET($H$3,0,0,'Données projet'!$E$11+1,1))</f>
        <v>172.49153247238672</v>
      </c>
      <c r="BJ137" s="62">
        <f t="shared" si="146"/>
        <v>301.94982606323254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3.6813541390871065</v>
      </c>
      <c r="BQ137" s="23">
        <f>EXP(-LN(2)/25)*BQ136+(1-EXP(-LN(2)/25))/(LN(2)/25)*Calculateur!BL137*Calculateur!BN137*VLOOKUP('Données projet'!$B$11,Paramètres!$A$1:$I$89,3,0)*0.475*44/12</f>
        <v>0.77358230139493411</v>
      </c>
      <c r="BR137" s="23">
        <f>EXP(-LN(2)/2)*BR136+(1-EXP(-LN(2)/2))/(LN(2)/2)*BL137*BO137*VLOOKUP('Données projet'!$B$11,Paramètres!$A$1:$I$89,3,0)*0.475*44/12</f>
        <v>1.2931932437392869E-15</v>
      </c>
      <c r="BS137" s="24">
        <f t="shared" si="117"/>
        <v>4.4549364404820411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3.4106051316484809E-13</v>
      </c>
      <c r="BZ137" s="14">
        <f>BY137*VLOOKUP('Données projet'!$B$12,Paramètres!$A$1:$I$89,3,0)*VLOOKUP('Données projet'!$B$12,Paramètres!$A$1:$I$89,5,0)</f>
        <v>1.9508661353029313E-13</v>
      </c>
      <c r="CA137" s="14">
        <f t="shared" si="147"/>
        <v>2.711421636700695E-12</v>
      </c>
      <c r="CB137" s="22">
        <f t="shared" si="118"/>
        <v>5.0621685358189711E-12</v>
      </c>
      <c r="CC137" s="62">
        <f t="shared" si="119"/>
        <v>293.33333333333837</v>
      </c>
      <c r="CD137" s="62">
        <f ca="1">AVERAGE(OFFSET($CC$3,0,0,'Données projet'!$E$12+1,1))-AVERAGE(OFFSET($H$3,0,0,'Données projet'!$E$12+1,1))</f>
        <v>177.71338645688661</v>
      </c>
      <c r="CE137" s="62">
        <f t="shared" si="148"/>
        <v>153.65872713651345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9.9376571655286114E-2</v>
      </c>
      <c r="CM137" s="23">
        <f>EXP(-LN(2)/2)*CM136+(1-EXP(-LN(2)/2))/(LN(2)/2)*CG137*CJ137*VLOOKUP('Données projet'!$B$12,Paramètres!$A$1:$I$89,3,0)*0.475*44/12</f>
        <v>1.5252746581854416E-16</v>
      </c>
      <c r="CN137" s="24">
        <f t="shared" si="120"/>
        <v>9.9376571655286267E-2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-7.4487616075202823E-14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118.65321241325523</v>
      </c>
      <c r="CZ137" s="62">
        <f t="shared" si="150"/>
        <v>140.55041555757327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</v>
      </c>
      <c r="DO137" s="13">
        <f>IF('Données projet'!$A$166&gt;35,DO136+DN137-DW136,IF(A137&lt;'Données projet'!$A$166,$DL$205^A137,IF(A137='Données projet'!$A$166,'Données projet'!$B$166,DO136+DN137-DW136)))</f>
        <v>294.99999999999932</v>
      </c>
      <c r="DP137" s="18">
        <f>DO137*VLOOKUP('Données projet'!$B$14,Paramètres!$A$1:$I$89,3,0)*VLOOKUP('Données projet'!$B$14,Paramètres!$A$1:$I$89,5,0)</f>
        <v>299.12999999999937</v>
      </c>
      <c r="DQ137" s="14">
        <f t="shared" si="151"/>
        <v>70.994047242337089</v>
      </c>
      <c r="DR137" s="22">
        <f t="shared" si="124"/>
        <v>644.63271561373597</v>
      </c>
      <c r="DS137" s="62">
        <f t="shared" si="125"/>
        <v>937.96604894706934</v>
      </c>
      <c r="DT137" s="62">
        <f ca="1">AVERAGE(OFFSET($DS$3,0,0,'Données projet'!$E$14+1,1))-AVERAGE(OFFSET($H$3,0,0,'Données projet'!$E$14+1,1))</f>
        <v>328.70784159273131</v>
      </c>
      <c r="DU137" s="62">
        <f t="shared" si="152"/>
        <v>193.18009444354601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229</v>
      </c>
      <c r="L138" s="13">
        <f>VLOOKUP(A138,'Données projet'!$A$35:$I$55,9,0)</f>
        <v>2</v>
      </c>
      <c r="M138" s="13">
        <f t="array" ref="M138">INDEX(L:L,MIN(IF(ISNUMBER(L138:L334),ROW(L138:L334),"")))</f>
        <v>2</v>
      </c>
      <c r="N138" s="14">
        <f>IF('Données projet'!$A$36&gt;35,N137+M138-V137,IF(A138&lt;'Données projet'!$A$36,$K$205^A138,IF(A138='Données projet'!$A$36,'Données projet'!$B$36,N137+M138-V137)))</f>
        <v>229.00000000000011</v>
      </c>
      <c r="O138" s="14">
        <f>N138*VLOOKUP('Données projet'!$B$9,Paramètres!$A$1:$I$89,3,0)*VLOOKUP('Données projet'!$B$9,Paramètres!$A$1:$I$89,5,0)</f>
        <v>207.19920000000008</v>
      </c>
      <c r="P138" s="14">
        <f t="shared" si="141"/>
        <v>51.32306297366555</v>
      </c>
      <c r="Q138" s="22">
        <f t="shared" si="108"/>
        <v>450.25960801246765</v>
      </c>
      <c r="R138" s="62">
        <f t="shared" si="109"/>
        <v>743.59294134580091</v>
      </c>
      <c r="S138" s="62">
        <f ca="1">AVERAGE(OFFSET($R$3,0,0,'Données projet'!$E$9+1,1))-AVERAGE(OFFSET($H$3,0,0,'Données projet'!$E$9+1,1))</f>
        <v>177.70053246230015</v>
      </c>
      <c r="T138" s="62">
        <f t="shared" si="142"/>
        <v>85.631326020763254</v>
      </c>
      <c r="U138" s="16">
        <f>IF(ISNA(VLOOKUP(A138,'Données projet'!$A$35:$I$55,3,0)),0,VLOOKUP(A138,'Données projet'!$A$35:$I$55,3,0))</f>
        <v>11</v>
      </c>
      <c r="V138" s="16">
        <f>IF(ISNA(VLOOKUP(A138,'Données projet'!$A$35:$I$55,4,0)),0,VLOOKUP(A138,'Données projet'!$A$35:$I$55,4,0))</f>
        <v>19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8.5265128291212022E-14</v>
      </c>
      <c r="AJ138" s="14">
        <f>AI138*VLOOKUP('Données projet'!$B$10,Paramètres!$A$1:$I$89,3,0)*VLOOKUP('Données projet'!$B$10,Paramètres!$A$1:$I$89,5,0)</f>
        <v>7.4487616075202836E-14</v>
      </c>
      <c r="AK138" s="14">
        <f t="shared" si="143"/>
        <v>1.1580453144473142E-12</v>
      </c>
      <c r="AL138" s="22">
        <f t="shared" si="112"/>
        <v>2.1466615206600508E-12</v>
      </c>
      <c r="AM138" s="62">
        <f t="shared" si="113"/>
        <v>293.33333333333547</v>
      </c>
      <c r="AN138" s="62">
        <f ca="1">AVERAGE(OFFSET($AM$3,0,0,'Données projet'!$E$10+1,1))-AVERAGE(OFFSET($H$3,0,0,'Données projet'!$E$10+1,1))</f>
        <v>212.11273590951606</v>
      </c>
      <c r="AO138" s="62">
        <f t="shared" si="144"/>
        <v>240.9595690943346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2.2737367544323206E-13</v>
      </c>
      <c r="BE138" s="14">
        <f>BD138*VLOOKUP('Données projet'!$B$11,Paramètres!$A$1:$I$89,3,0)*VLOOKUP('Données projet'!$B$11,Paramètres!$A$1:$I$89,5,0)</f>
        <v>1.3596945791505279E-13</v>
      </c>
      <c r="BF138" s="14">
        <f t="shared" si="145"/>
        <v>1.9708830566360721E-12</v>
      </c>
      <c r="BG138" s="22">
        <f t="shared" si="115"/>
        <v>3.669434796176543E-12</v>
      </c>
      <c r="BH138" s="62">
        <f t="shared" si="116"/>
        <v>293.33333333333701</v>
      </c>
      <c r="BI138" s="62">
        <f ca="1">AVERAGE(OFFSET($BH$3,0,0,'Données projet'!$E$11+1,1))-AVERAGE(OFFSET($H$3,0,0,'Données projet'!$E$11+1,1))</f>
        <v>172.49153247238672</v>
      </c>
      <c r="BJ138" s="62">
        <f t="shared" si="146"/>
        <v>301.94982606323254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3.609165029823918</v>
      </c>
      <c r="BQ138" s="23">
        <f>EXP(-LN(2)/25)*BQ137+(1-EXP(-LN(2)/25))/(LN(2)/25)*Calculateur!BL138*Calculateur!BN138*VLOOKUP('Données projet'!$B$11,Paramètres!$A$1:$I$89,3,0)*0.475*44/12</f>
        <v>0.75242865268236447</v>
      </c>
      <c r="BR138" s="23">
        <f>EXP(-LN(2)/2)*BR137+(1-EXP(-LN(2)/2))/(LN(2)/2)*BL138*BO138*VLOOKUP('Données projet'!$B$11,Paramètres!$A$1:$I$89,3,0)*0.475*44/12</f>
        <v>9.1442571203267755E-16</v>
      </c>
      <c r="BS138" s="24">
        <f t="shared" si="117"/>
        <v>4.3615936825062835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3.4106051316484809E-13</v>
      </c>
      <c r="BZ138" s="14">
        <f>BY138*VLOOKUP('Données projet'!$B$12,Paramètres!$A$1:$I$89,3,0)*VLOOKUP('Données projet'!$B$12,Paramètres!$A$1:$I$89,5,0)</f>
        <v>1.9508661353029313E-13</v>
      </c>
      <c r="CA138" s="14">
        <f t="shared" si="147"/>
        <v>2.711421636700695E-12</v>
      </c>
      <c r="CB138" s="22">
        <f t="shared" si="118"/>
        <v>5.0621685358189711E-12</v>
      </c>
      <c r="CC138" s="62">
        <f t="shared" si="119"/>
        <v>293.33333333333837</v>
      </c>
      <c r="CD138" s="62">
        <f ca="1">AVERAGE(OFFSET($CC$3,0,0,'Données projet'!$E$12+1,1))-AVERAGE(OFFSET($H$3,0,0,'Données projet'!$E$12+1,1))</f>
        <v>177.71338645688661</v>
      </c>
      <c r="CE138" s="62">
        <f t="shared" si="148"/>
        <v>153.65872713651345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9.6659114077385547E-2</v>
      </c>
      <c r="CM138" s="23">
        <f>EXP(-LN(2)/2)*CM137+(1-EXP(-LN(2)/2))/(LN(2)/2)*CG138*CJ138*VLOOKUP('Données projet'!$B$12,Paramètres!$A$1:$I$89,3,0)*0.475*44/12</f>
        <v>1.0785320539749192E-16</v>
      </c>
      <c r="CN138" s="24">
        <f t="shared" si="120"/>
        <v>9.6659114077385658E-2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-7.4487616075202823E-14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118.65321241325523</v>
      </c>
      <c r="CZ138" s="62">
        <f t="shared" si="150"/>
        <v>140.55041555757327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>
        <f>VLOOKUP(A138,'Données projet'!$A$165:$I$185,2,0)</f>
        <v>298</v>
      </c>
      <c r="DM138" s="13">
        <f>VLOOKUP(A138,'Données projet'!$A$165:$I$185,9,0)</f>
        <v>3</v>
      </c>
      <c r="DN138" s="13">
        <f t="array" ref="DN138">INDEX(DM:DM,MIN(IF(ISNUMBER(DM138:DM334),ROW(DM138:DM334),"")))</f>
        <v>3</v>
      </c>
      <c r="DO138" s="13">
        <f>IF('Données projet'!$A$166&gt;35,DO137+DN138-DW137,IF(A138&lt;'Données projet'!$A$166,$DL$205^A138,IF(A138='Données projet'!$A$166,'Données projet'!$B$166,DO137+DN138-DW137)))</f>
        <v>297.99999999999932</v>
      </c>
      <c r="DP138" s="18">
        <f>DO138*VLOOKUP('Données projet'!$B$14,Paramètres!$A$1:$I$89,3,0)*VLOOKUP('Données projet'!$B$14,Paramètres!$A$1:$I$89,5,0)</f>
        <v>302.17199999999934</v>
      </c>
      <c r="DQ138" s="14">
        <f t="shared" si="151"/>
        <v>71.631606754643101</v>
      </c>
      <c r="DR138" s="22">
        <f t="shared" si="124"/>
        <v>651.04128176433551</v>
      </c>
      <c r="DS138" s="62">
        <f t="shared" si="125"/>
        <v>944.37461509766877</v>
      </c>
      <c r="DT138" s="62">
        <f ca="1">AVERAGE(OFFSET($DS$3,0,0,'Données projet'!$E$14+1,1))-AVERAGE(OFFSET($H$3,0,0,'Données projet'!$E$14+1,1))</f>
        <v>328.70784159273131</v>
      </c>
      <c r="DU138" s="62">
        <f t="shared" si="152"/>
        <v>193.18009444354601</v>
      </c>
      <c r="DV138" s="16">
        <f>IF(ISNA(VLOOKUP(A138,'Données projet'!$A$165:$I$185,3,0)),0,VLOOKUP(A138,'Données projet'!$A$165:$I$185,3,0))</f>
        <v>12</v>
      </c>
      <c r="DW138" s="16">
        <f>IF(ISNA(VLOOKUP(A138,'Données projet'!$A$165:$I$185,4,0)),0,VLOOKUP(A138,'Données projet'!$A$165:$I$185,4,0))</f>
        <v>29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1.6</v>
      </c>
      <c r="N139" s="14">
        <f>IF('Données projet'!$A$36&gt;35,N138+M139-V138,IF(A139&lt;'Données projet'!$A$36,$K$205^A139,IF(A139='Données projet'!$A$36,'Données projet'!$B$36,N138+M139-V138)))</f>
        <v>211.60000000000011</v>
      </c>
      <c r="O139" s="14">
        <f>N139*VLOOKUP('Données projet'!$B$9,Paramètres!$A$1:$I$89,3,0)*VLOOKUP('Données projet'!$B$9,Paramètres!$A$1:$I$89,5,0)</f>
        <v>191.45568000000009</v>
      </c>
      <c r="P139" s="14">
        <f t="shared" si="141"/>
        <v>47.861639935303188</v>
      </c>
      <c r="Q139" s="22">
        <f t="shared" si="108"/>
        <v>416.81099888731984</v>
      </c>
      <c r="R139" s="62">
        <f t="shared" si="109"/>
        <v>710.14433222065315</v>
      </c>
      <c r="S139" s="62">
        <f ca="1">AVERAGE(OFFSET($R$3,0,0,'Données projet'!$E$9+1,1))-AVERAGE(OFFSET($H$3,0,0,'Données projet'!$E$9+1,1))</f>
        <v>177.70053246230015</v>
      </c>
      <c r="T139" s="62">
        <f t="shared" si="142"/>
        <v>85.631326020763254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8.5265128291212022E-14</v>
      </c>
      <c r="AJ139" s="14">
        <f>AI139*VLOOKUP('Données projet'!$B$10,Paramètres!$A$1:$I$89,3,0)*VLOOKUP('Données projet'!$B$10,Paramètres!$A$1:$I$89,5,0)</f>
        <v>7.4487616075202836E-14</v>
      </c>
      <c r="AK139" s="14">
        <f t="shared" si="143"/>
        <v>1.1580453144473142E-12</v>
      </c>
      <c r="AL139" s="22">
        <f t="shared" si="112"/>
        <v>2.1466615206600508E-12</v>
      </c>
      <c r="AM139" s="62">
        <f t="shared" si="113"/>
        <v>293.33333333333547</v>
      </c>
      <c r="AN139" s="62">
        <f ca="1">AVERAGE(OFFSET($AM$3,0,0,'Données projet'!$E$10+1,1))-AVERAGE(OFFSET($H$3,0,0,'Données projet'!$E$10+1,1))</f>
        <v>212.11273590951606</v>
      </c>
      <c r="AO139" s="62">
        <f t="shared" si="144"/>
        <v>240.9595690943346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2.2737367544323206E-13</v>
      </c>
      <c r="BE139" s="14">
        <f>BD139*VLOOKUP('Données projet'!$B$11,Paramètres!$A$1:$I$89,3,0)*VLOOKUP('Données projet'!$B$11,Paramètres!$A$1:$I$89,5,0)</f>
        <v>1.3596945791505279E-13</v>
      </c>
      <c r="BF139" s="14">
        <f t="shared" si="145"/>
        <v>1.9708830566360721E-12</v>
      </c>
      <c r="BG139" s="22">
        <f t="shared" si="115"/>
        <v>3.669434796176543E-12</v>
      </c>
      <c r="BH139" s="62">
        <f t="shared" si="116"/>
        <v>293.33333333333701</v>
      </c>
      <c r="BI139" s="62">
        <f ca="1">AVERAGE(OFFSET($BH$3,0,0,'Données projet'!$E$11+1,1))-AVERAGE(OFFSET($H$3,0,0,'Données projet'!$E$11+1,1))</f>
        <v>172.49153247238672</v>
      </c>
      <c r="BJ139" s="62">
        <f t="shared" si="146"/>
        <v>301.94982606323254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3.5383915049623718</v>
      </c>
      <c r="BQ139" s="23">
        <f>EXP(-LN(2)/25)*BQ138+(1-EXP(-LN(2)/25))/(LN(2)/25)*Calculateur!BL139*Calculateur!BN139*VLOOKUP('Données projet'!$B$11,Paramètres!$A$1:$I$89,3,0)*0.475*44/12</f>
        <v>0.73185345160626203</v>
      </c>
      <c r="BR139" s="23">
        <f>EXP(-LN(2)/2)*BR138+(1-EXP(-LN(2)/2))/(LN(2)/2)*BL139*BO139*VLOOKUP('Données projet'!$B$11,Paramètres!$A$1:$I$89,3,0)*0.475*44/12</f>
        <v>6.4659662186964345E-16</v>
      </c>
      <c r="BS139" s="24">
        <f t="shared" si="117"/>
        <v>4.2702449565686349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3.4106051316484809E-13</v>
      </c>
      <c r="BZ139" s="14">
        <f>BY139*VLOOKUP('Données projet'!$B$12,Paramètres!$A$1:$I$89,3,0)*VLOOKUP('Données projet'!$B$12,Paramètres!$A$1:$I$89,5,0)</f>
        <v>1.9508661353029313E-13</v>
      </c>
      <c r="CA139" s="14">
        <f t="shared" si="147"/>
        <v>2.711421636700695E-12</v>
      </c>
      <c r="CB139" s="22">
        <f t="shared" si="118"/>
        <v>5.0621685358189711E-12</v>
      </c>
      <c r="CC139" s="62">
        <f t="shared" si="119"/>
        <v>293.33333333333837</v>
      </c>
      <c r="CD139" s="62">
        <f ca="1">AVERAGE(OFFSET($CC$3,0,0,'Données projet'!$E$12+1,1))-AVERAGE(OFFSET($H$3,0,0,'Données projet'!$E$12+1,1))</f>
        <v>177.71338645688661</v>
      </c>
      <c r="CE139" s="62">
        <f t="shared" si="148"/>
        <v>153.65872713651345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9.4015965519857553E-2</v>
      </c>
      <c r="CM139" s="23">
        <f>EXP(-LN(2)/2)*CM138+(1-EXP(-LN(2)/2))/(LN(2)/2)*CG139*CJ139*VLOOKUP('Données projet'!$B$12,Paramètres!$A$1:$I$89,3,0)*0.475*44/12</f>
        <v>7.6263732909272093E-17</v>
      </c>
      <c r="CN139" s="24">
        <f t="shared" si="120"/>
        <v>9.4015965519857622E-2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-7.4487616075202823E-14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118.65321241325523</v>
      </c>
      <c r="CZ139" s="62">
        <f t="shared" si="150"/>
        <v>140.55041555757327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2.6</v>
      </c>
      <c r="DO139" s="13">
        <f>IF('Données projet'!$A$166&gt;35,DO138+DN139-DW138,IF(A139&lt;'Données projet'!$A$166,$DL$205^A139,IF(A139='Données projet'!$A$166,'Données projet'!$B$166,DO138+DN139-DW138)))</f>
        <v>271.59999999999934</v>
      </c>
      <c r="DP139" s="18">
        <f>DO139*VLOOKUP('Données projet'!$B$14,Paramètres!$A$1:$I$89,3,0)*VLOOKUP('Données projet'!$B$14,Paramètres!$A$1:$I$89,5,0)</f>
        <v>275.40239999999932</v>
      </c>
      <c r="DQ139" s="14">
        <f t="shared" si="151"/>
        <v>65.994469603831334</v>
      </c>
      <c r="DR139" s="22">
        <f t="shared" si="124"/>
        <v>594.59954789333835</v>
      </c>
      <c r="DS139" s="62">
        <f t="shared" si="125"/>
        <v>887.93288122667173</v>
      </c>
      <c r="DT139" s="62">
        <f ca="1">AVERAGE(OFFSET($DS$3,0,0,'Données projet'!$E$14+1,1))-AVERAGE(OFFSET($H$3,0,0,'Données projet'!$E$14+1,1))</f>
        <v>328.70784159273131</v>
      </c>
      <c r="DU139" s="62">
        <f t="shared" si="152"/>
        <v>193.18009444354601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1.6</v>
      </c>
      <c r="N140" s="14">
        <f>IF('Données projet'!$A$36&gt;35,N139+M140-V139,IF(A140&lt;'Données projet'!$A$36,$K$205^A140,IF(A140='Données projet'!$A$36,'Données projet'!$B$36,N139+M140-V139)))</f>
        <v>213.2000000000001</v>
      </c>
      <c r="O140" s="14">
        <f>N140*VLOOKUP('Données projet'!$B$9,Paramètres!$A$1:$I$89,3,0)*VLOOKUP('Données projet'!$B$9,Paramètres!$A$1:$I$89,5,0)</f>
        <v>192.90336000000008</v>
      </c>
      <c r="P140" s="14">
        <f t="shared" si="141"/>
        <v>48.181276881765257</v>
      </c>
      <c r="Q140" s="22">
        <f t="shared" si="108"/>
        <v>419.88907590240797</v>
      </c>
      <c r="R140" s="62">
        <f t="shared" si="109"/>
        <v>713.22240923574122</v>
      </c>
      <c r="S140" s="62">
        <f ca="1">AVERAGE(OFFSET($R$3,0,0,'Données projet'!$E$9+1,1))-AVERAGE(OFFSET($H$3,0,0,'Données projet'!$E$9+1,1))</f>
        <v>177.70053246230015</v>
      </c>
      <c r="T140" s="62">
        <f t="shared" si="142"/>
        <v>85.631326020763254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8.5265128291212022E-14</v>
      </c>
      <c r="AJ140" s="14">
        <f>AI140*VLOOKUP('Données projet'!$B$10,Paramètres!$A$1:$I$89,3,0)*VLOOKUP('Données projet'!$B$10,Paramètres!$A$1:$I$89,5,0)</f>
        <v>7.4487616075202836E-14</v>
      </c>
      <c r="AK140" s="14">
        <f t="shared" si="143"/>
        <v>1.1580453144473142E-12</v>
      </c>
      <c r="AL140" s="22">
        <f t="shared" si="112"/>
        <v>2.1466615206600508E-12</v>
      </c>
      <c r="AM140" s="62">
        <f t="shared" si="113"/>
        <v>293.33333333333547</v>
      </c>
      <c r="AN140" s="62">
        <f ca="1">AVERAGE(OFFSET($AM$3,0,0,'Données projet'!$E$10+1,1))-AVERAGE(OFFSET($H$3,0,0,'Données projet'!$E$10+1,1))</f>
        <v>212.11273590951606</v>
      </c>
      <c r="AO140" s="62">
        <f t="shared" si="144"/>
        <v>240.9595690943346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2.2737367544323206E-13</v>
      </c>
      <c r="BE140" s="14">
        <f>BD140*VLOOKUP('Données projet'!$B$11,Paramètres!$A$1:$I$89,3,0)*VLOOKUP('Données projet'!$B$11,Paramètres!$A$1:$I$89,5,0)</f>
        <v>1.3596945791505279E-13</v>
      </c>
      <c r="BF140" s="14">
        <f t="shared" si="145"/>
        <v>1.9708830566360721E-12</v>
      </c>
      <c r="BG140" s="22">
        <f t="shared" si="115"/>
        <v>3.669434796176543E-12</v>
      </c>
      <c r="BH140" s="62">
        <f t="shared" si="116"/>
        <v>293.33333333333701</v>
      </c>
      <c r="BI140" s="62">
        <f ca="1">AVERAGE(OFFSET($BH$3,0,0,'Données projet'!$E$11+1,1))-AVERAGE(OFFSET($H$3,0,0,'Données projet'!$E$11+1,1))</f>
        <v>172.49153247238672</v>
      </c>
      <c r="BJ140" s="62">
        <f t="shared" si="146"/>
        <v>301.94982606323254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3.4690058057557724</v>
      </c>
      <c r="BQ140" s="23">
        <f>EXP(-LN(2)/25)*BQ139+(1-EXP(-LN(2)/25))/(LN(2)/25)*Calculateur!BL140*Calculateur!BN140*VLOOKUP('Données projet'!$B$11,Paramètres!$A$1:$I$89,3,0)*0.475*44/12</f>
        <v>0.71184088048558847</v>
      </c>
      <c r="BR140" s="23">
        <f>EXP(-LN(2)/2)*BR139+(1-EXP(-LN(2)/2))/(LN(2)/2)*BL140*BO140*VLOOKUP('Données projet'!$B$11,Paramètres!$A$1:$I$89,3,0)*0.475*44/12</f>
        <v>4.5721285601633878E-16</v>
      </c>
      <c r="BS140" s="24">
        <f t="shared" si="117"/>
        <v>4.1808466862413622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3.4106051316484809E-13</v>
      </c>
      <c r="BZ140" s="14">
        <f>BY140*VLOOKUP('Données projet'!$B$12,Paramètres!$A$1:$I$89,3,0)*VLOOKUP('Données projet'!$B$12,Paramètres!$A$1:$I$89,5,0)</f>
        <v>1.9508661353029313E-13</v>
      </c>
      <c r="CA140" s="14">
        <f t="shared" si="147"/>
        <v>2.711421636700695E-12</v>
      </c>
      <c r="CB140" s="22">
        <f t="shared" si="118"/>
        <v>5.0621685358189711E-12</v>
      </c>
      <c r="CC140" s="62">
        <f t="shared" si="119"/>
        <v>293.33333333333837</v>
      </c>
      <c r="CD140" s="62">
        <f ca="1">AVERAGE(OFFSET($CC$3,0,0,'Données projet'!$E$12+1,1))-AVERAGE(OFFSET($H$3,0,0,'Données projet'!$E$12+1,1))</f>
        <v>177.71338645688661</v>
      </c>
      <c r="CE140" s="62">
        <f t="shared" si="148"/>
        <v>153.65872713651345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9.1445093998632293E-2</v>
      </c>
      <c r="CM140" s="23">
        <f>EXP(-LN(2)/2)*CM139+(1-EXP(-LN(2)/2))/(LN(2)/2)*CG140*CJ140*VLOOKUP('Données projet'!$B$12,Paramètres!$A$1:$I$89,3,0)*0.475*44/12</f>
        <v>5.3926602698745971E-17</v>
      </c>
      <c r="CN140" s="24">
        <f t="shared" si="120"/>
        <v>9.1445093998632349E-2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-7.4487616075202823E-14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118.65321241325523</v>
      </c>
      <c r="CZ140" s="62">
        <f t="shared" si="150"/>
        <v>140.55041555757327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2.6</v>
      </c>
      <c r="DO140" s="13">
        <f>IF('Données projet'!$A$166&gt;35,DO139+DN140-DW139,IF(A140&lt;'Données projet'!$A$166,$DL$205^A140,IF(A140='Données projet'!$A$166,'Données projet'!$B$166,DO139+DN140-DW139)))</f>
        <v>274.19999999999936</v>
      </c>
      <c r="DP140" s="18">
        <f>DO140*VLOOKUP('Données projet'!$B$14,Paramètres!$A$1:$I$89,3,0)*VLOOKUP('Données projet'!$B$14,Paramètres!$A$1:$I$89,5,0)</f>
        <v>278.03879999999936</v>
      </c>
      <c r="DQ140" s="14">
        <f t="shared" si="151"/>
        <v>66.552381547717616</v>
      </c>
      <c r="DR140" s="22">
        <f t="shared" si="124"/>
        <v>600.16297452894037</v>
      </c>
      <c r="DS140" s="62">
        <f t="shared" si="125"/>
        <v>893.49630786227362</v>
      </c>
      <c r="DT140" s="62">
        <f ca="1">AVERAGE(OFFSET($DS$3,0,0,'Données projet'!$E$14+1,1))-AVERAGE(OFFSET($H$3,0,0,'Données projet'!$E$14+1,1))</f>
        <v>328.70784159273131</v>
      </c>
      <c r="DU140" s="62">
        <f t="shared" si="152"/>
        <v>193.18009444354601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1.6</v>
      </c>
      <c r="N141" s="14">
        <f>IF('Données projet'!$A$36&gt;35,N140+M141-V140,IF(A141&lt;'Données projet'!$A$36,$K$205^A141,IF(A141='Données projet'!$A$36,'Données projet'!$B$36,N140+M141-V140)))</f>
        <v>214.8000000000001</v>
      </c>
      <c r="O141" s="14">
        <f>N141*VLOOKUP('Données projet'!$B$9,Paramètres!$A$1:$I$89,3,0)*VLOOKUP('Données projet'!$B$9,Paramètres!$A$1:$I$89,5,0)</f>
        <v>194.35104000000007</v>
      </c>
      <c r="P141" s="14">
        <f t="shared" si="141"/>
        <v>48.500634729810159</v>
      </c>
      <c r="Q141" s="22">
        <f t="shared" si="108"/>
        <v>422.96666682108616</v>
      </c>
      <c r="R141" s="62">
        <f t="shared" si="109"/>
        <v>716.30000015441942</v>
      </c>
      <c r="S141" s="62">
        <f ca="1">AVERAGE(OFFSET($R$3,0,0,'Données projet'!$E$9+1,1))-AVERAGE(OFFSET($H$3,0,0,'Données projet'!$E$9+1,1))</f>
        <v>177.70053246230015</v>
      </c>
      <c r="T141" s="62">
        <f t="shared" si="142"/>
        <v>85.631326020763254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8.5265128291212022E-14</v>
      </c>
      <c r="AJ141" s="14">
        <f>AI141*VLOOKUP('Données projet'!$B$10,Paramètres!$A$1:$I$89,3,0)*VLOOKUP('Données projet'!$B$10,Paramètres!$A$1:$I$89,5,0)</f>
        <v>7.4487616075202836E-14</v>
      </c>
      <c r="AK141" s="14">
        <f t="shared" si="143"/>
        <v>1.1580453144473142E-12</v>
      </c>
      <c r="AL141" s="22">
        <f t="shared" si="112"/>
        <v>2.1466615206600508E-12</v>
      </c>
      <c r="AM141" s="62">
        <f t="shared" si="113"/>
        <v>293.33333333333547</v>
      </c>
      <c r="AN141" s="62">
        <f ca="1">AVERAGE(OFFSET($AM$3,0,0,'Données projet'!$E$10+1,1))-AVERAGE(OFFSET($H$3,0,0,'Données projet'!$E$10+1,1))</f>
        <v>212.11273590951606</v>
      </c>
      <c r="AO141" s="62">
        <f t="shared" si="144"/>
        <v>240.9595690943346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2.2737367544323206E-13</v>
      </c>
      <c r="BE141" s="14">
        <f>BD141*VLOOKUP('Données projet'!$B$11,Paramètres!$A$1:$I$89,3,0)*VLOOKUP('Données projet'!$B$11,Paramètres!$A$1:$I$89,5,0)</f>
        <v>1.3596945791505279E-13</v>
      </c>
      <c r="BF141" s="14">
        <f t="shared" si="145"/>
        <v>1.9708830566360721E-12</v>
      </c>
      <c r="BG141" s="22">
        <f t="shared" si="115"/>
        <v>3.669434796176543E-12</v>
      </c>
      <c r="BH141" s="62">
        <f t="shared" si="116"/>
        <v>293.33333333333701</v>
      </c>
      <c r="BI141" s="62">
        <f ca="1">AVERAGE(OFFSET($BH$3,0,0,'Données projet'!$E$11+1,1))-AVERAGE(OFFSET($H$3,0,0,'Données projet'!$E$11+1,1))</f>
        <v>172.49153247238672</v>
      </c>
      <c r="BJ141" s="62">
        <f t="shared" si="146"/>
        <v>301.94982606323254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3.4009807177895168</v>
      </c>
      <c r="BQ141" s="23">
        <f>EXP(-LN(2)/25)*BQ140+(1-EXP(-LN(2)/25))/(LN(2)/25)*Calculateur!BL141*Calculateur!BN141*VLOOKUP('Données projet'!$B$11,Paramètres!$A$1:$I$89,3,0)*0.475*44/12</f>
        <v>0.69237555417462504</v>
      </c>
      <c r="BR141" s="23">
        <f>EXP(-LN(2)/2)*BR140+(1-EXP(-LN(2)/2))/(LN(2)/2)*BL141*BO141*VLOOKUP('Données projet'!$B$11,Paramètres!$A$1:$I$89,3,0)*0.475*44/12</f>
        <v>3.2329831093482172E-16</v>
      </c>
      <c r="BS141" s="24">
        <f t="shared" si="117"/>
        <v>4.0933562719641419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3.4106051316484809E-13</v>
      </c>
      <c r="BZ141" s="14">
        <f>BY141*VLOOKUP('Données projet'!$B$12,Paramètres!$A$1:$I$89,3,0)*VLOOKUP('Données projet'!$B$12,Paramètres!$A$1:$I$89,5,0)</f>
        <v>1.9508661353029313E-13</v>
      </c>
      <c r="CA141" s="14">
        <f t="shared" si="147"/>
        <v>2.711421636700695E-12</v>
      </c>
      <c r="CB141" s="22">
        <f t="shared" si="118"/>
        <v>5.0621685358189711E-12</v>
      </c>
      <c r="CC141" s="62">
        <f t="shared" si="119"/>
        <v>293.33333333333837</v>
      </c>
      <c r="CD141" s="62">
        <f ca="1">AVERAGE(OFFSET($CC$3,0,0,'Données projet'!$E$12+1,1))-AVERAGE(OFFSET($H$3,0,0,'Données projet'!$E$12+1,1))</f>
        <v>177.71338645688661</v>
      </c>
      <c r="CE141" s="62">
        <f t="shared" si="148"/>
        <v>153.65872713651345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8.8944523094351205E-2</v>
      </c>
      <c r="CM141" s="23">
        <f>EXP(-LN(2)/2)*CM140+(1-EXP(-LN(2)/2))/(LN(2)/2)*CG141*CJ141*VLOOKUP('Données projet'!$B$12,Paramètres!$A$1:$I$89,3,0)*0.475*44/12</f>
        <v>3.8131866454636053E-17</v>
      </c>
      <c r="CN141" s="24">
        <f t="shared" si="120"/>
        <v>8.8944523094351247E-2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-7.4487616075202823E-14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118.65321241325523</v>
      </c>
      <c r="CZ141" s="62">
        <f t="shared" si="150"/>
        <v>140.55041555757327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2.6</v>
      </c>
      <c r="DO141" s="13">
        <f>IF('Données projet'!$A$166&gt;35,DO140+DN141-DW140,IF(A141&lt;'Données projet'!$A$166,$DL$205^A141,IF(A141='Données projet'!$A$166,'Données projet'!$B$166,DO140+DN141-DW140)))</f>
        <v>276.79999999999939</v>
      </c>
      <c r="DP141" s="18">
        <f>DO141*VLOOKUP('Données projet'!$B$14,Paramètres!$A$1:$I$89,3,0)*VLOOKUP('Données projet'!$B$14,Paramètres!$A$1:$I$89,5,0)</f>
        <v>280.67519999999939</v>
      </c>
      <c r="DQ141" s="14">
        <f t="shared" si="151"/>
        <v>67.109678043026364</v>
      </c>
      <c r="DR141" s="22">
        <f t="shared" si="124"/>
        <v>605.72532925826988</v>
      </c>
      <c r="DS141" s="62">
        <f t="shared" si="125"/>
        <v>899.05866259160325</v>
      </c>
      <c r="DT141" s="62">
        <f ca="1">AVERAGE(OFFSET($DS$3,0,0,'Données projet'!$E$14+1,1))-AVERAGE(OFFSET($H$3,0,0,'Données projet'!$E$14+1,1))</f>
        <v>328.70784159273131</v>
      </c>
      <c r="DU141" s="62">
        <f t="shared" si="152"/>
        <v>193.18009444354601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1.6</v>
      </c>
      <c r="N142" s="14">
        <f>IF('Données projet'!$A$36&gt;35,N141+M142-V141,IF(A142&lt;'Données projet'!$A$36,$K$205^A142,IF(A142='Données projet'!$A$36,'Données projet'!$B$36,N141+M142-V141)))</f>
        <v>216.40000000000009</v>
      </c>
      <c r="O142" s="14">
        <f>N142*VLOOKUP('Données projet'!$B$9,Paramètres!$A$1:$I$89,3,0)*VLOOKUP('Données projet'!$B$9,Paramètres!$A$1:$I$89,5,0)</f>
        <v>195.79872000000006</v>
      </c>
      <c r="P142" s="14">
        <f t="shared" si="141"/>
        <v>48.819715799409714</v>
      </c>
      <c r="Q142" s="22">
        <f t="shared" si="108"/>
        <v>426.043775683972</v>
      </c>
      <c r="R142" s="62">
        <f t="shared" si="109"/>
        <v>719.37710901730532</v>
      </c>
      <c r="S142" s="62">
        <f ca="1">AVERAGE(OFFSET($R$3,0,0,'Données projet'!$E$9+1,1))-AVERAGE(OFFSET($H$3,0,0,'Données projet'!$E$9+1,1))</f>
        <v>177.70053246230015</v>
      </c>
      <c r="T142" s="62">
        <f t="shared" si="142"/>
        <v>85.631326020763254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8.5265128291212022E-14</v>
      </c>
      <c r="AJ142" s="14">
        <f>AI142*VLOOKUP('Données projet'!$B$10,Paramètres!$A$1:$I$89,3,0)*VLOOKUP('Données projet'!$B$10,Paramètres!$A$1:$I$89,5,0)</f>
        <v>7.4487616075202836E-14</v>
      </c>
      <c r="AK142" s="14">
        <f t="shared" si="143"/>
        <v>1.1580453144473142E-12</v>
      </c>
      <c r="AL142" s="22">
        <f t="shared" si="112"/>
        <v>2.1466615206600508E-12</v>
      </c>
      <c r="AM142" s="62">
        <f t="shared" si="113"/>
        <v>293.33333333333547</v>
      </c>
      <c r="AN142" s="62">
        <f ca="1">AVERAGE(OFFSET($AM$3,0,0,'Données projet'!$E$10+1,1))-AVERAGE(OFFSET($H$3,0,0,'Données projet'!$E$10+1,1))</f>
        <v>212.11273590951606</v>
      </c>
      <c r="AO142" s="62">
        <f t="shared" si="144"/>
        <v>240.9595690943346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2.2737367544323206E-13</v>
      </c>
      <c r="BE142" s="14">
        <f>BD142*VLOOKUP('Données projet'!$B$11,Paramètres!$A$1:$I$89,3,0)*VLOOKUP('Données projet'!$B$11,Paramètres!$A$1:$I$89,5,0)</f>
        <v>1.3596945791505279E-13</v>
      </c>
      <c r="BF142" s="14">
        <f t="shared" si="145"/>
        <v>1.9708830566360721E-12</v>
      </c>
      <c r="BG142" s="22">
        <f t="shared" si="115"/>
        <v>3.669434796176543E-12</v>
      </c>
      <c r="BH142" s="62">
        <f t="shared" si="116"/>
        <v>293.33333333333701</v>
      </c>
      <c r="BI142" s="62">
        <f ca="1">AVERAGE(OFFSET($BH$3,0,0,'Données projet'!$E$11+1,1))-AVERAGE(OFFSET($H$3,0,0,'Données projet'!$E$11+1,1))</f>
        <v>172.49153247238672</v>
      </c>
      <c r="BJ142" s="62">
        <f t="shared" si="146"/>
        <v>301.94982606323254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3.3342895603070728</v>
      </c>
      <c r="BQ142" s="23">
        <f>EXP(-LN(2)/25)*BQ141+(1-EXP(-LN(2)/25))/(LN(2)/25)*Calculateur!BL142*Calculateur!BN142*VLOOKUP('Données projet'!$B$11,Paramètres!$A$1:$I$89,3,0)*0.475*44/12</f>
        <v>0.67344250823527196</v>
      </c>
      <c r="BR142" s="23">
        <f>EXP(-LN(2)/2)*BR141+(1-EXP(-LN(2)/2))/(LN(2)/2)*BL142*BO142*VLOOKUP('Données projet'!$B$11,Paramètres!$A$1:$I$89,3,0)*0.475*44/12</f>
        <v>2.2860642800816939E-16</v>
      </c>
      <c r="BS142" s="24">
        <f t="shared" si="117"/>
        <v>4.007732068542345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3.4106051316484809E-13</v>
      </c>
      <c r="BZ142" s="14">
        <f>BY142*VLOOKUP('Données projet'!$B$12,Paramètres!$A$1:$I$89,3,0)*VLOOKUP('Données projet'!$B$12,Paramètres!$A$1:$I$89,5,0)</f>
        <v>1.9508661353029313E-13</v>
      </c>
      <c r="CA142" s="14">
        <f t="shared" si="147"/>
        <v>2.711421636700695E-12</v>
      </c>
      <c r="CB142" s="22">
        <f t="shared" si="118"/>
        <v>5.0621685358189711E-12</v>
      </c>
      <c r="CC142" s="62">
        <f t="shared" si="119"/>
        <v>293.33333333333837</v>
      </c>
      <c r="CD142" s="62">
        <f ca="1">AVERAGE(OFFSET($CC$3,0,0,'Données projet'!$E$12+1,1))-AVERAGE(OFFSET($H$3,0,0,'Données projet'!$E$12+1,1))</f>
        <v>177.71338645688661</v>
      </c>
      <c r="CE142" s="62">
        <f t="shared" si="148"/>
        <v>153.65872713651345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8.6512330432946982E-2</v>
      </c>
      <c r="CM142" s="23">
        <f>EXP(-LN(2)/2)*CM141+(1-EXP(-LN(2)/2))/(LN(2)/2)*CG142*CJ142*VLOOKUP('Données projet'!$B$12,Paramètres!$A$1:$I$89,3,0)*0.475*44/12</f>
        <v>2.6963301349372989E-17</v>
      </c>
      <c r="CN142" s="24">
        <f t="shared" si="120"/>
        <v>8.651233043294701E-2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-7.4487616075202823E-14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118.65321241325523</v>
      </c>
      <c r="CZ142" s="62">
        <f t="shared" si="150"/>
        <v>140.55041555757327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2.6</v>
      </c>
      <c r="DO142" s="13">
        <f>IF('Données projet'!$A$166&gt;35,DO141+DN142-DW141,IF(A142&lt;'Données projet'!$A$166,$DL$205^A142,IF(A142='Données projet'!$A$166,'Données projet'!$B$166,DO141+DN142-DW141)))</f>
        <v>279.39999999999941</v>
      </c>
      <c r="DP142" s="18">
        <f>DO142*VLOOKUP('Données projet'!$B$14,Paramètres!$A$1:$I$89,3,0)*VLOOKUP('Données projet'!$B$14,Paramètres!$A$1:$I$89,5,0)</f>
        <v>283.31159999999943</v>
      </c>
      <c r="DQ142" s="14">
        <f t="shared" si="151"/>
        <v>67.666365540271144</v>
      </c>
      <c r="DR142" s="22">
        <f t="shared" si="124"/>
        <v>611.28662331597127</v>
      </c>
      <c r="DS142" s="62">
        <f t="shared" si="125"/>
        <v>904.61995664930464</v>
      </c>
      <c r="DT142" s="62">
        <f ca="1">AVERAGE(OFFSET($DS$3,0,0,'Données projet'!$E$14+1,1))-AVERAGE(OFFSET($H$3,0,0,'Données projet'!$E$14+1,1))</f>
        <v>328.70784159273131</v>
      </c>
      <c r="DU142" s="62">
        <f t="shared" si="152"/>
        <v>193.18009444354601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1.6</v>
      </c>
      <c r="N143" s="14">
        <f>IF('Données projet'!$A$36&gt;35,N142+M143-V142,IF(A143&lt;'Données projet'!$A$36,$K$205^A143,IF(A143='Données projet'!$A$36,'Données projet'!$B$36,N142+M143-V142)))</f>
        <v>218.00000000000009</v>
      </c>
      <c r="O143" s="14">
        <f>N143*VLOOKUP('Données projet'!$B$9,Paramètres!$A$1:$I$89,3,0)*VLOOKUP('Données projet'!$B$9,Paramètres!$A$1:$I$89,5,0)</f>
        <v>197.24640000000008</v>
      </c>
      <c r="P143" s="14">
        <f t="shared" si="141"/>
        <v>49.138522374247245</v>
      </c>
      <c r="Q143" s="22">
        <f t="shared" si="108"/>
        <v>429.12040646848072</v>
      </c>
      <c r="R143" s="62">
        <f t="shared" si="109"/>
        <v>722.45373980181398</v>
      </c>
      <c r="S143" s="62">
        <f ca="1">AVERAGE(OFFSET($R$3,0,0,'Données projet'!$E$9+1,1))-AVERAGE(OFFSET($H$3,0,0,'Données projet'!$E$9+1,1))</f>
        <v>177.70053246230015</v>
      </c>
      <c r="T143" s="62">
        <f t="shared" si="142"/>
        <v>85.631326020763254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8.5265128291212022E-14</v>
      </c>
      <c r="AJ143" s="14">
        <f>AI143*VLOOKUP('Données projet'!$B$10,Paramètres!$A$1:$I$89,3,0)*VLOOKUP('Données projet'!$B$10,Paramètres!$A$1:$I$89,5,0)</f>
        <v>7.4487616075202836E-14</v>
      </c>
      <c r="AK143" s="14">
        <f t="shared" si="143"/>
        <v>1.1580453144473142E-12</v>
      </c>
      <c r="AL143" s="22">
        <f t="shared" si="112"/>
        <v>2.1466615206600508E-12</v>
      </c>
      <c r="AM143" s="62">
        <f t="shared" si="113"/>
        <v>293.33333333333547</v>
      </c>
      <c r="AN143" s="62">
        <f ca="1">AVERAGE(OFFSET($AM$3,0,0,'Données projet'!$E$10+1,1))-AVERAGE(OFFSET($H$3,0,0,'Données projet'!$E$10+1,1))</f>
        <v>212.11273590951606</v>
      </c>
      <c r="AO143" s="62">
        <f t="shared" si="144"/>
        <v>240.9595690943346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2.2737367544323206E-13</v>
      </c>
      <c r="BE143" s="14">
        <f>BD143*VLOOKUP('Données projet'!$B$11,Paramètres!$A$1:$I$89,3,0)*VLOOKUP('Données projet'!$B$11,Paramètres!$A$1:$I$89,5,0)</f>
        <v>1.3596945791505279E-13</v>
      </c>
      <c r="BF143" s="14">
        <f t="shared" si="145"/>
        <v>1.9708830566360721E-12</v>
      </c>
      <c r="BG143" s="22">
        <f t="shared" si="115"/>
        <v>3.669434796176543E-12</v>
      </c>
      <c r="BH143" s="62">
        <f t="shared" si="116"/>
        <v>293.33333333333701</v>
      </c>
      <c r="BI143" s="62">
        <f ca="1">AVERAGE(OFFSET($BH$3,0,0,'Données projet'!$E$11+1,1))-AVERAGE(OFFSET($H$3,0,0,'Données projet'!$E$11+1,1))</f>
        <v>172.49153247238672</v>
      </c>
      <c r="BJ143" s="62">
        <f t="shared" si="146"/>
        <v>301.94982606323254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3.2689061757452702</v>
      </c>
      <c r="BQ143" s="23">
        <f>EXP(-LN(2)/25)*BQ142+(1-EXP(-LN(2)/25))/(LN(2)/25)*Calculateur!BL143*Calculateur!BN143*VLOOKUP('Données projet'!$B$11,Paramètres!$A$1:$I$89,3,0)*0.475*44/12</f>
        <v>0.6550271874327761</v>
      </c>
      <c r="BR143" s="23">
        <f>EXP(-LN(2)/2)*BR142+(1-EXP(-LN(2)/2))/(LN(2)/2)*BL143*BO143*VLOOKUP('Données projet'!$B$11,Paramètres!$A$1:$I$89,3,0)*0.475*44/12</f>
        <v>1.6164915546741086E-16</v>
      </c>
      <c r="BS143" s="24">
        <f t="shared" si="117"/>
        <v>3.9239333631780462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3.4106051316484809E-13</v>
      </c>
      <c r="BZ143" s="14">
        <f>BY143*VLOOKUP('Données projet'!$B$12,Paramètres!$A$1:$I$89,3,0)*VLOOKUP('Données projet'!$B$12,Paramètres!$A$1:$I$89,5,0)</f>
        <v>1.9508661353029313E-13</v>
      </c>
      <c r="CA143" s="14">
        <f t="shared" si="147"/>
        <v>2.711421636700695E-12</v>
      </c>
      <c r="CB143" s="22">
        <f t="shared" si="118"/>
        <v>5.0621685358189711E-12</v>
      </c>
      <c r="CC143" s="62">
        <f t="shared" si="119"/>
        <v>293.33333333333837</v>
      </c>
      <c r="CD143" s="62">
        <f ca="1">AVERAGE(OFFSET($CC$3,0,0,'Données projet'!$E$12+1,1))-AVERAGE(OFFSET($H$3,0,0,'Données projet'!$E$12+1,1))</f>
        <v>177.71338645688661</v>
      </c>
      <c r="CE143" s="62">
        <f t="shared" si="148"/>
        <v>153.65872713651345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8.4146646207772319E-2</v>
      </c>
      <c r="CM143" s="23">
        <f>EXP(-LN(2)/2)*CM142+(1-EXP(-LN(2)/2))/(LN(2)/2)*CG143*CJ143*VLOOKUP('Données projet'!$B$12,Paramètres!$A$1:$I$89,3,0)*0.475*44/12</f>
        <v>1.9065933227318029E-17</v>
      </c>
      <c r="CN143" s="24">
        <f t="shared" si="120"/>
        <v>8.4146646207772333E-2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-7.4487616075202823E-14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118.65321241325523</v>
      </c>
      <c r="CZ143" s="62">
        <f t="shared" si="150"/>
        <v>140.55041555757327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2.6</v>
      </c>
      <c r="DO143" s="13">
        <f>IF('Données projet'!$A$166&gt;35,DO142+DN143-DW142,IF(A143&lt;'Données projet'!$A$166,$DL$205^A143,IF(A143='Données projet'!$A$166,'Données projet'!$B$166,DO142+DN143-DW142)))</f>
        <v>281.99999999999943</v>
      </c>
      <c r="DP143" s="18">
        <f>DO143*VLOOKUP('Données projet'!$B$14,Paramètres!$A$1:$I$89,3,0)*VLOOKUP('Données projet'!$B$14,Paramètres!$A$1:$I$89,5,0)</f>
        <v>285.94799999999947</v>
      </c>
      <c r="DQ143" s="14">
        <f t="shared" si="151"/>
        <v>68.222450362989306</v>
      </c>
      <c r="DR143" s="22">
        <f t="shared" si="124"/>
        <v>616.84686771553879</v>
      </c>
      <c r="DS143" s="62">
        <f t="shared" si="125"/>
        <v>910.18020104887205</v>
      </c>
      <c r="DT143" s="62">
        <f ca="1">AVERAGE(OFFSET($DS$3,0,0,'Données projet'!$E$14+1,1))-AVERAGE(OFFSET($H$3,0,0,'Données projet'!$E$14+1,1))</f>
        <v>328.70784159273131</v>
      </c>
      <c r="DU143" s="62">
        <f t="shared" si="152"/>
        <v>193.18009444354601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1.6</v>
      </c>
      <c r="N144" s="14">
        <f>IF('Données projet'!$A$36&gt;35,N143+M144-V143,IF(A144&lt;'Données projet'!$A$36,$K$205^A144,IF(A144='Données projet'!$A$36,'Données projet'!$B$36,N143+M144-V143)))</f>
        <v>219.60000000000008</v>
      </c>
      <c r="O144" s="14">
        <f>N144*VLOOKUP('Données projet'!$B$9,Paramètres!$A$1:$I$89,3,0)*VLOOKUP('Données projet'!$B$9,Paramètres!$A$1:$I$89,5,0)</f>
        <v>198.69408000000007</v>
      </c>
      <c r="P144" s="14">
        <f t="shared" si="141"/>
        <v>49.457056702547391</v>
      </c>
      <c r="Q144" s="22">
        <f t="shared" si="108"/>
        <v>432.1965630902701</v>
      </c>
      <c r="R144" s="62">
        <f t="shared" si="109"/>
        <v>725.52989642360342</v>
      </c>
      <c r="S144" s="62">
        <f ca="1">AVERAGE(OFFSET($R$3,0,0,'Données projet'!$E$9+1,1))-AVERAGE(OFFSET($H$3,0,0,'Données projet'!$E$9+1,1))</f>
        <v>177.70053246230015</v>
      </c>
      <c r="T144" s="62">
        <f t="shared" si="142"/>
        <v>85.631326020763254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8.5265128291212022E-14</v>
      </c>
      <c r="AJ144" s="14">
        <f>AI144*VLOOKUP('Données projet'!$B$10,Paramètres!$A$1:$I$89,3,0)*VLOOKUP('Données projet'!$B$10,Paramètres!$A$1:$I$89,5,0)</f>
        <v>7.4487616075202836E-14</v>
      </c>
      <c r="AK144" s="14">
        <f t="shared" si="143"/>
        <v>1.1580453144473142E-12</v>
      </c>
      <c r="AL144" s="22">
        <f t="shared" si="112"/>
        <v>2.1466615206600508E-12</v>
      </c>
      <c r="AM144" s="62">
        <f t="shared" si="113"/>
        <v>293.33333333333547</v>
      </c>
      <c r="AN144" s="62">
        <f ca="1">AVERAGE(OFFSET($AM$3,0,0,'Données projet'!$E$10+1,1))-AVERAGE(OFFSET($H$3,0,0,'Données projet'!$E$10+1,1))</f>
        <v>212.11273590951606</v>
      </c>
      <c r="AO144" s="62">
        <f t="shared" si="144"/>
        <v>240.9595690943346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2.2737367544323206E-13</v>
      </c>
      <c r="BE144" s="14">
        <f>BD144*VLOOKUP('Données projet'!$B$11,Paramètres!$A$1:$I$89,3,0)*VLOOKUP('Données projet'!$B$11,Paramètres!$A$1:$I$89,5,0)</f>
        <v>1.3596945791505279E-13</v>
      </c>
      <c r="BF144" s="14">
        <f t="shared" si="145"/>
        <v>1.9708830566360721E-12</v>
      </c>
      <c r="BG144" s="22">
        <f t="shared" si="115"/>
        <v>3.669434796176543E-12</v>
      </c>
      <c r="BH144" s="62">
        <f t="shared" si="116"/>
        <v>293.33333333333701</v>
      </c>
      <c r="BI144" s="62">
        <f ca="1">AVERAGE(OFFSET($BH$3,0,0,'Données projet'!$E$11+1,1))-AVERAGE(OFFSET($H$3,0,0,'Données projet'!$E$11+1,1))</f>
        <v>172.49153247238672</v>
      </c>
      <c r="BJ144" s="62">
        <f t="shared" si="146"/>
        <v>301.94982606323254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3.2048049194747978</v>
      </c>
      <c r="BQ144" s="23">
        <f>EXP(-LN(2)/25)*BQ143+(1-EXP(-LN(2)/25))/(LN(2)/25)*Calculateur!BL144*Calculateur!BN144*VLOOKUP('Données projet'!$B$11,Paramètres!$A$1:$I$89,3,0)*0.475*44/12</f>
        <v>0.63711543454604413</v>
      </c>
      <c r="BR144" s="23">
        <f>EXP(-LN(2)/2)*BR143+(1-EXP(-LN(2)/2))/(LN(2)/2)*BL144*BO144*VLOOKUP('Données projet'!$B$11,Paramètres!$A$1:$I$89,3,0)*0.475*44/12</f>
        <v>1.1430321400408469E-16</v>
      </c>
      <c r="BS144" s="24">
        <f t="shared" si="117"/>
        <v>3.841920354020842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3.4106051316484809E-13</v>
      </c>
      <c r="BZ144" s="14">
        <f>BY144*VLOOKUP('Données projet'!$B$12,Paramètres!$A$1:$I$89,3,0)*VLOOKUP('Données projet'!$B$12,Paramètres!$A$1:$I$89,5,0)</f>
        <v>1.9508661353029313E-13</v>
      </c>
      <c r="CA144" s="14">
        <f t="shared" si="147"/>
        <v>2.711421636700695E-12</v>
      </c>
      <c r="CB144" s="22">
        <f t="shared" si="118"/>
        <v>5.0621685358189711E-12</v>
      </c>
      <c r="CC144" s="62">
        <f t="shared" si="119"/>
        <v>293.33333333333837</v>
      </c>
      <c r="CD144" s="62">
        <f ca="1">AVERAGE(OFFSET($CC$3,0,0,'Données projet'!$E$12+1,1))-AVERAGE(OFFSET($H$3,0,0,'Données projet'!$E$12+1,1))</f>
        <v>177.71338645688661</v>
      </c>
      <c r="CE144" s="62">
        <f t="shared" si="148"/>
        <v>153.65872713651345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8.1845651742140979E-2</v>
      </c>
      <c r="CM144" s="23">
        <f>EXP(-LN(2)/2)*CM143+(1-EXP(-LN(2)/2))/(LN(2)/2)*CG144*CJ144*VLOOKUP('Données projet'!$B$12,Paramètres!$A$1:$I$89,3,0)*0.475*44/12</f>
        <v>1.3481650674686496E-17</v>
      </c>
      <c r="CN144" s="24">
        <f t="shared" si="120"/>
        <v>8.1845651742140993E-2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-7.4487616075202823E-14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118.65321241325523</v>
      </c>
      <c r="CZ144" s="62">
        <f t="shared" si="150"/>
        <v>140.55041555757327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2.6</v>
      </c>
      <c r="DO144" s="13">
        <f>IF('Données projet'!$A$166&gt;35,DO143+DN144-DW143,IF(A144&lt;'Données projet'!$A$166,$DL$205^A144,IF(A144='Données projet'!$A$166,'Données projet'!$B$166,DO143+DN144-DW143)))</f>
        <v>284.59999999999945</v>
      </c>
      <c r="DP144" s="18">
        <f>DO144*VLOOKUP('Données projet'!$B$14,Paramètres!$A$1:$I$89,3,0)*VLOOKUP('Données projet'!$B$14,Paramètres!$A$1:$I$89,5,0)</f>
        <v>288.58439999999945</v>
      </c>
      <c r="DQ144" s="14">
        <f t="shared" si="151"/>
        <v>68.777938711388487</v>
      </c>
      <c r="DR144" s="22">
        <f t="shared" si="124"/>
        <v>622.40607325566725</v>
      </c>
      <c r="DS144" s="62">
        <f t="shared" si="125"/>
        <v>915.73940658900051</v>
      </c>
      <c r="DT144" s="62">
        <f ca="1">AVERAGE(OFFSET($DS$3,0,0,'Données projet'!$E$14+1,1))-AVERAGE(OFFSET($H$3,0,0,'Données projet'!$E$14+1,1))</f>
        <v>328.70784159273131</v>
      </c>
      <c r="DU144" s="62">
        <f t="shared" si="152"/>
        <v>193.18009444354601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1.6</v>
      </c>
      <c r="N145" s="14">
        <f>IF('Données projet'!$A$36&gt;35,N144+M145-V144,IF(A145&lt;'Données projet'!$A$36,$K$205^A145,IF(A145='Données projet'!$A$36,'Données projet'!$B$36,N144+M145-V144)))</f>
        <v>221.20000000000007</v>
      </c>
      <c r="O145" s="14">
        <f>N145*VLOOKUP('Données projet'!$B$9,Paramètres!$A$1:$I$89,3,0)*VLOOKUP('Données projet'!$B$9,Paramètres!$A$1:$I$89,5,0)</f>
        <v>200.14176000000003</v>
      </c>
      <c r="P145" s="14">
        <f t="shared" si="141"/>
        <v>49.775320997880847</v>
      </c>
      <c r="Q145" s="22">
        <f t="shared" si="108"/>
        <v>435.27224940464248</v>
      </c>
      <c r="R145" s="62">
        <f t="shared" si="109"/>
        <v>728.60558273797574</v>
      </c>
      <c r="S145" s="62">
        <f ca="1">AVERAGE(OFFSET($R$3,0,0,'Données projet'!$E$9+1,1))-AVERAGE(OFFSET($H$3,0,0,'Données projet'!$E$9+1,1))</f>
        <v>177.70053246230015</v>
      </c>
      <c r="T145" s="62">
        <f t="shared" si="142"/>
        <v>85.631326020763254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8.5265128291212022E-14</v>
      </c>
      <c r="AJ145" s="14">
        <f>AI145*VLOOKUP('Données projet'!$B$10,Paramètres!$A$1:$I$89,3,0)*VLOOKUP('Données projet'!$B$10,Paramètres!$A$1:$I$89,5,0)</f>
        <v>7.4487616075202836E-14</v>
      </c>
      <c r="AK145" s="14">
        <f t="shared" si="143"/>
        <v>1.1580453144473142E-12</v>
      </c>
      <c r="AL145" s="22">
        <f t="shared" si="112"/>
        <v>2.1466615206600508E-12</v>
      </c>
      <c r="AM145" s="62">
        <f t="shared" si="113"/>
        <v>293.33333333333547</v>
      </c>
      <c r="AN145" s="62">
        <f ca="1">AVERAGE(OFFSET($AM$3,0,0,'Données projet'!$E$10+1,1))-AVERAGE(OFFSET($H$3,0,0,'Données projet'!$E$10+1,1))</f>
        <v>212.11273590951606</v>
      </c>
      <c r="AO145" s="62">
        <f t="shared" si="144"/>
        <v>240.9595690943346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2.2737367544323206E-13</v>
      </c>
      <c r="BE145" s="14">
        <f>BD145*VLOOKUP('Données projet'!$B$11,Paramètres!$A$1:$I$89,3,0)*VLOOKUP('Données projet'!$B$11,Paramètres!$A$1:$I$89,5,0)</f>
        <v>1.3596945791505279E-13</v>
      </c>
      <c r="BF145" s="14">
        <f t="shared" si="145"/>
        <v>1.9708830566360721E-12</v>
      </c>
      <c r="BG145" s="22">
        <f t="shared" si="115"/>
        <v>3.669434796176543E-12</v>
      </c>
      <c r="BH145" s="62">
        <f t="shared" si="116"/>
        <v>293.33333333333701</v>
      </c>
      <c r="BI145" s="62">
        <f ca="1">AVERAGE(OFFSET($BH$3,0,0,'Données projet'!$E$11+1,1))-AVERAGE(OFFSET($H$3,0,0,'Données projet'!$E$11+1,1))</f>
        <v>172.49153247238672</v>
      </c>
      <c r="BJ145" s="62">
        <f t="shared" si="146"/>
        <v>301.94982606323254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3.1419606497418835</v>
      </c>
      <c r="BQ145" s="23">
        <f>EXP(-LN(2)/25)*BQ144+(1-EXP(-LN(2)/25))/(LN(2)/25)*Calculateur!BL145*Calculateur!BN145*VLOOKUP('Données projet'!$B$11,Paramètres!$A$1:$I$89,3,0)*0.475*44/12</f>
        <v>0.61969347948393805</v>
      </c>
      <c r="BR145" s="23">
        <f>EXP(-LN(2)/2)*BR144+(1-EXP(-LN(2)/2))/(LN(2)/2)*BL145*BO145*VLOOKUP('Données projet'!$B$11,Paramètres!$A$1:$I$89,3,0)*0.475*44/12</f>
        <v>8.0824577733705431E-17</v>
      </c>
      <c r="BS145" s="24">
        <f t="shared" si="117"/>
        <v>3.7616541292258217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3.4106051316484809E-13</v>
      </c>
      <c r="BZ145" s="14">
        <f>BY145*VLOOKUP('Données projet'!$B$12,Paramètres!$A$1:$I$89,3,0)*VLOOKUP('Données projet'!$B$12,Paramètres!$A$1:$I$89,5,0)</f>
        <v>1.9508661353029313E-13</v>
      </c>
      <c r="CA145" s="14">
        <f t="shared" si="147"/>
        <v>2.711421636700695E-12</v>
      </c>
      <c r="CB145" s="22">
        <f t="shared" si="118"/>
        <v>5.0621685358189711E-12</v>
      </c>
      <c r="CC145" s="62">
        <f t="shared" si="119"/>
        <v>293.33333333333837</v>
      </c>
      <c r="CD145" s="62">
        <f ca="1">AVERAGE(OFFSET($CC$3,0,0,'Données projet'!$E$12+1,1))-AVERAGE(OFFSET($H$3,0,0,'Données projet'!$E$12+1,1))</f>
        <v>177.71338645688661</v>
      </c>
      <c r="CE145" s="62">
        <f t="shared" si="148"/>
        <v>153.65872713651345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7.960757809117637E-2</v>
      </c>
      <c r="CM145" s="23">
        <f>EXP(-LN(2)/2)*CM144+(1-EXP(-LN(2)/2))/(LN(2)/2)*CG145*CJ145*VLOOKUP('Données projet'!$B$12,Paramètres!$A$1:$I$89,3,0)*0.475*44/12</f>
        <v>9.5329666136590163E-18</v>
      </c>
      <c r="CN145" s="24">
        <f t="shared" si="120"/>
        <v>7.9607578091176384E-2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-7.4487616075202823E-14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118.65321241325523</v>
      </c>
      <c r="CZ145" s="62">
        <f t="shared" si="150"/>
        <v>140.55041555757327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2.6</v>
      </c>
      <c r="DO145" s="13">
        <f>IF('Données projet'!$A$166&gt;35,DO144+DN145-DW144,IF(A145&lt;'Données projet'!$A$166,$DL$205^A145,IF(A145='Données projet'!$A$166,'Données projet'!$B$166,DO144+DN145-DW144)))</f>
        <v>287.19999999999948</v>
      </c>
      <c r="DP145" s="18">
        <f>DO145*VLOOKUP('Données projet'!$B$14,Paramètres!$A$1:$I$89,3,0)*VLOOKUP('Données projet'!$B$14,Paramètres!$A$1:$I$89,5,0)</f>
        <v>291.22079999999949</v>
      </c>
      <c r="DQ145" s="14">
        <f t="shared" si="151"/>
        <v>69.332836665856547</v>
      </c>
      <c r="DR145" s="22">
        <f t="shared" si="124"/>
        <v>627.96425052636596</v>
      </c>
      <c r="DS145" s="62">
        <f t="shared" si="125"/>
        <v>921.29758385969922</v>
      </c>
      <c r="DT145" s="62">
        <f ca="1">AVERAGE(OFFSET($DS$3,0,0,'Données projet'!$E$14+1,1))-AVERAGE(OFFSET($H$3,0,0,'Données projet'!$E$14+1,1))</f>
        <v>328.70784159273131</v>
      </c>
      <c r="DU145" s="62">
        <f t="shared" si="152"/>
        <v>193.18009444354601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1.6</v>
      </c>
      <c r="N146" s="14">
        <f>IF('Données projet'!$A$36&gt;35,N145+M146-V145,IF(A146&lt;'Données projet'!$A$36,$K$205^A146,IF(A146='Données projet'!$A$36,'Données projet'!$B$36,N145+M146-V145)))</f>
        <v>222.80000000000007</v>
      </c>
      <c r="O146" s="14">
        <f>N146*VLOOKUP('Données projet'!$B$9,Paramètres!$A$1:$I$89,3,0)*VLOOKUP('Données projet'!$B$9,Paramètres!$A$1:$I$89,5,0)</f>
        <v>201.58944000000002</v>
      </c>
      <c r="P146" s="14">
        <f t="shared" si="141"/>
        <v>50.093317439945402</v>
      </c>
      <c r="Q146" s="22">
        <f t="shared" si="108"/>
        <v>438.34746920790491</v>
      </c>
      <c r="R146" s="62">
        <f t="shared" si="109"/>
        <v>731.68080254123822</v>
      </c>
      <c r="S146" s="62">
        <f ca="1">AVERAGE(OFFSET($R$3,0,0,'Données projet'!$E$9+1,1))-AVERAGE(OFFSET($H$3,0,0,'Données projet'!$E$9+1,1))</f>
        <v>177.70053246230015</v>
      </c>
      <c r="T146" s="62">
        <f t="shared" si="142"/>
        <v>85.631326020763254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8.5265128291212022E-14</v>
      </c>
      <c r="AJ146" s="14">
        <f>AI146*VLOOKUP('Données projet'!$B$10,Paramètres!$A$1:$I$89,3,0)*VLOOKUP('Données projet'!$B$10,Paramètres!$A$1:$I$89,5,0)</f>
        <v>7.4487616075202836E-14</v>
      </c>
      <c r="AK146" s="14">
        <f t="shared" si="143"/>
        <v>1.1580453144473142E-12</v>
      </c>
      <c r="AL146" s="22">
        <f t="shared" si="112"/>
        <v>2.1466615206600508E-12</v>
      </c>
      <c r="AM146" s="62">
        <f t="shared" si="113"/>
        <v>293.33333333333547</v>
      </c>
      <c r="AN146" s="62">
        <f ca="1">AVERAGE(OFFSET($AM$3,0,0,'Données projet'!$E$10+1,1))-AVERAGE(OFFSET($H$3,0,0,'Données projet'!$E$10+1,1))</f>
        <v>212.11273590951606</v>
      </c>
      <c r="AO146" s="62">
        <f t="shared" si="144"/>
        <v>240.9595690943346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2.2737367544323206E-13</v>
      </c>
      <c r="BE146" s="14">
        <f>BD146*VLOOKUP('Données projet'!$B$11,Paramètres!$A$1:$I$89,3,0)*VLOOKUP('Données projet'!$B$11,Paramètres!$A$1:$I$89,5,0)</f>
        <v>1.3596945791505279E-13</v>
      </c>
      <c r="BF146" s="14">
        <f t="shared" si="145"/>
        <v>1.9708830566360721E-12</v>
      </c>
      <c r="BG146" s="22">
        <f t="shared" si="115"/>
        <v>3.669434796176543E-12</v>
      </c>
      <c r="BH146" s="62">
        <f t="shared" si="116"/>
        <v>293.33333333333701</v>
      </c>
      <c r="BI146" s="62">
        <f ca="1">AVERAGE(OFFSET($BH$3,0,0,'Données projet'!$E$11+1,1))-AVERAGE(OFFSET($H$3,0,0,'Données projet'!$E$11+1,1))</f>
        <v>172.49153247238672</v>
      </c>
      <c r="BJ146" s="62">
        <f t="shared" si="146"/>
        <v>301.94982606323254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3.0803487178072122</v>
      </c>
      <c r="BQ146" s="23">
        <f>EXP(-LN(2)/25)*BQ145+(1-EXP(-LN(2)/25))/(LN(2)/25)*Calculateur!BL146*Calculateur!BN146*VLOOKUP('Données projet'!$B$11,Paramètres!$A$1:$I$89,3,0)*0.475*44/12</f>
        <v>0.60274792869918603</v>
      </c>
      <c r="BR146" s="23">
        <f>EXP(-LN(2)/2)*BR145+(1-EXP(-LN(2)/2))/(LN(2)/2)*BL146*BO146*VLOOKUP('Données projet'!$B$11,Paramètres!$A$1:$I$89,3,0)*0.475*44/12</f>
        <v>5.7151607002042347E-17</v>
      </c>
      <c r="BS146" s="24">
        <f t="shared" si="117"/>
        <v>3.6830966465063981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3.4106051316484809E-13</v>
      </c>
      <c r="BZ146" s="14">
        <f>BY146*VLOOKUP('Données projet'!$B$12,Paramètres!$A$1:$I$89,3,0)*VLOOKUP('Données projet'!$B$12,Paramètres!$A$1:$I$89,5,0)</f>
        <v>1.9508661353029313E-13</v>
      </c>
      <c r="CA146" s="14">
        <f t="shared" si="147"/>
        <v>2.711421636700695E-12</v>
      </c>
      <c r="CB146" s="22">
        <f t="shared" si="118"/>
        <v>5.0621685358189711E-12</v>
      </c>
      <c r="CC146" s="62">
        <f t="shared" si="119"/>
        <v>293.33333333333837</v>
      </c>
      <c r="CD146" s="62">
        <f ca="1">AVERAGE(OFFSET($CC$3,0,0,'Données projet'!$E$12+1,1))-AVERAGE(OFFSET($H$3,0,0,'Données projet'!$E$12+1,1))</f>
        <v>177.71338645688661</v>
      </c>
      <c r="CE146" s="62">
        <f t="shared" si="148"/>
        <v>153.65872713651345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7.7430704681892559E-2</v>
      </c>
      <c r="CM146" s="23">
        <f>EXP(-LN(2)/2)*CM145+(1-EXP(-LN(2)/2))/(LN(2)/2)*CG146*CJ146*VLOOKUP('Données projet'!$B$12,Paramètres!$A$1:$I$89,3,0)*0.475*44/12</f>
        <v>6.7408253373432495E-18</v>
      </c>
      <c r="CN146" s="24">
        <f t="shared" si="120"/>
        <v>7.7430704681892559E-2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-7.4487616075202823E-14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118.65321241325523</v>
      </c>
      <c r="CZ146" s="62">
        <f t="shared" si="150"/>
        <v>140.55041555757327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2.6</v>
      </c>
      <c r="DO146" s="13">
        <f>IF('Données projet'!$A$166&gt;35,DO145+DN146-DW145,IF(A146&lt;'Données projet'!$A$166,$DL$205^A146,IF(A146='Données projet'!$A$166,'Données projet'!$B$166,DO145+DN146-DW145)))</f>
        <v>289.7999999999995</v>
      </c>
      <c r="DP146" s="18">
        <f>DO146*VLOOKUP('Données projet'!$B$14,Paramètres!$A$1:$I$89,3,0)*VLOOKUP('Données projet'!$B$14,Paramètres!$A$1:$I$89,5,0)</f>
        <v>293.85719999999952</v>
      </c>
      <c r="DQ146" s="14">
        <f t="shared" si="151"/>
        <v>69.88715019033971</v>
      </c>
      <c r="DR146" s="22">
        <f t="shared" si="124"/>
        <v>633.52140991484077</v>
      </c>
      <c r="DS146" s="62">
        <f t="shared" si="125"/>
        <v>926.85474324817415</v>
      </c>
      <c r="DT146" s="62">
        <f ca="1">AVERAGE(OFFSET($DS$3,0,0,'Données projet'!$E$14+1,1))-AVERAGE(OFFSET($H$3,0,0,'Données projet'!$E$14+1,1))</f>
        <v>328.70784159273131</v>
      </c>
      <c r="DU146" s="62">
        <f t="shared" si="152"/>
        <v>193.18009444354601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1.6</v>
      </c>
      <c r="N147" s="14">
        <f>IF('Données projet'!$A$36&gt;35,N146+M147-V146,IF(A147&lt;'Données projet'!$A$36,$K$205^A147,IF(A147='Données projet'!$A$36,'Données projet'!$B$36,N146+M147-V146)))</f>
        <v>224.40000000000006</v>
      </c>
      <c r="O147" s="14">
        <f>N147*VLOOKUP('Données projet'!$B$9,Paramètres!$A$1:$I$89,3,0)*VLOOKUP('Données projet'!$B$9,Paramètres!$A$1:$I$89,5,0)</f>
        <v>203.03712000000004</v>
      </c>
      <c r="P147" s="14">
        <f t="shared" si="141"/>
        <v>50.411048175323337</v>
      </c>
      <c r="Q147" s="22">
        <f t="shared" si="108"/>
        <v>441.42222623868821</v>
      </c>
      <c r="R147" s="62">
        <f t="shared" si="109"/>
        <v>734.75555957202153</v>
      </c>
      <c r="S147" s="62">
        <f ca="1">AVERAGE(OFFSET($R$3,0,0,'Données projet'!$E$9+1,1))-AVERAGE(OFFSET($H$3,0,0,'Données projet'!$E$9+1,1))</f>
        <v>177.70053246230015</v>
      </c>
      <c r="T147" s="62">
        <f t="shared" si="142"/>
        <v>85.631326020763254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8.5265128291212022E-14</v>
      </c>
      <c r="AJ147" s="14">
        <f>AI147*VLOOKUP('Données projet'!$B$10,Paramètres!$A$1:$I$89,3,0)*VLOOKUP('Données projet'!$B$10,Paramètres!$A$1:$I$89,5,0)</f>
        <v>7.4487616075202836E-14</v>
      </c>
      <c r="AK147" s="14">
        <f t="shared" si="143"/>
        <v>1.1580453144473142E-12</v>
      </c>
      <c r="AL147" s="22">
        <f t="shared" si="112"/>
        <v>2.1466615206600508E-12</v>
      </c>
      <c r="AM147" s="62">
        <f t="shared" si="113"/>
        <v>293.33333333333547</v>
      </c>
      <c r="AN147" s="62">
        <f ca="1">AVERAGE(OFFSET($AM$3,0,0,'Données projet'!$E$10+1,1))-AVERAGE(OFFSET($H$3,0,0,'Données projet'!$E$10+1,1))</f>
        <v>212.11273590951606</v>
      </c>
      <c r="AO147" s="62">
        <f t="shared" si="144"/>
        <v>240.9595690943346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2.2737367544323206E-13</v>
      </c>
      <c r="BE147" s="14">
        <f>BD147*VLOOKUP('Données projet'!$B$11,Paramètres!$A$1:$I$89,3,0)*VLOOKUP('Données projet'!$B$11,Paramètres!$A$1:$I$89,5,0)</f>
        <v>1.3596945791505279E-13</v>
      </c>
      <c r="BF147" s="14">
        <f t="shared" si="145"/>
        <v>1.9708830566360721E-12</v>
      </c>
      <c r="BG147" s="22">
        <f t="shared" si="115"/>
        <v>3.669434796176543E-12</v>
      </c>
      <c r="BH147" s="62">
        <f t="shared" si="116"/>
        <v>293.33333333333701</v>
      </c>
      <c r="BI147" s="62">
        <f ca="1">AVERAGE(OFFSET($BH$3,0,0,'Données projet'!$E$11+1,1))-AVERAGE(OFFSET($H$3,0,0,'Données projet'!$E$11+1,1))</f>
        <v>172.49153247238672</v>
      </c>
      <c r="BJ147" s="62">
        <f t="shared" si="146"/>
        <v>301.94982606323254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3.0199449582782116</v>
      </c>
      <c r="BQ147" s="23">
        <f>EXP(-LN(2)/25)*BQ146+(1-EXP(-LN(2)/25))/(LN(2)/25)*Calculateur!BL147*Calculateur!BN147*VLOOKUP('Données projet'!$B$11,Paramètres!$A$1:$I$89,3,0)*0.475*44/12</f>
        <v>0.5862657548917708</v>
      </c>
      <c r="BR147" s="23">
        <f>EXP(-LN(2)/2)*BR146+(1-EXP(-LN(2)/2))/(LN(2)/2)*BL147*BO147*VLOOKUP('Données projet'!$B$11,Paramètres!$A$1:$I$89,3,0)*0.475*44/12</f>
        <v>4.0412288866852716E-17</v>
      </c>
      <c r="BS147" s="24">
        <f t="shared" si="117"/>
        <v>3.6062107131699825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3.4106051316484809E-13</v>
      </c>
      <c r="BZ147" s="14">
        <f>BY147*VLOOKUP('Données projet'!$B$12,Paramètres!$A$1:$I$89,3,0)*VLOOKUP('Données projet'!$B$12,Paramètres!$A$1:$I$89,5,0)</f>
        <v>1.9508661353029313E-13</v>
      </c>
      <c r="CA147" s="14">
        <f t="shared" si="147"/>
        <v>2.711421636700695E-12</v>
      </c>
      <c r="CB147" s="22">
        <f t="shared" si="118"/>
        <v>5.0621685358189711E-12</v>
      </c>
      <c r="CC147" s="62">
        <f t="shared" si="119"/>
        <v>293.33333333333837</v>
      </c>
      <c r="CD147" s="62">
        <f ca="1">AVERAGE(OFFSET($CC$3,0,0,'Données projet'!$E$12+1,1))-AVERAGE(OFFSET($H$3,0,0,'Données projet'!$E$12+1,1))</f>
        <v>177.71338645688661</v>
      </c>
      <c r="CE147" s="62">
        <f t="shared" si="148"/>
        <v>153.65872713651345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7.5313357990462418E-2</v>
      </c>
      <c r="CM147" s="23">
        <f>EXP(-LN(2)/2)*CM146+(1-EXP(-LN(2)/2))/(LN(2)/2)*CG147*CJ147*VLOOKUP('Données projet'!$B$12,Paramètres!$A$1:$I$89,3,0)*0.475*44/12</f>
        <v>4.7664833068295089E-18</v>
      </c>
      <c r="CN147" s="24">
        <f t="shared" si="120"/>
        <v>7.5313357990462418E-2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-7.4487616075202823E-14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118.65321241325523</v>
      </c>
      <c r="CZ147" s="62">
        <f t="shared" si="150"/>
        <v>140.55041555757327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2.6</v>
      </c>
      <c r="DO147" s="13">
        <f>IF('Données projet'!$A$166&gt;35,DO146+DN147-DW146,IF(A147&lt;'Données projet'!$A$166,$DL$205^A147,IF(A147='Données projet'!$A$166,'Données projet'!$B$166,DO146+DN147-DW146)))</f>
        <v>292.39999999999952</v>
      </c>
      <c r="DP147" s="18">
        <f>DO147*VLOOKUP('Données projet'!$B$14,Paramètres!$A$1:$I$89,3,0)*VLOOKUP('Données projet'!$B$14,Paramètres!$A$1:$I$89,5,0)</f>
        <v>296.4935999999995</v>
      </c>
      <c r="DQ147" s="14">
        <f t="shared" si="151"/>
        <v>70.440885135597512</v>
      </c>
      <c r="DR147" s="22">
        <f t="shared" si="124"/>
        <v>639.07756161116481</v>
      </c>
      <c r="DS147" s="62">
        <f t="shared" si="125"/>
        <v>932.41089494449807</v>
      </c>
      <c r="DT147" s="62">
        <f ca="1">AVERAGE(OFFSET($DS$3,0,0,'Données projet'!$E$14+1,1))-AVERAGE(OFFSET($H$3,0,0,'Données projet'!$E$14+1,1))</f>
        <v>328.70784159273131</v>
      </c>
      <c r="DU147" s="62">
        <f t="shared" si="152"/>
        <v>193.18009444354601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226</v>
      </c>
      <c r="L148" s="13">
        <f>VLOOKUP(A148,'Données projet'!$A$35:$I$55,9,0)</f>
        <v>1.6</v>
      </c>
      <c r="M148" s="13">
        <f t="array" ref="M148">INDEX(L:L,MIN(IF(ISNUMBER(L148:L344),ROW(L148:L344),"")))</f>
        <v>1.6</v>
      </c>
      <c r="N148" s="14">
        <f>IF('Données projet'!$A$36&gt;35,N147+M148-V147,IF(A148&lt;'Données projet'!$A$36,$K$205^A148,IF(A148='Données projet'!$A$36,'Données projet'!$B$36,N147+M148-V147)))</f>
        <v>226.00000000000006</v>
      </c>
      <c r="O148" s="14">
        <f>N148*VLOOKUP('Données projet'!$B$9,Paramètres!$A$1:$I$89,3,0)*VLOOKUP('Données projet'!$B$9,Paramètres!$A$1:$I$89,5,0)</f>
        <v>204.48480000000004</v>
      </c>
      <c r="P148" s="14">
        <f t="shared" si="141"/>
        <v>50.728515318217369</v>
      </c>
      <c r="Q148" s="22">
        <f t="shared" si="108"/>
        <v>444.49652417922863</v>
      </c>
      <c r="R148" s="62">
        <f t="shared" si="109"/>
        <v>737.82985751256194</v>
      </c>
      <c r="S148" s="62">
        <f ca="1">AVERAGE(OFFSET($R$3,0,0,'Données projet'!$E$9+1,1))-AVERAGE(OFFSET($H$3,0,0,'Données projet'!$E$9+1,1))</f>
        <v>177.70053246230015</v>
      </c>
      <c r="T148" s="62">
        <f t="shared" si="142"/>
        <v>85.631326020763254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8.5265128291212022E-14</v>
      </c>
      <c r="AJ148" s="14">
        <f>AI148*VLOOKUP('Données projet'!$B$10,Paramètres!$A$1:$I$89,3,0)*VLOOKUP('Données projet'!$B$10,Paramètres!$A$1:$I$89,5,0)</f>
        <v>7.4487616075202836E-14</v>
      </c>
      <c r="AK148" s="14">
        <f t="shared" si="143"/>
        <v>1.1580453144473142E-12</v>
      </c>
      <c r="AL148" s="22">
        <f t="shared" si="112"/>
        <v>2.1466615206600508E-12</v>
      </c>
      <c r="AM148" s="62">
        <f t="shared" si="113"/>
        <v>293.33333333333547</v>
      </c>
      <c r="AN148" s="62">
        <f ca="1">AVERAGE(OFFSET($AM$3,0,0,'Données projet'!$E$10+1,1))-AVERAGE(OFFSET($H$3,0,0,'Données projet'!$E$10+1,1))</f>
        <v>212.11273590951606</v>
      </c>
      <c r="AO148" s="62">
        <f t="shared" si="144"/>
        <v>240.9595690943346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2.2737367544323206E-13</v>
      </c>
      <c r="BE148" s="14">
        <f>BD148*VLOOKUP('Données projet'!$B$11,Paramètres!$A$1:$I$89,3,0)*VLOOKUP('Données projet'!$B$11,Paramètres!$A$1:$I$89,5,0)</f>
        <v>1.3596945791505279E-13</v>
      </c>
      <c r="BF148" s="14">
        <f t="shared" si="145"/>
        <v>1.9708830566360721E-12</v>
      </c>
      <c r="BG148" s="22">
        <f t="shared" si="115"/>
        <v>3.669434796176543E-12</v>
      </c>
      <c r="BH148" s="62">
        <f t="shared" si="116"/>
        <v>293.33333333333701</v>
      </c>
      <c r="BI148" s="62">
        <f ca="1">AVERAGE(OFFSET($BH$3,0,0,'Données projet'!$E$11+1,1))-AVERAGE(OFFSET($H$3,0,0,'Données projet'!$E$11+1,1))</f>
        <v>172.49153247238672</v>
      </c>
      <c r="BJ148" s="62">
        <f t="shared" si="146"/>
        <v>301.94982606323254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2.9607256796309196</v>
      </c>
      <c r="BQ148" s="23">
        <f>EXP(-LN(2)/25)*BQ147+(1-EXP(-LN(2)/25))/(LN(2)/25)*Calculateur!BL148*Calculateur!BN148*VLOOKUP('Données projet'!$B$11,Paramètres!$A$1:$I$89,3,0)*0.475*44/12</f>
        <v>0.57023428699387924</v>
      </c>
      <c r="BR148" s="23">
        <f>EXP(-LN(2)/2)*BR147+(1-EXP(-LN(2)/2))/(LN(2)/2)*BL148*BO148*VLOOKUP('Données projet'!$B$11,Paramètres!$A$1:$I$89,3,0)*0.475*44/12</f>
        <v>2.8575803501021173E-17</v>
      </c>
      <c r="BS148" s="24">
        <f t="shared" si="117"/>
        <v>3.5309599666247991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3.4106051316484809E-13</v>
      </c>
      <c r="BZ148" s="14">
        <f>BY148*VLOOKUP('Données projet'!$B$12,Paramètres!$A$1:$I$89,3,0)*VLOOKUP('Données projet'!$B$12,Paramètres!$A$1:$I$89,5,0)</f>
        <v>1.9508661353029313E-13</v>
      </c>
      <c r="CA148" s="14">
        <f t="shared" si="147"/>
        <v>2.711421636700695E-12</v>
      </c>
      <c r="CB148" s="22">
        <f t="shared" si="118"/>
        <v>5.0621685358189711E-12</v>
      </c>
      <c r="CC148" s="62">
        <f t="shared" si="119"/>
        <v>293.33333333333837</v>
      </c>
      <c r="CD148" s="62">
        <f ca="1">AVERAGE(OFFSET($CC$3,0,0,'Données projet'!$E$12+1,1))-AVERAGE(OFFSET($H$3,0,0,'Données projet'!$E$12+1,1))</f>
        <v>177.71338645688661</v>
      </c>
      <c r="CE148" s="62">
        <f t="shared" si="148"/>
        <v>153.65872713651345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7.3253910255655863E-2</v>
      </c>
      <c r="CM148" s="23">
        <f>EXP(-LN(2)/2)*CM147+(1-EXP(-LN(2)/2))/(LN(2)/2)*CG148*CJ148*VLOOKUP('Données projet'!$B$12,Paramètres!$A$1:$I$89,3,0)*0.475*44/12</f>
        <v>3.3704126686716251E-18</v>
      </c>
      <c r="CN148" s="24">
        <f t="shared" si="120"/>
        <v>7.3253910255655863E-2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-7.4487616075202823E-14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118.65321241325523</v>
      </c>
      <c r="CZ148" s="62">
        <f t="shared" si="150"/>
        <v>140.55041555757327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>
        <f>VLOOKUP(A148,'Données projet'!$A$165:$I$185,2,0)</f>
        <v>295</v>
      </c>
      <c r="DM148" s="13">
        <f>VLOOKUP(A148,'Données projet'!$A$165:$I$185,9,0)</f>
        <v>2.6</v>
      </c>
      <c r="DN148" s="13">
        <f t="array" ref="DN148">INDEX(DM:DM,MIN(IF(ISNUMBER(DM148:DM344),ROW(DM148:DM344),"")))</f>
        <v>2.6</v>
      </c>
      <c r="DO148" s="13">
        <f>IF('Données projet'!$A$166&gt;35,DO147+DN148-DW147,IF(A148&lt;'Données projet'!$A$166,$DL$205^A148,IF(A148='Données projet'!$A$166,'Données projet'!$B$166,DO147+DN148-DW147)))</f>
        <v>294.99999999999955</v>
      </c>
      <c r="DP148" s="18">
        <f>DO148*VLOOKUP('Données projet'!$B$14,Paramètres!$A$1:$I$89,3,0)*VLOOKUP('Données projet'!$B$14,Paramètres!$A$1:$I$89,5,0)</f>
        <v>299.12999999999954</v>
      </c>
      <c r="DQ148" s="14">
        <f t="shared" si="151"/>
        <v>70.994047242337146</v>
      </c>
      <c r="DR148" s="22">
        <f t="shared" si="124"/>
        <v>644.63271561373642</v>
      </c>
      <c r="DS148" s="62">
        <f t="shared" si="125"/>
        <v>937.96604894706979</v>
      </c>
      <c r="DT148" s="62">
        <f ca="1">AVERAGE(OFFSET($DS$3,0,0,'Données projet'!$E$14+1,1))-AVERAGE(OFFSET($H$3,0,0,'Données projet'!$E$14+1,1))</f>
        <v>328.70784159273131</v>
      </c>
      <c r="DU148" s="62">
        <f t="shared" si="152"/>
        <v>193.18009444354601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1.2</v>
      </c>
      <c r="N149" s="14">
        <f>IF('Données projet'!$A$36&gt;35,N148+M149-V148,IF(A149&lt;'Données projet'!$A$36,$K$205^A149,IF(A149='Données projet'!$A$36,'Données projet'!$B$36,N148+M149-V148)))</f>
        <v>227.20000000000005</v>
      </c>
      <c r="O149" s="14">
        <f>N149*VLOOKUP('Données projet'!$B$9,Paramètres!$A$1:$I$89,3,0)*VLOOKUP('Données projet'!$B$9,Paramètres!$A$1:$I$89,5,0)</f>
        <v>205.57056000000003</v>
      </c>
      <c r="P149" s="14">
        <f t="shared" si="141"/>
        <v>50.966443946767392</v>
      </c>
      <c r="Q149" s="22">
        <f t="shared" si="108"/>
        <v>446.80194854061989</v>
      </c>
      <c r="R149" s="62">
        <f t="shared" si="109"/>
        <v>740.1352818739532</v>
      </c>
      <c r="S149" s="62">
        <f ca="1">AVERAGE(OFFSET($R$3,0,0,'Données projet'!$E$9+1,1))-AVERAGE(OFFSET($H$3,0,0,'Données projet'!$E$9+1,1))</f>
        <v>177.70053246230015</v>
      </c>
      <c r="T149" s="62">
        <f t="shared" si="142"/>
        <v>85.631326020763254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8.5265128291212022E-14</v>
      </c>
      <c r="AJ149" s="14">
        <f>AI149*VLOOKUP('Données projet'!$B$10,Paramètres!$A$1:$I$89,3,0)*VLOOKUP('Données projet'!$B$10,Paramètres!$A$1:$I$89,5,0)</f>
        <v>7.4487616075202836E-14</v>
      </c>
      <c r="AK149" s="14">
        <f t="shared" si="143"/>
        <v>1.1580453144473142E-12</v>
      </c>
      <c r="AL149" s="22">
        <f t="shared" si="112"/>
        <v>2.1466615206600508E-12</v>
      </c>
      <c r="AM149" s="62">
        <f t="shared" si="113"/>
        <v>293.33333333333547</v>
      </c>
      <c r="AN149" s="62">
        <f ca="1">AVERAGE(OFFSET($AM$3,0,0,'Données projet'!$E$10+1,1))-AVERAGE(OFFSET($H$3,0,0,'Données projet'!$E$10+1,1))</f>
        <v>212.11273590951606</v>
      </c>
      <c r="AO149" s="62">
        <f t="shared" si="144"/>
        <v>240.9595690943346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2.2737367544323206E-13</v>
      </c>
      <c r="BE149" s="14">
        <f>BD149*VLOOKUP('Données projet'!$B$11,Paramètres!$A$1:$I$89,3,0)*VLOOKUP('Données projet'!$B$11,Paramètres!$A$1:$I$89,5,0)</f>
        <v>1.3596945791505279E-13</v>
      </c>
      <c r="BF149" s="14">
        <f t="shared" si="145"/>
        <v>1.9708830566360721E-12</v>
      </c>
      <c r="BG149" s="22">
        <f t="shared" si="115"/>
        <v>3.669434796176543E-12</v>
      </c>
      <c r="BH149" s="62">
        <f t="shared" si="116"/>
        <v>293.33333333333701</v>
      </c>
      <c r="BI149" s="62">
        <f ca="1">AVERAGE(OFFSET($BH$3,0,0,'Données projet'!$E$11+1,1))-AVERAGE(OFFSET($H$3,0,0,'Données projet'!$E$11+1,1))</f>
        <v>172.49153247238672</v>
      </c>
      <c r="BJ149" s="62">
        <f t="shared" si="146"/>
        <v>301.94982606323254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2.9026676549177077</v>
      </c>
      <c r="BQ149" s="23">
        <f>EXP(-LN(2)/25)*BQ148+(1-EXP(-LN(2)/25))/(LN(2)/25)*Calculateur!BL149*Calculateur!BN149*VLOOKUP('Données projet'!$B$11,Paramètres!$A$1:$I$89,3,0)*0.475*44/12</f>
        <v>0.55464120042871379</v>
      </c>
      <c r="BR149" s="23">
        <f>EXP(-LN(2)/2)*BR148+(1-EXP(-LN(2)/2))/(LN(2)/2)*BL149*BO149*VLOOKUP('Données projet'!$B$11,Paramètres!$A$1:$I$89,3,0)*0.475*44/12</f>
        <v>2.0206144433426358E-17</v>
      </c>
      <c r="BS149" s="24">
        <f t="shared" si="117"/>
        <v>3.4573088553464215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3.4106051316484809E-13</v>
      </c>
      <c r="BZ149" s="14">
        <f>BY149*VLOOKUP('Données projet'!$B$12,Paramètres!$A$1:$I$89,3,0)*VLOOKUP('Données projet'!$B$12,Paramètres!$A$1:$I$89,5,0)</f>
        <v>1.9508661353029313E-13</v>
      </c>
      <c r="CA149" s="14">
        <f t="shared" si="147"/>
        <v>2.711421636700695E-12</v>
      </c>
      <c r="CB149" s="22">
        <f t="shared" si="118"/>
        <v>5.0621685358189711E-12</v>
      </c>
      <c r="CC149" s="62">
        <f t="shared" si="119"/>
        <v>293.33333333333837</v>
      </c>
      <c r="CD149" s="62">
        <f ca="1">AVERAGE(OFFSET($CC$3,0,0,'Données projet'!$E$12+1,1))-AVERAGE(OFFSET($H$3,0,0,'Données projet'!$E$12+1,1))</f>
        <v>177.71338645688661</v>
      </c>
      <c r="CE149" s="62">
        <f t="shared" si="148"/>
        <v>153.65872713651345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7.1250778227459233E-2</v>
      </c>
      <c r="CM149" s="23">
        <f>EXP(-LN(2)/2)*CM148+(1-EXP(-LN(2)/2))/(LN(2)/2)*CG149*CJ149*VLOOKUP('Données projet'!$B$12,Paramètres!$A$1:$I$89,3,0)*0.475*44/12</f>
        <v>2.3832416534147548E-18</v>
      </c>
      <c r="CN149" s="24">
        <f t="shared" si="120"/>
        <v>7.1250778227459233E-2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-7.4487616075202823E-14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118.65321241325523</v>
      </c>
      <c r="CZ149" s="62">
        <f t="shared" si="150"/>
        <v>140.55041555757327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2.2000000000000002</v>
      </c>
      <c r="DO149" s="13">
        <f>IF('Données projet'!$A$166&gt;35,DO148+DN149-DW148,IF(A149&lt;'Données projet'!$A$166,$DL$205^A149,IF(A149='Données projet'!$A$166,'Données projet'!$B$166,DO148+DN149-DW148)))</f>
        <v>297.19999999999953</v>
      </c>
      <c r="DP149" s="18">
        <f>DO149*VLOOKUP('Données projet'!$B$14,Paramètres!$A$1:$I$89,3,0)*VLOOKUP('Données projet'!$B$14,Paramètres!$A$1:$I$89,5,0)</f>
        <v>301.36079999999953</v>
      </c>
      <c r="DQ149" s="14">
        <f t="shared" si="151"/>
        <v>71.461664239932929</v>
      </c>
      <c r="DR149" s="22">
        <f t="shared" si="124"/>
        <v>649.33245855121572</v>
      </c>
      <c r="DS149" s="62">
        <f t="shared" si="125"/>
        <v>942.66579188454898</v>
      </c>
      <c r="DT149" s="62">
        <f ca="1">AVERAGE(OFFSET($DS$3,0,0,'Données projet'!$E$14+1,1))-AVERAGE(OFFSET($H$3,0,0,'Données projet'!$E$14+1,1))</f>
        <v>328.70784159273131</v>
      </c>
      <c r="DU149" s="62">
        <f t="shared" si="152"/>
        <v>193.18009444354601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1.2</v>
      </c>
      <c r="N150" s="14">
        <f>IF('Données projet'!$A$36&gt;35,N149+M150-V149,IF(A150&lt;'Données projet'!$A$36,$K$205^A150,IF(A150='Données projet'!$A$36,'Données projet'!$B$36,N149+M150-V149)))</f>
        <v>228.40000000000003</v>
      </c>
      <c r="O150" s="14">
        <f>N150*VLOOKUP('Données projet'!$B$9,Paramètres!$A$1:$I$89,3,0)*VLOOKUP('Données projet'!$B$9,Paramètres!$A$1:$I$89,5,0)</f>
        <v>206.65632000000002</v>
      </c>
      <c r="P150" s="14">
        <f t="shared" si="141"/>
        <v>51.20422634371338</v>
      </c>
      <c r="Q150" s="22">
        <f t="shared" si="108"/>
        <v>449.10711821530077</v>
      </c>
      <c r="R150" s="62">
        <f t="shared" si="109"/>
        <v>742.44045154863409</v>
      </c>
      <c r="S150" s="62">
        <f ca="1">AVERAGE(OFFSET($R$3,0,0,'Données projet'!$E$9+1,1))-AVERAGE(OFFSET($H$3,0,0,'Données projet'!$E$9+1,1))</f>
        <v>177.70053246230015</v>
      </c>
      <c r="T150" s="62">
        <f t="shared" si="142"/>
        <v>85.631326020763254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8.5265128291212022E-14</v>
      </c>
      <c r="AJ150" s="14">
        <f>AI150*VLOOKUP('Données projet'!$B$10,Paramètres!$A$1:$I$89,3,0)*VLOOKUP('Données projet'!$B$10,Paramètres!$A$1:$I$89,5,0)</f>
        <v>7.4487616075202836E-14</v>
      </c>
      <c r="AK150" s="14">
        <f t="shared" si="143"/>
        <v>1.1580453144473142E-12</v>
      </c>
      <c r="AL150" s="22">
        <f t="shared" si="112"/>
        <v>2.1466615206600508E-12</v>
      </c>
      <c r="AM150" s="62">
        <f t="shared" si="113"/>
        <v>293.33333333333547</v>
      </c>
      <c r="AN150" s="62">
        <f ca="1">AVERAGE(OFFSET($AM$3,0,0,'Données projet'!$E$10+1,1))-AVERAGE(OFFSET($H$3,0,0,'Données projet'!$E$10+1,1))</f>
        <v>212.11273590951606</v>
      </c>
      <c r="AO150" s="62">
        <f t="shared" si="144"/>
        <v>240.9595690943346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2.2737367544323206E-13</v>
      </c>
      <c r="BE150" s="14">
        <f>BD150*VLOOKUP('Données projet'!$B$11,Paramètres!$A$1:$I$89,3,0)*VLOOKUP('Données projet'!$B$11,Paramètres!$A$1:$I$89,5,0)</f>
        <v>1.3596945791505279E-13</v>
      </c>
      <c r="BF150" s="14">
        <f t="shared" si="145"/>
        <v>1.9708830566360721E-12</v>
      </c>
      <c r="BG150" s="22">
        <f t="shared" si="115"/>
        <v>3.669434796176543E-12</v>
      </c>
      <c r="BH150" s="62">
        <f t="shared" si="116"/>
        <v>293.33333333333701</v>
      </c>
      <c r="BI150" s="62">
        <f ca="1">AVERAGE(OFFSET($BH$3,0,0,'Données projet'!$E$11+1,1))-AVERAGE(OFFSET($H$3,0,0,'Données projet'!$E$11+1,1))</f>
        <v>172.49153247238672</v>
      </c>
      <c r="BJ150" s="62">
        <f t="shared" si="146"/>
        <v>301.94982606323254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2.8457481126572235</v>
      </c>
      <c r="BQ150" s="23">
        <f>EXP(-LN(2)/25)*BQ149+(1-EXP(-LN(2)/25))/(LN(2)/25)*Calculateur!BL150*Calculateur!BN150*VLOOKUP('Données projet'!$B$11,Paramètres!$A$1:$I$89,3,0)*0.475*44/12</f>
        <v>0.5394745076356775</v>
      </c>
      <c r="BR150" s="23">
        <f>EXP(-LN(2)/2)*BR149+(1-EXP(-LN(2)/2))/(LN(2)/2)*BL150*BO150*VLOOKUP('Données projet'!$B$11,Paramètres!$A$1:$I$89,3,0)*0.475*44/12</f>
        <v>1.4287901750510587E-17</v>
      </c>
      <c r="BS150" s="24">
        <f t="shared" si="117"/>
        <v>3.3852226202929012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3.4106051316484809E-13</v>
      </c>
      <c r="BZ150" s="14">
        <f>BY150*VLOOKUP('Données projet'!$B$12,Paramètres!$A$1:$I$89,3,0)*VLOOKUP('Données projet'!$B$12,Paramètres!$A$1:$I$89,5,0)</f>
        <v>1.9508661353029313E-13</v>
      </c>
      <c r="CA150" s="14">
        <f t="shared" si="147"/>
        <v>2.711421636700695E-12</v>
      </c>
      <c r="CB150" s="22">
        <f t="shared" si="118"/>
        <v>5.0621685358189711E-12</v>
      </c>
      <c r="CC150" s="62">
        <f t="shared" si="119"/>
        <v>293.33333333333837</v>
      </c>
      <c r="CD150" s="62">
        <f ca="1">AVERAGE(OFFSET($CC$3,0,0,'Données projet'!$E$12+1,1))-AVERAGE(OFFSET($H$3,0,0,'Données projet'!$E$12+1,1))</f>
        <v>177.71338645688661</v>
      </c>
      <c r="CE150" s="62">
        <f t="shared" si="148"/>
        <v>153.65872713651345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6.9302421949913776E-2</v>
      </c>
      <c r="CM150" s="23">
        <f>EXP(-LN(2)/2)*CM149+(1-EXP(-LN(2)/2))/(LN(2)/2)*CG150*CJ150*VLOOKUP('Données projet'!$B$12,Paramètres!$A$1:$I$89,3,0)*0.475*44/12</f>
        <v>1.6852063343358129E-18</v>
      </c>
      <c r="CN150" s="24">
        <f t="shared" si="120"/>
        <v>6.9302421949913776E-2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-7.4487616075202823E-14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118.65321241325523</v>
      </c>
      <c r="CZ150" s="62">
        <f t="shared" si="150"/>
        <v>140.55041555757327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2.2000000000000002</v>
      </c>
      <c r="DO150" s="13">
        <f>IF('Données projet'!$A$166&gt;35,DO149+DN150-DW149,IF(A150&lt;'Données projet'!$A$166,$DL$205^A150,IF(A150='Données projet'!$A$166,'Données projet'!$B$166,DO149+DN150-DW149)))</f>
        <v>299.39999999999952</v>
      </c>
      <c r="DP150" s="18">
        <f>DO150*VLOOKUP('Données projet'!$B$14,Paramètres!$A$1:$I$89,3,0)*VLOOKUP('Données projet'!$B$14,Paramètres!$A$1:$I$89,5,0)</f>
        <v>303.59159999999952</v>
      </c>
      <c r="DQ150" s="14">
        <f t="shared" si="151"/>
        <v>71.928878488732622</v>
      </c>
      <c r="DR150" s="22">
        <f t="shared" si="124"/>
        <v>654.03150003454175</v>
      </c>
      <c r="DS150" s="62">
        <f t="shared" si="125"/>
        <v>947.36483336787501</v>
      </c>
      <c r="DT150" s="62">
        <f ca="1">AVERAGE(OFFSET($DS$3,0,0,'Données projet'!$E$14+1,1))-AVERAGE(OFFSET($H$3,0,0,'Données projet'!$E$14+1,1))</f>
        <v>328.70784159273131</v>
      </c>
      <c r="DU150" s="62">
        <f t="shared" si="152"/>
        <v>193.18009444354601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1.2</v>
      </c>
      <c r="N151" s="14">
        <f>IF('Données projet'!$A$36&gt;35,N150+M151-V150,IF(A151&lt;'Données projet'!$A$36,$K$205^A151,IF(A151='Données projet'!$A$36,'Données projet'!$B$36,N150+M151-V150)))</f>
        <v>229.60000000000002</v>
      </c>
      <c r="O151" s="14">
        <f>N151*VLOOKUP('Données projet'!$B$9,Paramètres!$A$1:$I$89,3,0)*VLOOKUP('Données projet'!$B$9,Paramètres!$A$1:$I$89,5,0)</f>
        <v>207.74208000000002</v>
      </c>
      <c r="P151" s="14">
        <f t="shared" si="141"/>
        <v>51.441863366522419</v>
      </c>
      <c r="Q151" s="22">
        <f t="shared" si="108"/>
        <v>451.41203469669318</v>
      </c>
      <c r="R151" s="62">
        <f t="shared" si="109"/>
        <v>744.7453680300265</v>
      </c>
      <c r="S151" s="62">
        <f ca="1">AVERAGE(OFFSET($R$3,0,0,'Données projet'!$E$9+1,1))-AVERAGE(OFFSET($H$3,0,0,'Données projet'!$E$9+1,1))</f>
        <v>177.70053246230015</v>
      </c>
      <c r="T151" s="62">
        <f t="shared" si="142"/>
        <v>85.631326020763254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8.5265128291212022E-14</v>
      </c>
      <c r="AJ151" s="14">
        <f>AI151*VLOOKUP('Données projet'!$B$10,Paramètres!$A$1:$I$89,3,0)*VLOOKUP('Données projet'!$B$10,Paramètres!$A$1:$I$89,5,0)</f>
        <v>7.4487616075202836E-14</v>
      </c>
      <c r="AK151" s="14">
        <f t="shared" si="143"/>
        <v>1.1580453144473142E-12</v>
      </c>
      <c r="AL151" s="22">
        <f t="shared" si="112"/>
        <v>2.1466615206600508E-12</v>
      </c>
      <c r="AM151" s="62">
        <f t="shared" si="113"/>
        <v>293.33333333333547</v>
      </c>
      <c r="AN151" s="62">
        <f ca="1">AVERAGE(OFFSET($AM$3,0,0,'Données projet'!$E$10+1,1))-AVERAGE(OFFSET($H$3,0,0,'Données projet'!$E$10+1,1))</f>
        <v>212.11273590951606</v>
      </c>
      <c r="AO151" s="62">
        <f t="shared" si="144"/>
        <v>240.9595690943346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2.2737367544323206E-13</v>
      </c>
      <c r="BE151" s="14">
        <f>BD151*VLOOKUP('Données projet'!$B$11,Paramètres!$A$1:$I$89,3,0)*VLOOKUP('Données projet'!$B$11,Paramètres!$A$1:$I$89,5,0)</f>
        <v>1.3596945791505279E-13</v>
      </c>
      <c r="BF151" s="14">
        <f t="shared" si="145"/>
        <v>1.9708830566360721E-12</v>
      </c>
      <c r="BG151" s="22">
        <f t="shared" si="115"/>
        <v>3.669434796176543E-12</v>
      </c>
      <c r="BH151" s="62">
        <f t="shared" si="116"/>
        <v>293.33333333333701</v>
      </c>
      <c r="BI151" s="62">
        <f ca="1">AVERAGE(OFFSET($BH$3,0,0,'Données projet'!$E$11+1,1))-AVERAGE(OFFSET($H$3,0,0,'Données projet'!$E$11+1,1))</f>
        <v>172.49153247238672</v>
      </c>
      <c r="BJ151" s="62">
        <f t="shared" si="146"/>
        <v>301.94982606323254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2.7899447279029745</v>
      </c>
      <c r="BQ151" s="23">
        <f>EXP(-LN(2)/25)*BQ150+(1-EXP(-LN(2)/25))/(LN(2)/25)*Calculateur!BL151*Calculateur!BN151*VLOOKUP('Données projet'!$B$11,Paramètres!$A$1:$I$89,3,0)*0.475*44/12</f>
        <v>0.52472254885464853</v>
      </c>
      <c r="BR151" s="23">
        <f>EXP(-LN(2)/2)*BR150+(1-EXP(-LN(2)/2))/(LN(2)/2)*BL151*BO151*VLOOKUP('Données projet'!$B$11,Paramètres!$A$1:$I$89,3,0)*0.475*44/12</f>
        <v>1.0103072216713179E-17</v>
      </c>
      <c r="BS151" s="24">
        <f t="shared" si="117"/>
        <v>3.3146672767576231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3.4106051316484809E-13</v>
      </c>
      <c r="BZ151" s="14">
        <f>BY151*VLOOKUP('Données projet'!$B$12,Paramètres!$A$1:$I$89,3,0)*VLOOKUP('Données projet'!$B$12,Paramètres!$A$1:$I$89,5,0)</f>
        <v>1.9508661353029313E-13</v>
      </c>
      <c r="CA151" s="14">
        <f t="shared" si="147"/>
        <v>2.711421636700695E-12</v>
      </c>
      <c r="CB151" s="22">
        <f t="shared" si="118"/>
        <v>5.0621685358189711E-12</v>
      </c>
      <c r="CC151" s="62">
        <f t="shared" si="119"/>
        <v>293.33333333333837</v>
      </c>
      <c r="CD151" s="62">
        <f ca="1">AVERAGE(OFFSET($CC$3,0,0,'Données projet'!$E$12+1,1))-AVERAGE(OFFSET($H$3,0,0,'Données projet'!$E$12+1,1))</f>
        <v>177.71338645688661</v>
      </c>
      <c r="CE151" s="62">
        <f t="shared" si="148"/>
        <v>153.65872713651345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6.7407343577237405E-2</v>
      </c>
      <c r="CM151" s="23">
        <f>EXP(-LN(2)/2)*CM150+(1-EXP(-LN(2)/2))/(LN(2)/2)*CG151*CJ151*VLOOKUP('Données projet'!$B$12,Paramètres!$A$1:$I$89,3,0)*0.475*44/12</f>
        <v>1.1916208267073776E-18</v>
      </c>
      <c r="CN151" s="24">
        <f t="shared" si="120"/>
        <v>6.7407343577237405E-2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-7.4487616075202823E-14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118.65321241325523</v>
      </c>
      <c r="CZ151" s="62">
        <f t="shared" si="150"/>
        <v>140.55041555757327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2.2000000000000002</v>
      </c>
      <c r="DO151" s="13">
        <f>IF('Données projet'!$A$166&gt;35,DO150+DN151-DW150,IF(A151&lt;'Données projet'!$A$166,$DL$205^A151,IF(A151='Données projet'!$A$166,'Données projet'!$B$166,DO150+DN151-DW150)))</f>
        <v>301.59999999999951</v>
      </c>
      <c r="DP151" s="18">
        <f>DO151*VLOOKUP('Données projet'!$B$14,Paramètres!$A$1:$I$89,3,0)*VLOOKUP('Données projet'!$B$14,Paramètres!$A$1:$I$89,5,0)</f>
        <v>305.8223999999995</v>
      </c>
      <c r="DQ151" s="14">
        <f t="shared" si="151"/>
        <v>72.395693291268813</v>
      </c>
      <c r="DR151" s="22">
        <f t="shared" si="124"/>
        <v>658.72984581562559</v>
      </c>
      <c r="DS151" s="62">
        <f t="shared" si="125"/>
        <v>952.06317914895885</v>
      </c>
      <c r="DT151" s="62">
        <f ca="1">AVERAGE(OFFSET($DS$3,0,0,'Données projet'!$E$14+1,1))-AVERAGE(OFFSET($H$3,0,0,'Données projet'!$E$14+1,1))</f>
        <v>328.70784159273131</v>
      </c>
      <c r="DU151" s="62">
        <f t="shared" si="152"/>
        <v>193.18009444354601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1.2</v>
      </c>
      <c r="N152" s="14">
        <f>IF('Données projet'!$A$36&gt;35,N151+M152-V151,IF(A152&lt;'Données projet'!$A$36,$K$205^A152,IF(A152='Données projet'!$A$36,'Données projet'!$B$36,N151+M152-V151)))</f>
        <v>230.8</v>
      </c>
      <c r="O152" s="14">
        <f>N152*VLOOKUP('Données projet'!$B$9,Paramètres!$A$1:$I$89,3,0)*VLOOKUP('Données projet'!$B$9,Paramètres!$A$1:$I$89,5,0)</f>
        <v>208.82784000000001</v>
      </c>
      <c r="P152" s="14">
        <f t="shared" si="141"/>
        <v>51.679355863179474</v>
      </c>
      <c r="Q152" s="22">
        <f t="shared" si="108"/>
        <v>453.71669946170431</v>
      </c>
      <c r="R152" s="62">
        <f t="shared" si="109"/>
        <v>747.05003279503762</v>
      </c>
      <c r="S152" s="62">
        <f ca="1">AVERAGE(OFFSET($R$3,0,0,'Données projet'!$E$9+1,1))-AVERAGE(OFFSET($H$3,0,0,'Données projet'!$E$9+1,1))</f>
        <v>177.70053246230015</v>
      </c>
      <c r="T152" s="62">
        <f t="shared" si="142"/>
        <v>85.631326020763254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8.5265128291212022E-14</v>
      </c>
      <c r="AJ152" s="14">
        <f>AI152*VLOOKUP('Données projet'!$B$10,Paramètres!$A$1:$I$89,3,0)*VLOOKUP('Données projet'!$B$10,Paramètres!$A$1:$I$89,5,0)</f>
        <v>7.4487616075202836E-14</v>
      </c>
      <c r="AK152" s="14">
        <f t="shared" si="143"/>
        <v>1.1580453144473142E-12</v>
      </c>
      <c r="AL152" s="22">
        <f t="shared" si="112"/>
        <v>2.1466615206600508E-12</v>
      </c>
      <c r="AM152" s="62">
        <f t="shared" si="113"/>
        <v>293.33333333333547</v>
      </c>
      <c r="AN152" s="62">
        <f ca="1">AVERAGE(OFFSET($AM$3,0,0,'Données projet'!$E$10+1,1))-AVERAGE(OFFSET($H$3,0,0,'Données projet'!$E$10+1,1))</f>
        <v>212.11273590951606</v>
      </c>
      <c r="AO152" s="62">
        <f t="shared" si="144"/>
        <v>240.9595690943346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2.2737367544323206E-13</v>
      </c>
      <c r="BE152" s="14">
        <f>BD152*VLOOKUP('Données projet'!$B$11,Paramètres!$A$1:$I$89,3,0)*VLOOKUP('Données projet'!$B$11,Paramètres!$A$1:$I$89,5,0)</f>
        <v>1.3596945791505279E-13</v>
      </c>
      <c r="BF152" s="14">
        <f t="shared" si="145"/>
        <v>1.9708830566360721E-12</v>
      </c>
      <c r="BG152" s="22">
        <f t="shared" si="115"/>
        <v>3.669434796176543E-12</v>
      </c>
      <c r="BH152" s="62">
        <f t="shared" si="116"/>
        <v>293.33333333333701</v>
      </c>
      <c r="BI152" s="62">
        <f ca="1">AVERAGE(OFFSET($BH$3,0,0,'Données projet'!$E$11+1,1))-AVERAGE(OFFSET($H$3,0,0,'Données projet'!$E$11+1,1))</f>
        <v>172.49153247238672</v>
      </c>
      <c r="BJ152" s="62">
        <f t="shared" si="146"/>
        <v>301.94982606323254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2.7352356134870526</v>
      </c>
      <c r="BQ152" s="23">
        <f>EXP(-LN(2)/25)*BQ151+(1-EXP(-LN(2)/25))/(LN(2)/25)*Calculateur!BL152*Calculateur!BN152*VLOOKUP('Données projet'!$B$11,Paramètres!$A$1:$I$89,3,0)*0.475*44/12</f>
        <v>0.51037398316225857</v>
      </c>
      <c r="BR152" s="23">
        <f>EXP(-LN(2)/2)*BR151+(1-EXP(-LN(2)/2))/(LN(2)/2)*BL152*BO152*VLOOKUP('Données projet'!$B$11,Paramètres!$A$1:$I$89,3,0)*0.475*44/12</f>
        <v>7.1439508752552934E-18</v>
      </c>
      <c r="BS152" s="24">
        <f t="shared" si="117"/>
        <v>3.2456095966493113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3.4106051316484809E-13</v>
      </c>
      <c r="BZ152" s="14">
        <f>BY152*VLOOKUP('Données projet'!$B$12,Paramètres!$A$1:$I$89,3,0)*VLOOKUP('Données projet'!$B$12,Paramètres!$A$1:$I$89,5,0)</f>
        <v>1.9508661353029313E-13</v>
      </c>
      <c r="CA152" s="14">
        <f t="shared" si="147"/>
        <v>2.711421636700695E-12</v>
      </c>
      <c r="CB152" s="22">
        <f t="shared" si="118"/>
        <v>5.0621685358189711E-12</v>
      </c>
      <c r="CC152" s="62">
        <f t="shared" si="119"/>
        <v>293.33333333333837</v>
      </c>
      <c r="CD152" s="62">
        <f ca="1">AVERAGE(OFFSET($CC$3,0,0,'Données projet'!$E$12+1,1))-AVERAGE(OFFSET($H$3,0,0,'Données projet'!$E$12+1,1))</f>
        <v>177.71338645688661</v>
      </c>
      <c r="CE152" s="62">
        <f t="shared" si="148"/>
        <v>153.65872713651345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6.5564086222319712E-2</v>
      </c>
      <c r="CM152" s="23">
        <f>EXP(-LN(2)/2)*CM151+(1-EXP(-LN(2)/2))/(LN(2)/2)*CG152*CJ152*VLOOKUP('Données projet'!$B$12,Paramètres!$A$1:$I$89,3,0)*0.475*44/12</f>
        <v>8.4260316716790657E-19</v>
      </c>
      <c r="CN152" s="24">
        <f t="shared" si="120"/>
        <v>6.5564086222319712E-2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-7.4487616075202823E-14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118.65321241325523</v>
      </c>
      <c r="CZ152" s="62">
        <f t="shared" si="150"/>
        <v>140.55041555757327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2.2000000000000002</v>
      </c>
      <c r="DO152" s="13">
        <f>IF('Données projet'!$A$166&gt;35,DO151+DN152-DW151,IF(A152&lt;'Données projet'!$A$166,$DL$205^A152,IF(A152='Données projet'!$A$166,'Données projet'!$B$166,DO151+DN152-DW151)))</f>
        <v>303.7999999999995</v>
      </c>
      <c r="DP152" s="18">
        <f>DO152*VLOOKUP('Données projet'!$B$14,Paramètres!$A$1:$I$89,3,0)*VLOOKUP('Données projet'!$B$14,Paramètres!$A$1:$I$89,5,0)</f>
        <v>308.05319999999955</v>
      </c>
      <c r="DQ152" s="14">
        <f t="shared" si="151"/>
        <v>72.862111899109848</v>
      </c>
      <c r="DR152" s="22">
        <f t="shared" si="124"/>
        <v>663.42750155761553</v>
      </c>
      <c r="DS152" s="62">
        <f t="shared" si="125"/>
        <v>956.7608348909489</v>
      </c>
      <c r="DT152" s="62">
        <f ca="1">AVERAGE(OFFSET($DS$3,0,0,'Données projet'!$E$14+1,1))-AVERAGE(OFFSET($H$3,0,0,'Données projet'!$E$14+1,1))</f>
        <v>328.70784159273131</v>
      </c>
      <c r="DU152" s="62">
        <f t="shared" si="152"/>
        <v>193.18009444354601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232</v>
      </c>
      <c r="L153" s="13">
        <f>VLOOKUP(A153,'Données projet'!$A$35:$I$55,9,0)</f>
        <v>1.2</v>
      </c>
      <c r="M153" s="13">
        <f t="array" ref="M153">INDEX(L:L,MIN(IF(ISNUMBER(L153:L349),ROW(L153:L349),"")))</f>
        <v>1.2</v>
      </c>
      <c r="N153" s="14">
        <f>IF('Données projet'!$A$36&gt;35,N152+M153-V152,IF(A153&lt;'Données projet'!$A$36,$K$205^A153,IF(A153='Données projet'!$A$36,'Données projet'!$B$36,N152+M153-V152)))</f>
        <v>232</v>
      </c>
      <c r="O153" s="14">
        <f>N153*VLOOKUP('Données projet'!$B$9,Paramètres!$A$1:$I$89,3,0)*VLOOKUP('Données projet'!$B$9,Paramètres!$A$1:$I$89,5,0)</f>
        <v>209.9136</v>
      </c>
      <c r="P153" s="14">
        <f t="shared" si="141"/>
        <v>51.916704672341318</v>
      </c>
      <c r="Q153" s="22">
        <f t="shared" si="108"/>
        <v>456.02111397099435</v>
      </c>
      <c r="R153" s="62">
        <f t="shared" si="109"/>
        <v>749.35444730432766</v>
      </c>
      <c r="S153" s="62">
        <f ca="1">AVERAGE(OFFSET($R$3,0,0,'Données projet'!$E$9+1,1))-AVERAGE(OFFSET($H$3,0,0,'Données projet'!$E$9+1,1))</f>
        <v>177.70053246230015</v>
      </c>
      <c r="T153" s="62">
        <f t="shared" si="142"/>
        <v>85.631326020763254</v>
      </c>
      <c r="U153" s="16">
        <f>IF(ISNA(VLOOKUP(A153,'Données projet'!$A$35:$I$55,3,0)),0,VLOOKUP(A153,'Données projet'!$A$35:$I$55,3,0))</f>
        <v>12</v>
      </c>
      <c r="V153" s="16">
        <f>IF(ISNA(VLOOKUP(A153,'Données projet'!$A$35:$I$55,4,0)),0,VLOOKUP(A153,'Données projet'!$A$35:$I$55,4,0))</f>
        <v>232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8.5265128291212022E-14</v>
      </c>
      <c r="AJ153" s="14">
        <f>AI153*VLOOKUP('Données projet'!$B$10,Paramètres!$A$1:$I$89,3,0)*VLOOKUP('Données projet'!$B$10,Paramètres!$A$1:$I$89,5,0)</f>
        <v>7.4487616075202836E-14</v>
      </c>
      <c r="AK153" s="14">
        <f t="shared" si="143"/>
        <v>1.1580453144473142E-12</v>
      </c>
      <c r="AL153" s="22">
        <f t="shared" si="112"/>
        <v>2.1466615206600508E-12</v>
      </c>
      <c r="AM153" s="62">
        <f t="shared" si="113"/>
        <v>293.33333333333547</v>
      </c>
      <c r="AN153" s="62">
        <f ca="1">AVERAGE(OFFSET($AM$3,0,0,'Données projet'!$E$10+1,1))-AVERAGE(OFFSET($H$3,0,0,'Données projet'!$E$10+1,1))</f>
        <v>212.11273590951606</v>
      </c>
      <c r="AO153" s="62">
        <f t="shared" si="144"/>
        <v>240.9595690943346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2.2737367544323206E-13</v>
      </c>
      <c r="BE153" s="14">
        <f>BD153*VLOOKUP('Données projet'!$B$11,Paramètres!$A$1:$I$89,3,0)*VLOOKUP('Données projet'!$B$11,Paramètres!$A$1:$I$89,5,0)</f>
        <v>1.3596945791505279E-13</v>
      </c>
      <c r="BF153" s="14">
        <f t="shared" si="145"/>
        <v>1.9708830566360721E-12</v>
      </c>
      <c r="BG153" s="22">
        <f t="shared" si="115"/>
        <v>3.669434796176543E-12</v>
      </c>
      <c r="BH153" s="62">
        <f t="shared" si="116"/>
        <v>293.33333333333701</v>
      </c>
      <c r="BI153" s="62">
        <f ca="1">AVERAGE(OFFSET($BH$3,0,0,'Données projet'!$E$11+1,1))-AVERAGE(OFFSET($H$3,0,0,'Données projet'!$E$11+1,1))</f>
        <v>172.49153247238672</v>
      </c>
      <c r="BJ153" s="62">
        <f t="shared" si="146"/>
        <v>301.94982606323254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2.6815993114355621</v>
      </c>
      <c r="BQ153" s="23">
        <f>EXP(-LN(2)/25)*BQ152+(1-EXP(-LN(2)/25))/(LN(2)/25)*Calculateur!BL153*Calculateur!BN153*VLOOKUP('Données projet'!$B$11,Paramètres!$A$1:$I$89,3,0)*0.475*44/12</f>
        <v>0.49641777975328533</v>
      </c>
      <c r="BR153" s="23">
        <f>EXP(-LN(2)/2)*BR152+(1-EXP(-LN(2)/2))/(LN(2)/2)*BL153*BO153*VLOOKUP('Données projet'!$B$11,Paramètres!$A$1:$I$89,3,0)*0.475*44/12</f>
        <v>5.0515361083565894E-18</v>
      </c>
      <c r="BS153" s="24">
        <f t="shared" si="117"/>
        <v>3.1780170911888472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3.4106051316484809E-13</v>
      </c>
      <c r="BZ153" s="14">
        <f>BY153*VLOOKUP('Données projet'!$B$12,Paramètres!$A$1:$I$89,3,0)*VLOOKUP('Données projet'!$B$12,Paramètres!$A$1:$I$89,5,0)</f>
        <v>1.9508661353029313E-13</v>
      </c>
      <c r="CA153" s="14">
        <f t="shared" si="147"/>
        <v>2.711421636700695E-12</v>
      </c>
      <c r="CB153" s="22">
        <f t="shared" si="118"/>
        <v>5.0621685358189711E-12</v>
      </c>
      <c r="CC153" s="62">
        <f t="shared" si="119"/>
        <v>293.33333333333837</v>
      </c>
      <c r="CD153" s="62">
        <f ca="1">AVERAGE(OFFSET($CC$3,0,0,'Données projet'!$E$12+1,1))-AVERAGE(OFFSET($H$3,0,0,'Données projet'!$E$12+1,1))</f>
        <v>177.71338645688661</v>
      </c>
      <c r="CE153" s="62">
        <f t="shared" si="148"/>
        <v>153.65872713651345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6.3771232836704939E-2</v>
      </c>
      <c r="CM153" s="23">
        <f>EXP(-LN(2)/2)*CM152+(1-EXP(-LN(2)/2))/(LN(2)/2)*CG153*CJ153*VLOOKUP('Données projet'!$B$12,Paramètres!$A$1:$I$89,3,0)*0.475*44/12</f>
        <v>5.958104133536889E-19</v>
      </c>
      <c r="CN153" s="24">
        <f t="shared" si="120"/>
        <v>6.3771232836704939E-2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-7.4487616075202823E-14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118.65321241325523</v>
      </c>
      <c r="CZ153" s="62">
        <f t="shared" si="150"/>
        <v>140.55041555757327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306</v>
      </c>
      <c r="DM153" s="13">
        <f>VLOOKUP(A153,'Données projet'!$A$165:$I$185,9,0)</f>
        <v>2.2000000000000002</v>
      </c>
      <c r="DN153" s="13">
        <f t="array" ref="DN153">INDEX(DM:DM,MIN(IF(ISNUMBER(DM153:DM349),ROW(DM153:DM349),"")))</f>
        <v>2.2000000000000002</v>
      </c>
      <c r="DO153" s="13">
        <f>IF('Données projet'!$A$166&gt;35,DO152+DN153-DW152,IF(A153&lt;'Données projet'!$A$166,$DL$205^A153,IF(A153='Données projet'!$A$166,'Données projet'!$B$166,DO152+DN153-DW152)))</f>
        <v>305.99999999999949</v>
      </c>
      <c r="DP153" s="18">
        <f>DO153*VLOOKUP('Données projet'!$B$14,Paramètres!$A$1:$I$89,3,0)*VLOOKUP('Données projet'!$B$14,Paramètres!$A$1:$I$89,5,0)</f>
        <v>310.28399999999948</v>
      </c>
      <c r="DQ153" s="14">
        <f t="shared" si="151"/>
        <v>73.328137514010024</v>
      </c>
      <c r="DR153" s="22">
        <f t="shared" si="124"/>
        <v>668.12447283689983</v>
      </c>
      <c r="DS153" s="62">
        <f t="shared" si="125"/>
        <v>961.4578061702332</v>
      </c>
      <c r="DT153" s="62">
        <f ca="1">AVERAGE(OFFSET($DS$3,0,0,'Données projet'!$E$14+1,1))-AVERAGE(OFFSET($H$3,0,0,'Données projet'!$E$14+1,1))</f>
        <v>328.70784159273131</v>
      </c>
      <c r="DU153" s="62">
        <f t="shared" si="152"/>
        <v>193.18009444354601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306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177.70053246230015</v>
      </c>
      <c r="T154" s="62">
        <f t="shared" si="142"/>
        <v>85.631326020763254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8.5265128291212022E-14</v>
      </c>
      <c r="AJ154" s="14">
        <f>AI154*VLOOKUP('Données projet'!$B$10,Paramètres!$A$1:$I$89,3,0)*VLOOKUP('Données projet'!$B$10,Paramètres!$A$1:$I$89,5,0)</f>
        <v>7.4487616075202836E-14</v>
      </c>
      <c r="AK154" s="14">
        <f t="shared" ref="AK154:AK203" si="164">EXP(-1.0587+0.8836*LN(AJ154)+0.284)</f>
        <v>1.1580453144473142E-12</v>
      </c>
      <c r="AL154" s="22">
        <f t="shared" ref="AL154:AL203" si="165">(AJ154+AK154)*0.475*44/12</f>
        <v>2.1466615206600508E-12</v>
      </c>
      <c r="AM154" s="62">
        <f t="shared" si="113"/>
        <v>293.33333333333547</v>
      </c>
      <c r="AN154" s="62">
        <f ca="1">AVERAGE(OFFSET($AM$3,0,0,'Données projet'!$E$10+1,1))-AVERAGE(OFFSET($H$3,0,0,'Données projet'!$E$10+1,1))</f>
        <v>212.11273590951606</v>
      </c>
      <c r="AO154" s="62">
        <f t="shared" si="144"/>
        <v>240.9595690943346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2.2737367544323206E-13</v>
      </c>
      <c r="BE154" s="14">
        <f>BD154*VLOOKUP('Données projet'!$B$11,Paramètres!$A$1:$I$89,3,0)*VLOOKUP('Données projet'!$B$11,Paramètres!$A$1:$I$89,5,0)</f>
        <v>1.3596945791505279E-13</v>
      </c>
      <c r="BF154" s="14">
        <f t="shared" ref="BF154:BF203" si="167">EXP(-1.0587+0.8836*LN(BE154)+0.284)</f>
        <v>1.9708830566360721E-12</v>
      </c>
      <c r="BG154" s="22">
        <f t="shared" ref="BG154:BG203" si="168">(BE154+BF154)*0.475*44/12</f>
        <v>3.669434796176543E-12</v>
      </c>
      <c r="BH154" s="62">
        <f t="shared" si="116"/>
        <v>293.33333333333701</v>
      </c>
      <c r="BI154" s="62">
        <f ca="1">AVERAGE(OFFSET($BH$3,0,0,'Données projet'!$E$11+1,1))-AVERAGE(OFFSET($H$3,0,0,'Données projet'!$E$11+1,1))</f>
        <v>172.49153247238672</v>
      </c>
      <c r="BJ154" s="62">
        <f t="shared" si="146"/>
        <v>301.94982606323254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2.6290147845523872</v>
      </c>
      <c r="BQ154" s="23">
        <f>EXP(-LN(2)/25)*BQ153+(1-EXP(-LN(2)/25))/(LN(2)/25)*Calculateur!BL154*Calculateur!BN154*VLOOKUP('Données projet'!$B$11,Paramètres!$A$1:$I$89,3,0)*0.475*44/12</f>
        <v>0.48284320946045528</v>
      </c>
      <c r="BR154" s="23">
        <f>EXP(-LN(2)/2)*BR153+(1-EXP(-LN(2)/2))/(LN(2)/2)*BL154*BO154*VLOOKUP('Données projet'!$B$11,Paramètres!$A$1:$I$89,3,0)*0.475*44/12</f>
        <v>3.5719754376276467E-18</v>
      </c>
      <c r="BS154" s="24">
        <f t="shared" ref="BS154:BS203" si="169">SUM(BP154:BR154)</f>
        <v>3.1118579940128424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3.4106051316484809E-13</v>
      </c>
      <c r="BZ154" s="14">
        <f>BY154*VLOOKUP('Données projet'!$B$12,Paramètres!$A$1:$I$89,3,0)*VLOOKUP('Données projet'!$B$12,Paramètres!$A$1:$I$89,5,0)</f>
        <v>1.9508661353029313E-13</v>
      </c>
      <c r="CA154" s="14">
        <f t="shared" ref="CA154:CA203" si="170">EXP(-1.0587+0.8836*LN(BZ154)+0.284)</f>
        <v>2.711421636700695E-12</v>
      </c>
      <c r="CB154" s="22">
        <f t="shared" ref="CB154:CB203" si="171">(BZ154+CA154)*0.475*44/12</f>
        <v>5.0621685358189711E-12</v>
      </c>
      <c r="CC154" s="62">
        <f t="shared" si="119"/>
        <v>293.33333333333837</v>
      </c>
      <c r="CD154" s="62">
        <f ca="1">AVERAGE(OFFSET($CC$3,0,0,'Données projet'!$E$12+1,1))-AVERAGE(OFFSET($H$3,0,0,'Données projet'!$E$12+1,1))</f>
        <v>177.71338645688661</v>
      </c>
      <c r="CE154" s="62">
        <f t="shared" si="148"/>
        <v>153.65872713651345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6.2027405121201855E-2</v>
      </c>
      <c r="CM154" s="23">
        <f>EXP(-LN(2)/2)*CM153+(1-EXP(-LN(2)/2))/(LN(2)/2)*CG154*CJ154*VLOOKUP('Données projet'!$B$12,Paramètres!$A$1:$I$89,3,0)*0.475*44/12</f>
        <v>4.2130158358395338E-19</v>
      </c>
      <c r="CN154" s="24">
        <f t="shared" ref="CN154:CN203" si="172">SUM(CK154:CM154)</f>
        <v>6.2027405121201855E-2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-7.4487616075202823E-14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118.65321241325523</v>
      </c>
      <c r="CZ154" s="62">
        <f t="shared" si="150"/>
        <v>140.55041555757327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-5.1159076974727213E-13</v>
      </c>
      <c r="DP154" s="18">
        <f>DO154*VLOOKUP('Données projet'!$B$14,Paramètres!$A$1:$I$89,3,0)*VLOOKUP('Données projet'!$B$14,Paramètres!$A$1:$I$89,5,0)</f>
        <v>-5.1875304052373401E-13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328.70784159273131</v>
      </c>
      <c r="DU154" s="62">
        <f t="shared" si="152"/>
        <v>193.18009444354601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177.70053246230015</v>
      </c>
      <c r="T155" s="62">
        <f t="shared" si="142"/>
        <v>85.631326020763254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8.5265128291212022E-14</v>
      </c>
      <c r="AJ155" s="14">
        <f>AI155*VLOOKUP('Données projet'!$B$10,Paramètres!$A$1:$I$89,3,0)*VLOOKUP('Données projet'!$B$10,Paramètres!$A$1:$I$89,5,0)</f>
        <v>7.4487616075202836E-14</v>
      </c>
      <c r="AK155" s="14">
        <f t="shared" si="164"/>
        <v>1.1580453144473142E-12</v>
      </c>
      <c r="AL155" s="22">
        <f t="shared" si="165"/>
        <v>2.1466615206600508E-12</v>
      </c>
      <c r="AM155" s="62">
        <f t="shared" si="113"/>
        <v>293.33333333333547</v>
      </c>
      <c r="AN155" s="62">
        <f ca="1">AVERAGE(OFFSET($AM$3,0,0,'Données projet'!$E$10+1,1))-AVERAGE(OFFSET($H$3,0,0,'Données projet'!$E$10+1,1))</f>
        <v>212.11273590951606</v>
      </c>
      <c r="AO155" s="62">
        <f t="shared" si="144"/>
        <v>240.9595690943346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2.2737367544323206E-13</v>
      </c>
      <c r="BE155" s="14">
        <f>BD155*VLOOKUP('Données projet'!$B$11,Paramètres!$A$1:$I$89,3,0)*VLOOKUP('Données projet'!$B$11,Paramètres!$A$1:$I$89,5,0)</f>
        <v>1.3596945791505279E-13</v>
      </c>
      <c r="BF155" s="14">
        <f t="shared" si="167"/>
        <v>1.9708830566360721E-12</v>
      </c>
      <c r="BG155" s="22">
        <f t="shared" si="168"/>
        <v>3.669434796176543E-12</v>
      </c>
      <c r="BH155" s="62">
        <f t="shared" si="116"/>
        <v>293.33333333333701</v>
      </c>
      <c r="BI155" s="62">
        <f ca="1">AVERAGE(OFFSET($BH$3,0,0,'Données projet'!$E$11+1,1))-AVERAGE(OFFSET($H$3,0,0,'Données projet'!$E$11+1,1))</f>
        <v>172.49153247238672</v>
      </c>
      <c r="BJ155" s="62">
        <f t="shared" si="146"/>
        <v>301.94982606323254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2.5774614081679972</v>
      </c>
      <c r="BQ155" s="23">
        <f>EXP(-LN(2)/25)*BQ154+(1-EXP(-LN(2)/25))/(LN(2)/25)*Calculateur!BL155*Calculateur!BN155*VLOOKUP('Données projet'!$B$11,Paramètres!$A$1:$I$89,3,0)*0.475*44/12</f>
        <v>0.46963983650613828</v>
      </c>
      <c r="BR155" s="23">
        <f>EXP(-LN(2)/2)*BR154+(1-EXP(-LN(2)/2))/(LN(2)/2)*BL155*BO155*VLOOKUP('Données projet'!$B$11,Paramètres!$A$1:$I$89,3,0)*0.475*44/12</f>
        <v>2.5257680541782947E-18</v>
      </c>
      <c r="BS155" s="24">
        <f t="shared" si="169"/>
        <v>3.0471012446741357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3.4106051316484809E-13</v>
      </c>
      <c r="BZ155" s="14">
        <f>BY155*VLOOKUP('Données projet'!$B$12,Paramètres!$A$1:$I$89,3,0)*VLOOKUP('Données projet'!$B$12,Paramètres!$A$1:$I$89,5,0)</f>
        <v>1.9508661353029313E-13</v>
      </c>
      <c r="CA155" s="14">
        <f t="shared" si="170"/>
        <v>2.711421636700695E-12</v>
      </c>
      <c r="CB155" s="22">
        <f t="shared" si="171"/>
        <v>5.0621685358189711E-12</v>
      </c>
      <c r="CC155" s="62">
        <f t="shared" si="119"/>
        <v>293.33333333333837</v>
      </c>
      <c r="CD155" s="62">
        <f ca="1">AVERAGE(OFFSET($CC$3,0,0,'Données projet'!$E$12+1,1))-AVERAGE(OFFSET($H$3,0,0,'Données projet'!$E$12+1,1))</f>
        <v>177.71338645688661</v>
      </c>
      <c r="CE155" s="62">
        <f t="shared" si="148"/>
        <v>153.65872713651345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6.033126246628312E-2</v>
      </c>
      <c r="CM155" s="23">
        <f>EXP(-LN(2)/2)*CM154+(1-EXP(-LN(2)/2))/(LN(2)/2)*CG155*CJ155*VLOOKUP('Données projet'!$B$12,Paramètres!$A$1:$I$89,3,0)*0.475*44/12</f>
        <v>2.979052066768445E-19</v>
      </c>
      <c r="CN155" s="24">
        <f t="shared" si="172"/>
        <v>6.033126246628312E-2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-7.4487616075202823E-14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118.65321241325523</v>
      </c>
      <c r="CZ155" s="62">
        <f t="shared" si="150"/>
        <v>140.55041555757327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-5.1159076974727213E-13</v>
      </c>
      <c r="DP155" s="18">
        <f>DO155*VLOOKUP('Données projet'!$B$14,Paramètres!$A$1:$I$89,3,0)*VLOOKUP('Données projet'!$B$14,Paramètres!$A$1:$I$89,5,0)</f>
        <v>-5.1875304052373401E-13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328.70784159273131</v>
      </c>
      <c r="DU155" s="62">
        <f t="shared" si="152"/>
        <v>193.18009444354601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177.70053246230015</v>
      </c>
      <c r="T156" s="62">
        <f t="shared" si="142"/>
        <v>85.631326020763254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8.5265128291212022E-14</v>
      </c>
      <c r="AJ156" s="14">
        <f>AI156*VLOOKUP('Données projet'!$B$10,Paramètres!$A$1:$I$89,3,0)*VLOOKUP('Données projet'!$B$10,Paramètres!$A$1:$I$89,5,0)</f>
        <v>7.4487616075202836E-14</v>
      </c>
      <c r="AK156" s="14">
        <f t="shared" si="164"/>
        <v>1.1580453144473142E-12</v>
      </c>
      <c r="AL156" s="22">
        <f t="shared" si="165"/>
        <v>2.1466615206600508E-12</v>
      </c>
      <c r="AM156" s="62">
        <f t="shared" si="113"/>
        <v>293.33333333333547</v>
      </c>
      <c r="AN156" s="62">
        <f ca="1">AVERAGE(OFFSET($AM$3,0,0,'Données projet'!$E$10+1,1))-AVERAGE(OFFSET($H$3,0,0,'Données projet'!$E$10+1,1))</f>
        <v>212.11273590951606</v>
      </c>
      <c r="AO156" s="62">
        <f t="shared" si="144"/>
        <v>240.9595690943346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2.2737367544323206E-13</v>
      </c>
      <c r="BE156" s="14">
        <f>BD156*VLOOKUP('Données projet'!$B$11,Paramètres!$A$1:$I$89,3,0)*VLOOKUP('Données projet'!$B$11,Paramètres!$A$1:$I$89,5,0)</f>
        <v>1.3596945791505279E-13</v>
      </c>
      <c r="BF156" s="14">
        <f t="shared" si="167"/>
        <v>1.9708830566360721E-12</v>
      </c>
      <c r="BG156" s="22">
        <f t="shared" si="168"/>
        <v>3.669434796176543E-12</v>
      </c>
      <c r="BH156" s="62">
        <f t="shared" si="116"/>
        <v>293.33333333333701</v>
      </c>
      <c r="BI156" s="62">
        <f ca="1">AVERAGE(OFFSET($BH$3,0,0,'Données projet'!$E$11+1,1))-AVERAGE(OFFSET($H$3,0,0,'Données projet'!$E$11+1,1))</f>
        <v>172.49153247238672</v>
      </c>
      <c r="BJ156" s="62">
        <f t="shared" si="146"/>
        <v>301.94982606323254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2.5269189620500501</v>
      </c>
      <c r="BQ156" s="23">
        <f>EXP(-LN(2)/25)*BQ155+(1-EXP(-LN(2)/25))/(LN(2)/25)*Calculateur!BL156*Calculateur!BN156*VLOOKUP('Données projet'!$B$11,Paramètres!$A$1:$I$89,3,0)*0.475*44/12</f>
        <v>0.45679751047959227</v>
      </c>
      <c r="BR156" s="23">
        <f>EXP(-LN(2)/2)*BR155+(1-EXP(-LN(2)/2))/(LN(2)/2)*BL156*BO156*VLOOKUP('Données projet'!$B$11,Paramètres!$A$1:$I$89,3,0)*0.475*44/12</f>
        <v>1.7859877188138233E-18</v>
      </c>
      <c r="BS156" s="24">
        <f t="shared" si="169"/>
        <v>2.9837164725296423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3.4106051316484809E-13</v>
      </c>
      <c r="BZ156" s="14">
        <f>BY156*VLOOKUP('Données projet'!$B$12,Paramètres!$A$1:$I$89,3,0)*VLOOKUP('Données projet'!$B$12,Paramètres!$A$1:$I$89,5,0)</f>
        <v>1.9508661353029313E-13</v>
      </c>
      <c r="CA156" s="14">
        <f t="shared" si="170"/>
        <v>2.711421636700695E-12</v>
      </c>
      <c r="CB156" s="22">
        <f t="shared" si="171"/>
        <v>5.0621685358189711E-12</v>
      </c>
      <c r="CC156" s="62">
        <f t="shared" si="119"/>
        <v>293.33333333333837</v>
      </c>
      <c r="CD156" s="62">
        <f ca="1">AVERAGE(OFFSET($CC$3,0,0,'Données projet'!$E$12+1,1))-AVERAGE(OFFSET($H$3,0,0,'Données projet'!$E$12+1,1))</f>
        <v>177.71338645688661</v>
      </c>
      <c r="CE156" s="62">
        <f t="shared" si="148"/>
        <v>153.65872713651345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5.8681500921459406E-2</v>
      </c>
      <c r="CM156" s="23">
        <f>EXP(-LN(2)/2)*CM155+(1-EXP(-LN(2)/2))/(LN(2)/2)*CG156*CJ156*VLOOKUP('Données projet'!$B$12,Paramètres!$A$1:$I$89,3,0)*0.475*44/12</f>
        <v>2.1065079179197671E-19</v>
      </c>
      <c r="CN156" s="24">
        <f t="shared" si="172"/>
        <v>5.8681500921459406E-2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-7.4487616075202823E-14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118.65321241325523</v>
      </c>
      <c r="CZ156" s="62">
        <f t="shared" si="150"/>
        <v>140.55041555757327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-5.1159076974727213E-13</v>
      </c>
      <c r="DP156" s="18">
        <f>DO156*VLOOKUP('Données projet'!$B$14,Paramètres!$A$1:$I$89,3,0)*VLOOKUP('Données projet'!$B$14,Paramètres!$A$1:$I$89,5,0)</f>
        <v>-5.1875304052373401E-13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328.70784159273131</v>
      </c>
      <c r="DU156" s="62">
        <f t="shared" si="152"/>
        <v>193.18009444354601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177.70053246230015</v>
      </c>
      <c r="T157" s="62">
        <f t="shared" si="142"/>
        <v>85.631326020763254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8.5265128291212022E-14</v>
      </c>
      <c r="AJ157" s="14">
        <f>AI157*VLOOKUP('Données projet'!$B$10,Paramètres!$A$1:$I$89,3,0)*VLOOKUP('Données projet'!$B$10,Paramètres!$A$1:$I$89,5,0)</f>
        <v>7.4487616075202836E-14</v>
      </c>
      <c r="AK157" s="14">
        <f t="shared" si="164"/>
        <v>1.1580453144473142E-12</v>
      </c>
      <c r="AL157" s="22">
        <f t="shared" si="165"/>
        <v>2.1466615206600508E-12</v>
      </c>
      <c r="AM157" s="62">
        <f t="shared" si="113"/>
        <v>293.33333333333547</v>
      </c>
      <c r="AN157" s="62">
        <f ca="1">AVERAGE(OFFSET($AM$3,0,0,'Données projet'!$E$10+1,1))-AVERAGE(OFFSET($H$3,0,0,'Données projet'!$E$10+1,1))</f>
        <v>212.11273590951606</v>
      </c>
      <c r="AO157" s="62">
        <f t="shared" si="144"/>
        <v>240.9595690943346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2.2737367544323206E-13</v>
      </c>
      <c r="BE157" s="14">
        <f>BD157*VLOOKUP('Données projet'!$B$11,Paramètres!$A$1:$I$89,3,0)*VLOOKUP('Données projet'!$B$11,Paramètres!$A$1:$I$89,5,0)</f>
        <v>1.3596945791505279E-13</v>
      </c>
      <c r="BF157" s="14">
        <f t="shared" si="167"/>
        <v>1.9708830566360721E-12</v>
      </c>
      <c r="BG157" s="22">
        <f t="shared" si="168"/>
        <v>3.669434796176543E-12</v>
      </c>
      <c r="BH157" s="62">
        <f t="shared" si="116"/>
        <v>293.33333333333701</v>
      </c>
      <c r="BI157" s="62">
        <f ca="1">AVERAGE(OFFSET($BH$3,0,0,'Données projet'!$E$11+1,1))-AVERAGE(OFFSET($H$3,0,0,'Données projet'!$E$11+1,1))</f>
        <v>172.49153247238672</v>
      </c>
      <c r="BJ157" s="62">
        <f t="shared" si="146"/>
        <v>301.94982606323254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2.4773676224726278</v>
      </c>
      <c r="BQ157" s="23">
        <f>EXP(-LN(2)/25)*BQ156+(1-EXP(-LN(2)/25))/(LN(2)/25)*Calculateur!BL157*Calculateur!BN157*VLOOKUP('Données projet'!$B$11,Paramètres!$A$1:$I$89,3,0)*0.475*44/12</f>
        <v>0.4443063585335908</v>
      </c>
      <c r="BR157" s="23">
        <f>EXP(-LN(2)/2)*BR156+(1-EXP(-LN(2)/2))/(LN(2)/2)*BL157*BO157*VLOOKUP('Données projet'!$B$11,Paramètres!$A$1:$I$89,3,0)*0.475*44/12</f>
        <v>1.2628840270891474E-18</v>
      </c>
      <c r="BS157" s="24">
        <f t="shared" si="169"/>
        <v>2.9216739810062187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3.4106051316484809E-13</v>
      </c>
      <c r="BZ157" s="14">
        <f>BY157*VLOOKUP('Données projet'!$B$12,Paramètres!$A$1:$I$89,3,0)*VLOOKUP('Données projet'!$B$12,Paramètres!$A$1:$I$89,5,0)</f>
        <v>1.9508661353029313E-13</v>
      </c>
      <c r="CA157" s="14">
        <f t="shared" si="170"/>
        <v>2.711421636700695E-12</v>
      </c>
      <c r="CB157" s="22">
        <f t="shared" si="171"/>
        <v>5.0621685358189711E-12</v>
      </c>
      <c r="CC157" s="62">
        <f t="shared" si="119"/>
        <v>293.33333333333837</v>
      </c>
      <c r="CD157" s="62">
        <f ca="1">AVERAGE(OFFSET($CC$3,0,0,'Données projet'!$E$12+1,1))-AVERAGE(OFFSET($H$3,0,0,'Données projet'!$E$12+1,1))</f>
        <v>177.71338645688661</v>
      </c>
      <c r="CE157" s="62">
        <f t="shared" si="148"/>
        <v>153.65872713651345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5.7076852192836085E-2</v>
      </c>
      <c r="CM157" s="23">
        <f>EXP(-LN(2)/2)*CM156+(1-EXP(-LN(2)/2))/(LN(2)/2)*CG157*CJ157*VLOOKUP('Données projet'!$B$12,Paramètres!$A$1:$I$89,3,0)*0.475*44/12</f>
        <v>1.4895260333842227E-19</v>
      </c>
      <c r="CN157" s="24">
        <f t="shared" si="172"/>
        <v>5.7076852192836085E-2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-7.4487616075202823E-14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118.65321241325523</v>
      </c>
      <c r="CZ157" s="62">
        <f t="shared" si="150"/>
        <v>140.55041555757327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-5.1159076974727213E-13</v>
      </c>
      <c r="DP157" s="18">
        <f>DO157*VLOOKUP('Données projet'!$B$14,Paramètres!$A$1:$I$89,3,0)*VLOOKUP('Données projet'!$B$14,Paramètres!$A$1:$I$89,5,0)</f>
        <v>-5.1875304052373401E-13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328.70784159273131</v>
      </c>
      <c r="DU157" s="62">
        <f t="shared" si="152"/>
        <v>193.18009444354601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177.70053246230015</v>
      </c>
      <c r="T158" s="62">
        <f t="shared" si="142"/>
        <v>85.631326020763254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8.5265128291212022E-14</v>
      </c>
      <c r="AJ158" s="14">
        <f>AI158*VLOOKUP('Données projet'!$B$10,Paramètres!$A$1:$I$89,3,0)*VLOOKUP('Données projet'!$B$10,Paramètres!$A$1:$I$89,5,0)</f>
        <v>7.4487616075202836E-14</v>
      </c>
      <c r="AK158" s="14">
        <f t="shared" si="164"/>
        <v>1.1580453144473142E-12</v>
      </c>
      <c r="AL158" s="22">
        <f t="shared" si="165"/>
        <v>2.1466615206600508E-12</v>
      </c>
      <c r="AM158" s="62">
        <f t="shared" si="113"/>
        <v>293.33333333333547</v>
      </c>
      <c r="AN158" s="62">
        <f ca="1">AVERAGE(OFFSET($AM$3,0,0,'Données projet'!$E$10+1,1))-AVERAGE(OFFSET($H$3,0,0,'Données projet'!$E$10+1,1))</f>
        <v>212.11273590951606</v>
      </c>
      <c r="AO158" s="62">
        <f t="shared" si="144"/>
        <v>240.9595690943346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2.2737367544323206E-13</v>
      </c>
      <c r="BE158" s="14">
        <f>BD158*VLOOKUP('Données projet'!$B$11,Paramètres!$A$1:$I$89,3,0)*VLOOKUP('Données projet'!$B$11,Paramètres!$A$1:$I$89,5,0)</f>
        <v>1.3596945791505279E-13</v>
      </c>
      <c r="BF158" s="14">
        <f t="shared" si="167"/>
        <v>1.9708830566360721E-12</v>
      </c>
      <c r="BG158" s="22">
        <f t="shared" si="168"/>
        <v>3.669434796176543E-12</v>
      </c>
      <c r="BH158" s="62">
        <f t="shared" si="116"/>
        <v>293.33333333333701</v>
      </c>
      <c r="BI158" s="62">
        <f ca="1">AVERAGE(OFFSET($BH$3,0,0,'Données projet'!$E$11+1,1))-AVERAGE(OFFSET($H$3,0,0,'Données projet'!$E$11+1,1))</f>
        <v>172.49153247238672</v>
      </c>
      <c r="BJ158" s="62">
        <f t="shared" si="146"/>
        <v>301.94982606323254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2.4287879544409861</v>
      </c>
      <c r="BQ158" s="23">
        <f>EXP(-LN(2)/25)*BQ157+(1-EXP(-LN(2)/25))/(LN(2)/25)*Calculateur!BL158*Calculateur!BN158*VLOOKUP('Données projet'!$B$11,Paramètres!$A$1:$I$89,3,0)*0.475*44/12</f>
        <v>0.43215677779443384</v>
      </c>
      <c r="BR158" s="23">
        <f>EXP(-LN(2)/2)*BR157+(1-EXP(-LN(2)/2))/(LN(2)/2)*BL158*BO158*VLOOKUP('Données projet'!$B$11,Paramètres!$A$1:$I$89,3,0)*0.475*44/12</f>
        <v>8.9299385940691167E-19</v>
      </c>
      <c r="BS158" s="24">
        <f t="shared" si="169"/>
        <v>2.8609447322354198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3.4106051316484809E-13</v>
      </c>
      <c r="BZ158" s="14">
        <f>BY158*VLOOKUP('Données projet'!$B$12,Paramètres!$A$1:$I$89,3,0)*VLOOKUP('Données projet'!$B$12,Paramètres!$A$1:$I$89,5,0)</f>
        <v>1.9508661353029313E-13</v>
      </c>
      <c r="CA158" s="14">
        <f t="shared" si="170"/>
        <v>2.711421636700695E-12</v>
      </c>
      <c r="CB158" s="22">
        <f t="shared" si="171"/>
        <v>5.0621685358189711E-12</v>
      </c>
      <c r="CC158" s="62">
        <f t="shared" si="119"/>
        <v>293.33333333333837</v>
      </c>
      <c r="CD158" s="62">
        <f ca="1">AVERAGE(OFFSET($CC$3,0,0,'Données projet'!$E$12+1,1))-AVERAGE(OFFSET($H$3,0,0,'Données projet'!$E$12+1,1))</f>
        <v>177.71338645688661</v>
      </c>
      <c r="CE158" s="62">
        <f t="shared" si="148"/>
        <v>153.65872713651345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5.5516082668081779E-2</v>
      </c>
      <c r="CM158" s="23">
        <f>EXP(-LN(2)/2)*CM157+(1-EXP(-LN(2)/2))/(LN(2)/2)*CG158*CJ158*VLOOKUP('Données projet'!$B$12,Paramètres!$A$1:$I$89,3,0)*0.475*44/12</f>
        <v>1.0532539589598837E-19</v>
      </c>
      <c r="CN158" s="24">
        <f t="shared" si="172"/>
        <v>5.5516082668081779E-2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-7.4487616075202823E-14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118.65321241325523</v>
      </c>
      <c r="CZ158" s="62">
        <f t="shared" si="150"/>
        <v>140.55041555757327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-5.1159076974727213E-13</v>
      </c>
      <c r="DP158" s="18">
        <f>DO158*VLOOKUP('Données projet'!$B$14,Paramètres!$A$1:$I$89,3,0)*VLOOKUP('Données projet'!$B$14,Paramètres!$A$1:$I$89,5,0)</f>
        <v>-5.1875304052373401E-13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328.70784159273131</v>
      </c>
      <c r="DU158" s="62">
        <f t="shared" si="152"/>
        <v>193.18009444354601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177.70053246230015</v>
      </c>
      <c r="T159" s="62">
        <f t="shared" si="142"/>
        <v>85.631326020763254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8.5265128291212022E-14</v>
      </c>
      <c r="AJ159" s="14">
        <f>AI159*VLOOKUP('Données projet'!$B$10,Paramètres!$A$1:$I$89,3,0)*VLOOKUP('Données projet'!$B$10,Paramètres!$A$1:$I$89,5,0)</f>
        <v>7.4487616075202836E-14</v>
      </c>
      <c r="AK159" s="14">
        <f t="shared" si="164"/>
        <v>1.1580453144473142E-12</v>
      </c>
      <c r="AL159" s="22">
        <f t="shared" si="165"/>
        <v>2.1466615206600508E-12</v>
      </c>
      <c r="AM159" s="62">
        <f t="shared" si="113"/>
        <v>293.33333333333547</v>
      </c>
      <c r="AN159" s="62">
        <f ca="1">AVERAGE(OFFSET($AM$3,0,0,'Données projet'!$E$10+1,1))-AVERAGE(OFFSET($H$3,0,0,'Données projet'!$E$10+1,1))</f>
        <v>212.11273590951606</v>
      </c>
      <c r="AO159" s="62">
        <f t="shared" si="144"/>
        <v>240.9595690943346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2.2737367544323206E-13</v>
      </c>
      <c r="BE159" s="14">
        <f>BD159*VLOOKUP('Données projet'!$B$11,Paramètres!$A$1:$I$89,3,0)*VLOOKUP('Données projet'!$B$11,Paramètres!$A$1:$I$89,5,0)</f>
        <v>1.3596945791505279E-13</v>
      </c>
      <c r="BF159" s="14">
        <f t="shared" si="167"/>
        <v>1.9708830566360721E-12</v>
      </c>
      <c r="BG159" s="22">
        <f t="shared" si="168"/>
        <v>3.669434796176543E-12</v>
      </c>
      <c r="BH159" s="62">
        <f t="shared" si="116"/>
        <v>293.33333333333701</v>
      </c>
      <c r="BI159" s="62">
        <f ca="1">AVERAGE(OFFSET($BH$3,0,0,'Données projet'!$E$11+1,1))-AVERAGE(OFFSET($H$3,0,0,'Données projet'!$E$11+1,1))</f>
        <v>172.49153247238672</v>
      </c>
      <c r="BJ159" s="62">
        <f t="shared" si="146"/>
        <v>301.94982606323254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2.3811609040687731</v>
      </c>
      <c r="BQ159" s="23">
        <f>EXP(-LN(2)/25)*BQ158+(1-EXP(-LN(2)/25))/(LN(2)/25)*Calculateur!BL159*Calculateur!BN159*VLOOKUP('Données projet'!$B$11,Paramètres!$A$1:$I$89,3,0)*0.475*44/12</f>
        <v>0.4203394279795078</v>
      </c>
      <c r="BR159" s="23">
        <f>EXP(-LN(2)/2)*BR158+(1-EXP(-LN(2)/2))/(LN(2)/2)*BL159*BO159*VLOOKUP('Données projet'!$B$11,Paramètres!$A$1:$I$89,3,0)*0.475*44/12</f>
        <v>6.3144201354457368E-19</v>
      </c>
      <c r="BS159" s="24">
        <f t="shared" si="169"/>
        <v>2.8015003320482808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3.4106051316484809E-13</v>
      </c>
      <c r="BZ159" s="14">
        <f>BY159*VLOOKUP('Données projet'!$B$12,Paramètres!$A$1:$I$89,3,0)*VLOOKUP('Données projet'!$B$12,Paramètres!$A$1:$I$89,5,0)</f>
        <v>1.9508661353029313E-13</v>
      </c>
      <c r="CA159" s="14">
        <f t="shared" si="170"/>
        <v>2.711421636700695E-12</v>
      </c>
      <c r="CB159" s="22">
        <f t="shared" si="171"/>
        <v>5.0621685358189711E-12</v>
      </c>
      <c r="CC159" s="62">
        <f t="shared" si="119"/>
        <v>293.33333333333837</v>
      </c>
      <c r="CD159" s="62">
        <f ca="1">AVERAGE(OFFSET($CC$3,0,0,'Données projet'!$E$12+1,1))-AVERAGE(OFFSET($H$3,0,0,'Données projet'!$E$12+1,1))</f>
        <v>177.71338645688661</v>
      </c>
      <c r="CE159" s="62">
        <f t="shared" si="148"/>
        <v>153.65872713651345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5.3997992468059176E-2</v>
      </c>
      <c r="CM159" s="23">
        <f>EXP(-LN(2)/2)*CM158+(1-EXP(-LN(2)/2))/(LN(2)/2)*CG159*CJ159*VLOOKUP('Données projet'!$B$12,Paramètres!$A$1:$I$89,3,0)*0.475*44/12</f>
        <v>7.4476301669211149E-20</v>
      </c>
      <c r="CN159" s="24">
        <f t="shared" si="172"/>
        <v>5.3997992468059176E-2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-7.4487616075202823E-14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118.65321241325523</v>
      </c>
      <c r="CZ159" s="62">
        <f t="shared" si="150"/>
        <v>140.55041555757327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-5.1159076974727213E-13</v>
      </c>
      <c r="DP159" s="18">
        <f>DO159*VLOOKUP('Données projet'!$B$14,Paramètres!$A$1:$I$89,3,0)*VLOOKUP('Données projet'!$B$14,Paramètres!$A$1:$I$89,5,0)</f>
        <v>-5.1875304052373401E-13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328.70784159273131</v>
      </c>
      <c r="DU159" s="62">
        <f t="shared" si="152"/>
        <v>193.18009444354601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177.70053246230015</v>
      </c>
      <c r="T160" s="62">
        <f t="shared" si="142"/>
        <v>85.631326020763254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8.5265128291212022E-14</v>
      </c>
      <c r="AJ160" s="14">
        <f>AI160*VLOOKUP('Données projet'!$B$10,Paramètres!$A$1:$I$89,3,0)*VLOOKUP('Données projet'!$B$10,Paramètres!$A$1:$I$89,5,0)</f>
        <v>7.4487616075202836E-14</v>
      </c>
      <c r="AK160" s="14">
        <f t="shared" si="164"/>
        <v>1.1580453144473142E-12</v>
      </c>
      <c r="AL160" s="22">
        <f t="shared" si="165"/>
        <v>2.1466615206600508E-12</v>
      </c>
      <c r="AM160" s="62">
        <f t="shared" si="113"/>
        <v>293.33333333333547</v>
      </c>
      <c r="AN160" s="62">
        <f ca="1">AVERAGE(OFFSET($AM$3,0,0,'Données projet'!$E$10+1,1))-AVERAGE(OFFSET($H$3,0,0,'Données projet'!$E$10+1,1))</f>
        <v>212.11273590951606</v>
      </c>
      <c r="AO160" s="62">
        <f t="shared" si="144"/>
        <v>240.9595690943346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2.2737367544323206E-13</v>
      </c>
      <c r="BE160" s="14">
        <f>BD160*VLOOKUP('Données projet'!$B$11,Paramètres!$A$1:$I$89,3,0)*VLOOKUP('Données projet'!$B$11,Paramètres!$A$1:$I$89,5,0)</f>
        <v>1.3596945791505279E-13</v>
      </c>
      <c r="BF160" s="14">
        <f t="shared" si="167"/>
        <v>1.9708830566360721E-12</v>
      </c>
      <c r="BG160" s="22">
        <f t="shared" si="168"/>
        <v>3.669434796176543E-12</v>
      </c>
      <c r="BH160" s="62">
        <f t="shared" si="116"/>
        <v>293.33333333333701</v>
      </c>
      <c r="BI160" s="62">
        <f ca="1">AVERAGE(OFFSET($BH$3,0,0,'Données projet'!$E$11+1,1))-AVERAGE(OFFSET($H$3,0,0,'Données projet'!$E$11+1,1))</f>
        <v>172.49153247238672</v>
      </c>
      <c r="BJ160" s="62">
        <f t="shared" si="146"/>
        <v>301.94982606323254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2.3344677911047267</v>
      </c>
      <c r="BQ160" s="23">
        <f>EXP(-LN(2)/25)*BQ159+(1-EXP(-LN(2)/25))/(LN(2)/25)*Calculateur!BL160*Calculateur!BN160*VLOOKUP('Données projet'!$B$11,Paramètres!$A$1:$I$89,3,0)*0.475*44/12</f>
        <v>0.40884522421671832</v>
      </c>
      <c r="BR160" s="23">
        <f>EXP(-LN(2)/2)*BR159+(1-EXP(-LN(2)/2))/(LN(2)/2)*BL160*BO160*VLOOKUP('Données projet'!$B$11,Paramètres!$A$1:$I$89,3,0)*0.475*44/12</f>
        <v>4.4649692970345584E-19</v>
      </c>
      <c r="BS160" s="24">
        <f t="shared" si="169"/>
        <v>2.7433130153214451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3.4106051316484809E-13</v>
      </c>
      <c r="BZ160" s="14">
        <f>BY160*VLOOKUP('Données projet'!$B$12,Paramètres!$A$1:$I$89,3,0)*VLOOKUP('Données projet'!$B$12,Paramètres!$A$1:$I$89,5,0)</f>
        <v>1.9508661353029313E-13</v>
      </c>
      <c r="CA160" s="14">
        <f t="shared" si="170"/>
        <v>2.711421636700695E-12</v>
      </c>
      <c r="CB160" s="22">
        <f t="shared" si="171"/>
        <v>5.0621685358189711E-12</v>
      </c>
      <c r="CC160" s="62">
        <f t="shared" si="119"/>
        <v>293.33333333333837</v>
      </c>
      <c r="CD160" s="62">
        <f ca="1">AVERAGE(OFFSET($CC$3,0,0,'Données projet'!$E$12+1,1))-AVERAGE(OFFSET($H$3,0,0,'Données projet'!$E$12+1,1))</f>
        <v>177.71338645688661</v>
      </c>
      <c r="CE160" s="62">
        <f t="shared" si="148"/>
        <v>153.65872713651345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5.252141452438909E-2</v>
      </c>
      <c r="CM160" s="23">
        <f>EXP(-LN(2)/2)*CM159+(1-EXP(-LN(2)/2))/(LN(2)/2)*CG160*CJ160*VLOOKUP('Données projet'!$B$12,Paramètres!$A$1:$I$89,3,0)*0.475*44/12</f>
        <v>5.2662697947994197E-20</v>
      </c>
      <c r="CN160" s="24">
        <f t="shared" si="172"/>
        <v>5.252141452438909E-2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-7.4487616075202823E-14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118.65321241325523</v>
      </c>
      <c r="CZ160" s="62">
        <f t="shared" si="150"/>
        <v>140.55041555757327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-5.1159076974727213E-13</v>
      </c>
      <c r="DP160" s="18">
        <f>DO160*VLOOKUP('Données projet'!$B$14,Paramètres!$A$1:$I$89,3,0)*VLOOKUP('Données projet'!$B$14,Paramètres!$A$1:$I$89,5,0)</f>
        <v>-5.1875304052373401E-13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328.70784159273131</v>
      </c>
      <c r="DU160" s="62">
        <f t="shared" si="152"/>
        <v>193.18009444354601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177.70053246230015</v>
      </c>
      <c r="T161" s="62">
        <f t="shared" si="142"/>
        <v>85.631326020763254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8.5265128291212022E-14</v>
      </c>
      <c r="AJ161" s="14">
        <f>AI161*VLOOKUP('Données projet'!$B$10,Paramètres!$A$1:$I$89,3,0)*VLOOKUP('Données projet'!$B$10,Paramètres!$A$1:$I$89,5,0)</f>
        <v>7.4487616075202836E-14</v>
      </c>
      <c r="AK161" s="14">
        <f t="shared" si="164"/>
        <v>1.1580453144473142E-12</v>
      </c>
      <c r="AL161" s="22">
        <f t="shared" si="165"/>
        <v>2.1466615206600508E-12</v>
      </c>
      <c r="AM161" s="62">
        <f t="shared" si="113"/>
        <v>293.33333333333547</v>
      </c>
      <c r="AN161" s="62">
        <f ca="1">AVERAGE(OFFSET($AM$3,0,0,'Données projet'!$E$10+1,1))-AVERAGE(OFFSET($H$3,0,0,'Données projet'!$E$10+1,1))</f>
        <v>212.11273590951606</v>
      </c>
      <c r="AO161" s="62">
        <f t="shared" si="144"/>
        <v>240.9595690943346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2.2737367544323206E-13</v>
      </c>
      <c r="BE161" s="14">
        <f>BD161*VLOOKUP('Données projet'!$B$11,Paramètres!$A$1:$I$89,3,0)*VLOOKUP('Données projet'!$B$11,Paramètres!$A$1:$I$89,5,0)</f>
        <v>1.3596945791505279E-13</v>
      </c>
      <c r="BF161" s="14">
        <f t="shared" si="167"/>
        <v>1.9708830566360721E-12</v>
      </c>
      <c r="BG161" s="22">
        <f t="shared" si="168"/>
        <v>3.669434796176543E-12</v>
      </c>
      <c r="BH161" s="62">
        <f t="shared" si="116"/>
        <v>293.33333333333701</v>
      </c>
      <c r="BI161" s="62">
        <f ca="1">AVERAGE(OFFSET($BH$3,0,0,'Données projet'!$E$11+1,1))-AVERAGE(OFFSET($H$3,0,0,'Données projet'!$E$11+1,1))</f>
        <v>172.49153247238672</v>
      </c>
      <c r="BJ161" s="62">
        <f t="shared" si="146"/>
        <v>301.94982606323254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2.2886903016059188</v>
      </c>
      <c r="BQ161" s="23">
        <f>EXP(-LN(2)/25)*BQ160+(1-EXP(-LN(2)/25))/(LN(2)/25)*Calculateur!BL161*Calculateur!BN161*VLOOKUP('Données projet'!$B$11,Paramètres!$A$1:$I$89,3,0)*0.475*44/12</f>
        <v>0.39766533006027627</v>
      </c>
      <c r="BR161" s="23">
        <f>EXP(-LN(2)/2)*BR160+(1-EXP(-LN(2)/2))/(LN(2)/2)*BL161*BO161*VLOOKUP('Données projet'!$B$11,Paramètres!$A$1:$I$89,3,0)*0.475*44/12</f>
        <v>3.1572100677228684E-19</v>
      </c>
      <c r="BS161" s="24">
        <f t="shared" si="169"/>
        <v>2.6863556316661952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3.4106051316484809E-13</v>
      </c>
      <c r="BZ161" s="14">
        <f>BY161*VLOOKUP('Données projet'!$B$12,Paramètres!$A$1:$I$89,3,0)*VLOOKUP('Données projet'!$B$12,Paramètres!$A$1:$I$89,5,0)</f>
        <v>1.9508661353029313E-13</v>
      </c>
      <c r="CA161" s="14">
        <f t="shared" si="170"/>
        <v>2.711421636700695E-12</v>
      </c>
      <c r="CB161" s="22">
        <f t="shared" si="171"/>
        <v>5.0621685358189711E-12</v>
      </c>
      <c r="CC161" s="62">
        <f t="shared" si="119"/>
        <v>293.33333333333837</v>
      </c>
      <c r="CD161" s="62">
        <f ca="1">AVERAGE(OFFSET($CC$3,0,0,'Données projet'!$E$12+1,1))-AVERAGE(OFFSET($H$3,0,0,'Données projet'!$E$12+1,1))</f>
        <v>177.71338645688661</v>
      </c>
      <c r="CE161" s="62">
        <f t="shared" si="148"/>
        <v>153.65872713651345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5.108521368223852E-2</v>
      </c>
      <c r="CM161" s="23">
        <f>EXP(-LN(2)/2)*CM160+(1-EXP(-LN(2)/2))/(LN(2)/2)*CG161*CJ161*VLOOKUP('Données projet'!$B$12,Paramètres!$A$1:$I$89,3,0)*0.475*44/12</f>
        <v>3.723815083460558E-20</v>
      </c>
      <c r="CN161" s="24">
        <f t="shared" si="172"/>
        <v>5.108521368223852E-2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-7.4487616075202823E-14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118.65321241325523</v>
      </c>
      <c r="CZ161" s="62">
        <f t="shared" si="150"/>
        <v>140.55041555757327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-5.1159076974727213E-13</v>
      </c>
      <c r="DP161" s="18">
        <f>DO161*VLOOKUP('Données projet'!$B$14,Paramètres!$A$1:$I$89,3,0)*VLOOKUP('Données projet'!$B$14,Paramètres!$A$1:$I$89,5,0)</f>
        <v>-5.1875304052373401E-13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328.70784159273131</v>
      </c>
      <c r="DU161" s="62">
        <f t="shared" si="152"/>
        <v>193.18009444354601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177.70053246230015</v>
      </c>
      <c r="T162" s="62">
        <f t="shared" si="142"/>
        <v>85.631326020763254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8.5265128291212022E-14</v>
      </c>
      <c r="AJ162" s="14">
        <f>AI162*VLOOKUP('Données projet'!$B$10,Paramètres!$A$1:$I$89,3,0)*VLOOKUP('Données projet'!$B$10,Paramètres!$A$1:$I$89,5,0)</f>
        <v>7.4487616075202836E-14</v>
      </c>
      <c r="AK162" s="14">
        <f t="shared" si="164"/>
        <v>1.1580453144473142E-12</v>
      </c>
      <c r="AL162" s="22">
        <f t="shared" si="165"/>
        <v>2.1466615206600508E-12</v>
      </c>
      <c r="AM162" s="62">
        <f t="shared" si="113"/>
        <v>293.33333333333547</v>
      </c>
      <c r="AN162" s="62">
        <f ca="1">AVERAGE(OFFSET($AM$3,0,0,'Données projet'!$E$10+1,1))-AVERAGE(OFFSET($H$3,0,0,'Données projet'!$E$10+1,1))</f>
        <v>212.11273590951606</v>
      </c>
      <c r="AO162" s="62">
        <f t="shared" si="144"/>
        <v>240.9595690943346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2.2737367544323206E-13</v>
      </c>
      <c r="BE162" s="14">
        <f>BD162*VLOOKUP('Données projet'!$B$11,Paramètres!$A$1:$I$89,3,0)*VLOOKUP('Données projet'!$B$11,Paramètres!$A$1:$I$89,5,0)</f>
        <v>1.3596945791505279E-13</v>
      </c>
      <c r="BF162" s="14">
        <f t="shared" si="167"/>
        <v>1.9708830566360721E-12</v>
      </c>
      <c r="BG162" s="22">
        <f t="shared" si="168"/>
        <v>3.669434796176543E-12</v>
      </c>
      <c r="BH162" s="62">
        <f t="shared" si="116"/>
        <v>293.33333333333701</v>
      </c>
      <c r="BI162" s="62">
        <f ca="1">AVERAGE(OFFSET($BH$3,0,0,'Données projet'!$E$11+1,1))-AVERAGE(OFFSET($H$3,0,0,'Données projet'!$E$11+1,1))</f>
        <v>172.49153247238672</v>
      </c>
      <c r="BJ162" s="62">
        <f t="shared" si="146"/>
        <v>301.94982606323254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2.2438104807546706</v>
      </c>
      <c r="BQ162" s="23">
        <f>EXP(-LN(2)/25)*BQ161+(1-EXP(-LN(2)/25))/(LN(2)/25)*Calculateur!BL162*Calculateur!BN162*VLOOKUP('Données projet'!$B$11,Paramètres!$A$1:$I$89,3,0)*0.475*44/12</f>
        <v>0.38679115069746717</v>
      </c>
      <c r="BR162" s="23">
        <f>EXP(-LN(2)/2)*BR161+(1-EXP(-LN(2)/2))/(LN(2)/2)*BL162*BO162*VLOOKUP('Données projet'!$B$11,Paramètres!$A$1:$I$89,3,0)*0.475*44/12</f>
        <v>2.2324846485172792E-19</v>
      </c>
      <c r="BS162" s="24">
        <f t="shared" si="169"/>
        <v>2.6306016314521377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3.4106051316484809E-13</v>
      </c>
      <c r="BZ162" s="14">
        <f>BY162*VLOOKUP('Données projet'!$B$12,Paramètres!$A$1:$I$89,3,0)*VLOOKUP('Données projet'!$B$12,Paramètres!$A$1:$I$89,5,0)</f>
        <v>1.9508661353029313E-13</v>
      </c>
      <c r="CA162" s="14">
        <f t="shared" si="170"/>
        <v>2.711421636700695E-12</v>
      </c>
      <c r="CB162" s="22">
        <f t="shared" si="171"/>
        <v>5.0621685358189711E-12</v>
      </c>
      <c r="CC162" s="62">
        <f t="shared" si="119"/>
        <v>293.33333333333837</v>
      </c>
      <c r="CD162" s="62">
        <f ca="1">AVERAGE(OFFSET($CC$3,0,0,'Données projet'!$E$12+1,1))-AVERAGE(OFFSET($H$3,0,0,'Données projet'!$E$12+1,1))</f>
        <v>177.71338645688661</v>
      </c>
      <c r="CE162" s="62">
        <f t="shared" si="148"/>
        <v>153.65872713651345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4.9688285827643078E-2</v>
      </c>
      <c r="CM162" s="23">
        <f>EXP(-LN(2)/2)*CM161+(1-EXP(-LN(2)/2))/(LN(2)/2)*CG162*CJ162*VLOOKUP('Données projet'!$B$12,Paramètres!$A$1:$I$89,3,0)*0.475*44/12</f>
        <v>2.6331348973997101E-20</v>
      </c>
      <c r="CN162" s="24">
        <f t="shared" si="172"/>
        <v>4.9688285827643078E-2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-7.4487616075202823E-14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118.65321241325523</v>
      </c>
      <c r="CZ162" s="62">
        <f t="shared" si="150"/>
        <v>140.55041555757327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-5.1159076974727213E-13</v>
      </c>
      <c r="DP162" s="18">
        <f>DO162*VLOOKUP('Données projet'!$B$14,Paramètres!$A$1:$I$89,3,0)*VLOOKUP('Données projet'!$B$14,Paramètres!$A$1:$I$89,5,0)</f>
        <v>-5.1875304052373401E-13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328.70784159273131</v>
      </c>
      <c r="DU162" s="62">
        <f t="shared" si="152"/>
        <v>193.18009444354601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177.70053246230015</v>
      </c>
      <c r="T163" s="62">
        <f t="shared" si="142"/>
        <v>85.631326020763254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8.5265128291212022E-14</v>
      </c>
      <c r="AJ163" s="14">
        <f>AI163*VLOOKUP('Données projet'!$B$10,Paramètres!$A$1:$I$89,3,0)*VLOOKUP('Données projet'!$B$10,Paramètres!$A$1:$I$89,5,0)</f>
        <v>7.4487616075202836E-14</v>
      </c>
      <c r="AK163" s="14">
        <f t="shared" si="164"/>
        <v>1.1580453144473142E-12</v>
      </c>
      <c r="AL163" s="22">
        <f t="shared" si="165"/>
        <v>2.1466615206600508E-12</v>
      </c>
      <c r="AM163" s="62">
        <f t="shared" si="113"/>
        <v>293.33333333333547</v>
      </c>
      <c r="AN163" s="62">
        <f ca="1">AVERAGE(OFFSET($AM$3,0,0,'Données projet'!$E$10+1,1))-AVERAGE(OFFSET($H$3,0,0,'Données projet'!$E$10+1,1))</f>
        <v>212.11273590951606</v>
      </c>
      <c r="AO163" s="62">
        <f t="shared" si="144"/>
        <v>240.9595690943346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2.2737367544323206E-13</v>
      </c>
      <c r="BE163" s="14">
        <f>BD163*VLOOKUP('Données projet'!$B$11,Paramètres!$A$1:$I$89,3,0)*VLOOKUP('Données projet'!$B$11,Paramètres!$A$1:$I$89,5,0)</f>
        <v>1.3596945791505279E-13</v>
      </c>
      <c r="BF163" s="14">
        <f t="shared" si="167"/>
        <v>1.9708830566360721E-12</v>
      </c>
      <c r="BG163" s="22">
        <f t="shared" si="168"/>
        <v>3.669434796176543E-12</v>
      </c>
      <c r="BH163" s="62">
        <f t="shared" si="116"/>
        <v>293.33333333333701</v>
      </c>
      <c r="BI163" s="62">
        <f ca="1">AVERAGE(OFFSET($BH$3,0,0,'Données projet'!$E$11+1,1))-AVERAGE(OFFSET($H$3,0,0,'Données projet'!$E$11+1,1))</f>
        <v>172.49153247238672</v>
      </c>
      <c r="BJ163" s="62">
        <f t="shared" si="146"/>
        <v>301.94982606323254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2.1998107258163277</v>
      </c>
      <c r="BQ163" s="23">
        <f>EXP(-LN(2)/25)*BQ162+(1-EXP(-LN(2)/25))/(LN(2)/25)*Calculateur!BL163*Calculateur!BN163*VLOOKUP('Données projet'!$B$11,Paramètres!$A$1:$I$89,3,0)*0.475*44/12</f>
        <v>0.37621432634118235</v>
      </c>
      <c r="BR163" s="23">
        <f>EXP(-LN(2)/2)*BR162+(1-EXP(-LN(2)/2))/(LN(2)/2)*BL163*BO163*VLOOKUP('Données projet'!$B$11,Paramètres!$A$1:$I$89,3,0)*0.475*44/12</f>
        <v>1.5786050338614342E-19</v>
      </c>
      <c r="BS163" s="24">
        <f t="shared" si="169"/>
        <v>2.5760250521575099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3.4106051316484809E-13</v>
      </c>
      <c r="BZ163" s="14">
        <f>BY163*VLOOKUP('Données projet'!$B$12,Paramètres!$A$1:$I$89,3,0)*VLOOKUP('Données projet'!$B$12,Paramètres!$A$1:$I$89,5,0)</f>
        <v>1.9508661353029313E-13</v>
      </c>
      <c r="CA163" s="14">
        <f t="shared" si="170"/>
        <v>2.711421636700695E-12</v>
      </c>
      <c r="CB163" s="22">
        <f t="shared" si="171"/>
        <v>5.0621685358189711E-12</v>
      </c>
      <c r="CC163" s="62">
        <f t="shared" si="119"/>
        <v>293.33333333333837</v>
      </c>
      <c r="CD163" s="62">
        <f ca="1">AVERAGE(OFFSET($CC$3,0,0,'Données projet'!$E$12+1,1))-AVERAGE(OFFSET($H$3,0,0,'Données projet'!$E$12+1,1))</f>
        <v>177.71338645688661</v>
      </c>
      <c r="CE163" s="62">
        <f t="shared" si="148"/>
        <v>153.65872713651345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4.8329557038692787E-2</v>
      </c>
      <c r="CM163" s="23">
        <f>EXP(-LN(2)/2)*CM162+(1-EXP(-LN(2)/2))/(LN(2)/2)*CG163*CJ163*VLOOKUP('Données projet'!$B$12,Paramètres!$A$1:$I$89,3,0)*0.475*44/12</f>
        <v>1.8619075417302793E-20</v>
      </c>
      <c r="CN163" s="24">
        <f t="shared" si="172"/>
        <v>4.8329557038692787E-2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-7.4487616075202823E-14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118.65321241325523</v>
      </c>
      <c r="CZ163" s="62">
        <f t="shared" si="150"/>
        <v>140.55041555757327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-5.1159076974727213E-13</v>
      </c>
      <c r="DP163" s="18">
        <f>DO163*VLOOKUP('Données projet'!$B$14,Paramètres!$A$1:$I$89,3,0)*VLOOKUP('Données projet'!$B$14,Paramètres!$A$1:$I$89,5,0)</f>
        <v>-5.1875304052373401E-13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328.70784159273131</v>
      </c>
      <c r="DU163" s="62">
        <f t="shared" si="152"/>
        <v>193.18009444354601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177.70053246230015</v>
      </c>
      <c r="T164" s="62">
        <f t="shared" si="142"/>
        <v>85.631326020763254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8.5265128291212022E-14</v>
      </c>
      <c r="AJ164" s="14">
        <f>AI164*VLOOKUP('Données projet'!$B$10,Paramètres!$A$1:$I$89,3,0)*VLOOKUP('Données projet'!$B$10,Paramètres!$A$1:$I$89,5,0)</f>
        <v>7.4487616075202836E-14</v>
      </c>
      <c r="AK164" s="14">
        <f t="shared" si="164"/>
        <v>1.1580453144473142E-12</v>
      </c>
      <c r="AL164" s="22">
        <f t="shared" si="165"/>
        <v>2.1466615206600508E-12</v>
      </c>
      <c r="AM164" s="62">
        <f t="shared" si="113"/>
        <v>293.33333333333547</v>
      </c>
      <c r="AN164" s="62">
        <f ca="1">AVERAGE(OFFSET($AM$3,0,0,'Données projet'!$E$10+1,1))-AVERAGE(OFFSET($H$3,0,0,'Données projet'!$E$10+1,1))</f>
        <v>212.11273590951606</v>
      </c>
      <c r="AO164" s="62">
        <f t="shared" si="144"/>
        <v>240.9595690943346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2.2737367544323206E-13</v>
      </c>
      <c r="BE164" s="14">
        <f>BD164*VLOOKUP('Données projet'!$B$11,Paramètres!$A$1:$I$89,3,0)*VLOOKUP('Données projet'!$B$11,Paramètres!$A$1:$I$89,5,0)</f>
        <v>1.3596945791505279E-13</v>
      </c>
      <c r="BF164" s="14">
        <f t="shared" si="167"/>
        <v>1.9708830566360721E-12</v>
      </c>
      <c r="BG164" s="22">
        <f t="shared" si="168"/>
        <v>3.669434796176543E-12</v>
      </c>
      <c r="BH164" s="62">
        <f t="shared" si="116"/>
        <v>293.33333333333701</v>
      </c>
      <c r="BI164" s="62">
        <f ca="1">AVERAGE(OFFSET($BH$3,0,0,'Données projet'!$E$11+1,1))-AVERAGE(OFFSET($H$3,0,0,'Données projet'!$E$11+1,1))</f>
        <v>172.49153247238672</v>
      </c>
      <c r="BJ164" s="62">
        <f t="shared" si="146"/>
        <v>301.94982606323254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2.1566737792351254</v>
      </c>
      <c r="BQ164" s="23">
        <f>EXP(-LN(2)/25)*BQ163+(1-EXP(-LN(2)/25))/(LN(2)/25)*Calculateur!BL164*Calculateur!BN164*VLOOKUP('Données projet'!$B$11,Paramètres!$A$1:$I$89,3,0)*0.475*44/12</f>
        <v>0.36592672580313113</v>
      </c>
      <c r="BR164" s="23">
        <f>EXP(-LN(2)/2)*BR163+(1-EXP(-LN(2)/2))/(LN(2)/2)*BL164*BO164*VLOOKUP('Données projet'!$B$11,Paramètres!$A$1:$I$89,3,0)*0.475*44/12</f>
        <v>1.1162423242586396E-19</v>
      </c>
      <c r="BS164" s="24">
        <f t="shared" si="169"/>
        <v>2.5226005050382563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3.4106051316484809E-13</v>
      </c>
      <c r="BZ164" s="14">
        <f>BY164*VLOOKUP('Données projet'!$B$12,Paramètres!$A$1:$I$89,3,0)*VLOOKUP('Données projet'!$B$12,Paramètres!$A$1:$I$89,5,0)</f>
        <v>1.9508661353029313E-13</v>
      </c>
      <c r="CA164" s="14">
        <f t="shared" si="170"/>
        <v>2.711421636700695E-12</v>
      </c>
      <c r="CB164" s="22">
        <f t="shared" si="171"/>
        <v>5.0621685358189711E-12</v>
      </c>
      <c r="CC164" s="62">
        <f t="shared" si="119"/>
        <v>293.33333333333837</v>
      </c>
      <c r="CD164" s="62">
        <f ca="1">AVERAGE(OFFSET($CC$3,0,0,'Données projet'!$E$12+1,1))-AVERAGE(OFFSET($H$3,0,0,'Données projet'!$E$12+1,1))</f>
        <v>177.71338645688661</v>
      </c>
      <c r="CE164" s="62">
        <f t="shared" si="148"/>
        <v>153.65872713651345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4.700798275992879E-2</v>
      </c>
      <c r="CM164" s="23">
        <f>EXP(-LN(2)/2)*CM163+(1-EXP(-LN(2)/2))/(LN(2)/2)*CG164*CJ164*VLOOKUP('Données projet'!$B$12,Paramètres!$A$1:$I$89,3,0)*0.475*44/12</f>
        <v>1.3165674486998554E-20</v>
      </c>
      <c r="CN164" s="24">
        <f t="shared" si="172"/>
        <v>4.700798275992879E-2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-7.4487616075202823E-14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118.65321241325523</v>
      </c>
      <c r="CZ164" s="62">
        <f t="shared" si="150"/>
        <v>140.55041555757327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-5.1159076974727213E-13</v>
      </c>
      <c r="DP164" s="18">
        <f>DO164*VLOOKUP('Données projet'!$B$14,Paramètres!$A$1:$I$89,3,0)*VLOOKUP('Données projet'!$B$14,Paramètres!$A$1:$I$89,5,0)</f>
        <v>-5.1875304052373401E-13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328.70784159273131</v>
      </c>
      <c r="DU164" s="62">
        <f t="shared" si="152"/>
        <v>193.18009444354601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177.70053246230015</v>
      </c>
      <c r="T165" s="62">
        <f t="shared" si="142"/>
        <v>85.631326020763254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8.5265128291212022E-14</v>
      </c>
      <c r="AJ165" s="14">
        <f>AI165*VLOOKUP('Données projet'!$B$10,Paramètres!$A$1:$I$89,3,0)*VLOOKUP('Données projet'!$B$10,Paramètres!$A$1:$I$89,5,0)</f>
        <v>7.4487616075202836E-14</v>
      </c>
      <c r="AK165" s="14">
        <f t="shared" si="164"/>
        <v>1.1580453144473142E-12</v>
      </c>
      <c r="AL165" s="22">
        <f t="shared" si="165"/>
        <v>2.1466615206600508E-12</v>
      </c>
      <c r="AM165" s="62">
        <f t="shared" si="113"/>
        <v>293.33333333333547</v>
      </c>
      <c r="AN165" s="62">
        <f ca="1">AVERAGE(OFFSET($AM$3,0,0,'Données projet'!$E$10+1,1))-AVERAGE(OFFSET($H$3,0,0,'Données projet'!$E$10+1,1))</f>
        <v>212.11273590951606</v>
      </c>
      <c r="AO165" s="62">
        <f t="shared" si="144"/>
        <v>240.9595690943346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2.2737367544323206E-13</v>
      </c>
      <c r="BE165" s="14">
        <f>BD165*VLOOKUP('Données projet'!$B$11,Paramètres!$A$1:$I$89,3,0)*VLOOKUP('Données projet'!$B$11,Paramètres!$A$1:$I$89,5,0)</f>
        <v>1.3596945791505279E-13</v>
      </c>
      <c r="BF165" s="14">
        <f t="shared" si="167"/>
        <v>1.9708830566360721E-12</v>
      </c>
      <c r="BG165" s="22">
        <f t="shared" si="168"/>
        <v>3.669434796176543E-12</v>
      </c>
      <c r="BH165" s="62">
        <f t="shared" si="116"/>
        <v>293.33333333333701</v>
      </c>
      <c r="BI165" s="62">
        <f ca="1">AVERAGE(OFFSET($BH$3,0,0,'Données projet'!$E$11+1,1))-AVERAGE(OFFSET($H$3,0,0,'Données projet'!$E$11+1,1))</f>
        <v>172.49153247238672</v>
      </c>
      <c r="BJ165" s="62">
        <f t="shared" si="146"/>
        <v>301.94982606323254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2.1143827218654407</v>
      </c>
      <c r="BQ165" s="23">
        <f>EXP(-LN(2)/25)*BQ164+(1-EXP(-LN(2)/25))/(LN(2)/25)*Calculateur!BL165*Calculateur!BN165*VLOOKUP('Données projet'!$B$11,Paramètres!$A$1:$I$89,3,0)*0.475*44/12</f>
        <v>0.35592044024279434</v>
      </c>
      <c r="BR165" s="23">
        <f>EXP(-LN(2)/2)*BR164+(1-EXP(-LN(2)/2))/(LN(2)/2)*BL165*BO165*VLOOKUP('Données projet'!$B$11,Paramètres!$A$1:$I$89,3,0)*0.475*44/12</f>
        <v>7.893025169307171E-20</v>
      </c>
      <c r="BS165" s="24">
        <f t="shared" si="169"/>
        <v>2.4703031621082352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3.4106051316484809E-13</v>
      </c>
      <c r="BZ165" s="14">
        <f>BY165*VLOOKUP('Données projet'!$B$12,Paramètres!$A$1:$I$89,3,0)*VLOOKUP('Données projet'!$B$12,Paramètres!$A$1:$I$89,5,0)</f>
        <v>1.9508661353029313E-13</v>
      </c>
      <c r="CA165" s="14">
        <f t="shared" si="170"/>
        <v>2.711421636700695E-12</v>
      </c>
      <c r="CB165" s="22">
        <f t="shared" si="171"/>
        <v>5.0621685358189711E-12</v>
      </c>
      <c r="CC165" s="62">
        <f t="shared" si="119"/>
        <v>293.33333333333837</v>
      </c>
      <c r="CD165" s="62">
        <f ca="1">AVERAGE(OFFSET($CC$3,0,0,'Données projet'!$E$12+1,1))-AVERAGE(OFFSET($H$3,0,0,'Données projet'!$E$12+1,1))</f>
        <v>177.71338645688661</v>
      </c>
      <c r="CE165" s="62">
        <f t="shared" si="148"/>
        <v>153.65872713651345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4.572254699931616E-2</v>
      </c>
      <c r="CM165" s="23">
        <f>EXP(-LN(2)/2)*CM164+(1-EXP(-LN(2)/2))/(LN(2)/2)*CG165*CJ165*VLOOKUP('Données projet'!$B$12,Paramètres!$A$1:$I$89,3,0)*0.475*44/12</f>
        <v>9.3095377086513981E-21</v>
      </c>
      <c r="CN165" s="24">
        <f t="shared" si="172"/>
        <v>4.572254699931616E-2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-7.4487616075202823E-14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118.65321241325523</v>
      </c>
      <c r="CZ165" s="62">
        <f t="shared" si="150"/>
        <v>140.55041555757327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-5.1159076974727213E-13</v>
      </c>
      <c r="DP165" s="18">
        <f>DO165*VLOOKUP('Données projet'!$B$14,Paramètres!$A$1:$I$89,3,0)*VLOOKUP('Données projet'!$B$14,Paramètres!$A$1:$I$89,5,0)</f>
        <v>-5.1875304052373401E-13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328.70784159273131</v>
      </c>
      <c r="DU165" s="62">
        <f t="shared" si="152"/>
        <v>193.18009444354601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177.70053246230015</v>
      </c>
      <c r="T166" s="62">
        <f t="shared" si="142"/>
        <v>85.631326020763254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8.5265128291212022E-14</v>
      </c>
      <c r="AJ166" s="14">
        <f>AI166*VLOOKUP('Données projet'!$B$10,Paramètres!$A$1:$I$89,3,0)*VLOOKUP('Données projet'!$B$10,Paramètres!$A$1:$I$89,5,0)</f>
        <v>7.4487616075202836E-14</v>
      </c>
      <c r="AK166" s="14">
        <f t="shared" si="164"/>
        <v>1.1580453144473142E-12</v>
      </c>
      <c r="AL166" s="22">
        <f t="shared" si="165"/>
        <v>2.1466615206600508E-12</v>
      </c>
      <c r="AM166" s="62">
        <f t="shared" si="113"/>
        <v>293.33333333333547</v>
      </c>
      <c r="AN166" s="62">
        <f ca="1">AVERAGE(OFFSET($AM$3,0,0,'Données projet'!$E$10+1,1))-AVERAGE(OFFSET($H$3,0,0,'Données projet'!$E$10+1,1))</f>
        <v>212.11273590951606</v>
      </c>
      <c r="AO166" s="62">
        <f t="shared" si="144"/>
        <v>240.9595690943346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2.2737367544323206E-13</v>
      </c>
      <c r="BE166" s="14">
        <f>BD166*VLOOKUP('Données projet'!$B$11,Paramètres!$A$1:$I$89,3,0)*VLOOKUP('Données projet'!$B$11,Paramètres!$A$1:$I$89,5,0)</f>
        <v>1.3596945791505279E-13</v>
      </c>
      <c r="BF166" s="14">
        <f t="shared" si="167"/>
        <v>1.9708830566360721E-12</v>
      </c>
      <c r="BG166" s="22">
        <f t="shared" si="168"/>
        <v>3.669434796176543E-12</v>
      </c>
      <c r="BH166" s="62">
        <f t="shared" si="116"/>
        <v>293.33333333333701</v>
      </c>
      <c r="BI166" s="62">
        <f ca="1">AVERAGE(OFFSET($BH$3,0,0,'Données projet'!$E$11+1,1))-AVERAGE(OFFSET($H$3,0,0,'Données projet'!$E$11+1,1))</f>
        <v>172.49153247238672</v>
      </c>
      <c r="BJ166" s="62">
        <f t="shared" si="146"/>
        <v>301.94982606323254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2.0729209663357779</v>
      </c>
      <c r="BQ166" s="23">
        <f>EXP(-LN(2)/25)*BQ165+(1-EXP(-LN(2)/25))/(LN(2)/25)*Calculateur!BL166*Calculateur!BN166*VLOOKUP('Données projet'!$B$11,Paramètres!$A$1:$I$89,3,0)*0.475*44/12</f>
        <v>0.34618777708731263</v>
      </c>
      <c r="BR166" s="23">
        <f>EXP(-LN(2)/2)*BR165+(1-EXP(-LN(2)/2))/(LN(2)/2)*BL166*BO166*VLOOKUP('Données projet'!$B$11,Paramètres!$A$1:$I$89,3,0)*0.475*44/12</f>
        <v>5.5812116212931979E-20</v>
      </c>
      <c r="BS166" s="24">
        <f t="shared" si="169"/>
        <v>2.4191087434230907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3.4106051316484809E-13</v>
      </c>
      <c r="BZ166" s="14">
        <f>BY166*VLOOKUP('Données projet'!$B$12,Paramètres!$A$1:$I$89,3,0)*VLOOKUP('Données projet'!$B$12,Paramètres!$A$1:$I$89,5,0)</f>
        <v>1.9508661353029313E-13</v>
      </c>
      <c r="CA166" s="14">
        <f t="shared" si="170"/>
        <v>2.711421636700695E-12</v>
      </c>
      <c r="CB166" s="22">
        <f t="shared" si="171"/>
        <v>5.0621685358189711E-12</v>
      </c>
      <c r="CC166" s="62">
        <f t="shared" si="119"/>
        <v>293.33333333333837</v>
      </c>
      <c r="CD166" s="62">
        <f ca="1">AVERAGE(OFFSET($CC$3,0,0,'Données projet'!$E$12+1,1))-AVERAGE(OFFSET($H$3,0,0,'Données projet'!$E$12+1,1))</f>
        <v>177.71338645688661</v>
      </c>
      <c r="CE166" s="62">
        <f t="shared" si="148"/>
        <v>153.65872713651345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4.4472261547175616E-2</v>
      </c>
      <c r="CM166" s="23">
        <f>EXP(-LN(2)/2)*CM165+(1-EXP(-LN(2)/2))/(LN(2)/2)*CG166*CJ166*VLOOKUP('Données projet'!$B$12,Paramètres!$A$1:$I$89,3,0)*0.475*44/12</f>
        <v>6.5828372434992776E-21</v>
      </c>
      <c r="CN166" s="24">
        <f t="shared" si="172"/>
        <v>4.4472261547175616E-2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-7.4487616075202823E-14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118.65321241325523</v>
      </c>
      <c r="CZ166" s="62">
        <f t="shared" si="150"/>
        <v>140.55041555757327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-5.1159076974727213E-13</v>
      </c>
      <c r="DP166" s="18">
        <f>DO166*VLOOKUP('Données projet'!$B$14,Paramètres!$A$1:$I$89,3,0)*VLOOKUP('Données projet'!$B$14,Paramètres!$A$1:$I$89,5,0)</f>
        <v>-5.1875304052373401E-13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328.70784159273131</v>
      </c>
      <c r="DU166" s="62">
        <f t="shared" si="152"/>
        <v>193.18009444354601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177.70053246230015</v>
      </c>
      <c r="T167" s="62">
        <f t="shared" si="142"/>
        <v>85.631326020763254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8.5265128291212022E-14</v>
      </c>
      <c r="AJ167" s="14">
        <f>AI167*VLOOKUP('Données projet'!$B$10,Paramètres!$A$1:$I$89,3,0)*VLOOKUP('Données projet'!$B$10,Paramètres!$A$1:$I$89,5,0)</f>
        <v>7.4487616075202836E-14</v>
      </c>
      <c r="AK167" s="14">
        <f t="shared" si="164"/>
        <v>1.1580453144473142E-12</v>
      </c>
      <c r="AL167" s="22">
        <f t="shared" si="165"/>
        <v>2.1466615206600508E-12</v>
      </c>
      <c r="AM167" s="62">
        <f t="shared" si="113"/>
        <v>293.33333333333547</v>
      </c>
      <c r="AN167" s="62">
        <f ca="1">AVERAGE(OFFSET($AM$3,0,0,'Données projet'!$E$10+1,1))-AVERAGE(OFFSET($H$3,0,0,'Données projet'!$E$10+1,1))</f>
        <v>212.11273590951606</v>
      </c>
      <c r="AO167" s="62">
        <f t="shared" si="144"/>
        <v>240.9595690943346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2.2737367544323206E-13</v>
      </c>
      <c r="BE167" s="14">
        <f>BD167*VLOOKUP('Données projet'!$B$11,Paramètres!$A$1:$I$89,3,0)*VLOOKUP('Données projet'!$B$11,Paramètres!$A$1:$I$89,5,0)</f>
        <v>1.3596945791505279E-13</v>
      </c>
      <c r="BF167" s="14">
        <f t="shared" si="167"/>
        <v>1.9708830566360721E-12</v>
      </c>
      <c r="BG167" s="22">
        <f t="shared" si="168"/>
        <v>3.669434796176543E-12</v>
      </c>
      <c r="BH167" s="62">
        <f t="shared" si="116"/>
        <v>293.33333333333701</v>
      </c>
      <c r="BI167" s="62">
        <f ca="1">AVERAGE(OFFSET($BH$3,0,0,'Données projet'!$E$11+1,1))-AVERAGE(OFFSET($H$3,0,0,'Données projet'!$E$11+1,1))</f>
        <v>172.49153247238672</v>
      </c>
      <c r="BJ167" s="62">
        <f t="shared" si="146"/>
        <v>301.94982606323254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2.0322722505428779</v>
      </c>
      <c r="BQ167" s="23">
        <f>EXP(-LN(2)/25)*BQ166+(1-EXP(-LN(2)/25))/(LN(2)/25)*Calculateur!BL167*Calculateur!BN167*VLOOKUP('Données projet'!$B$11,Paramètres!$A$1:$I$89,3,0)*0.475*44/12</f>
        <v>0.33672125411763609</v>
      </c>
      <c r="BR167" s="23">
        <f>EXP(-LN(2)/2)*BR166+(1-EXP(-LN(2)/2))/(LN(2)/2)*BL167*BO167*VLOOKUP('Données projet'!$B$11,Paramètres!$A$1:$I$89,3,0)*0.475*44/12</f>
        <v>3.9465125846535855E-20</v>
      </c>
      <c r="BS167" s="24">
        <f t="shared" si="169"/>
        <v>2.3689935046605139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3.4106051316484809E-13</v>
      </c>
      <c r="BZ167" s="14">
        <f>BY167*VLOOKUP('Données projet'!$B$12,Paramètres!$A$1:$I$89,3,0)*VLOOKUP('Données projet'!$B$12,Paramètres!$A$1:$I$89,5,0)</f>
        <v>1.9508661353029313E-13</v>
      </c>
      <c r="CA167" s="14">
        <f t="shared" si="170"/>
        <v>2.711421636700695E-12</v>
      </c>
      <c r="CB167" s="22">
        <f t="shared" si="171"/>
        <v>5.0621685358189711E-12</v>
      </c>
      <c r="CC167" s="62">
        <f t="shared" si="119"/>
        <v>293.33333333333837</v>
      </c>
      <c r="CD167" s="62">
        <f ca="1">AVERAGE(OFFSET($CC$3,0,0,'Données projet'!$E$12+1,1))-AVERAGE(OFFSET($H$3,0,0,'Données projet'!$E$12+1,1))</f>
        <v>177.71338645688661</v>
      </c>
      <c r="CE167" s="62">
        <f t="shared" si="148"/>
        <v>153.65872713651345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4.3256165216473505E-2</v>
      </c>
      <c r="CM167" s="23">
        <f>EXP(-LN(2)/2)*CM166+(1-EXP(-LN(2)/2))/(LN(2)/2)*CG167*CJ167*VLOOKUP('Données projet'!$B$12,Paramètres!$A$1:$I$89,3,0)*0.475*44/12</f>
        <v>4.6547688543256998E-21</v>
      </c>
      <c r="CN167" s="24">
        <f t="shared" si="172"/>
        <v>4.3256165216473505E-2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-7.4487616075202823E-14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118.65321241325523</v>
      </c>
      <c r="CZ167" s="62">
        <f t="shared" si="150"/>
        <v>140.55041555757327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-5.1159076974727213E-13</v>
      </c>
      <c r="DP167" s="18">
        <f>DO167*VLOOKUP('Données projet'!$B$14,Paramètres!$A$1:$I$89,3,0)*VLOOKUP('Données projet'!$B$14,Paramètres!$A$1:$I$89,5,0)</f>
        <v>-5.1875304052373401E-13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328.70784159273131</v>
      </c>
      <c r="DU167" s="62">
        <f t="shared" si="152"/>
        <v>193.18009444354601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177.70053246230015</v>
      </c>
      <c r="T168" s="62">
        <f t="shared" si="142"/>
        <v>85.631326020763254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8.5265128291212022E-14</v>
      </c>
      <c r="AJ168" s="14">
        <f>AI168*VLOOKUP('Données projet'!$B$10,Paramètres!$A$1:$I$89,3,0)*VLOOKUP('Données projet'!$B$10,Paramètres!$A$1:$I$89,5,0)</f>
        <v>7.4487616075202836E-14</v>
      </c>
      <c r="AK168" s="14">
        <f t="shared" si="164"/>
        <v>1.1580453144473142E-12</v>
      </c>
      <c r="AL168" s="22">
        <f t="shared" si="165"/>
        <v>2.1466615206600508E-12</v>
      </c>
      <c r="AM168" s="62">
        <f t="shared" si="113"/>
        <v>293.33333333333547</v>
      </c>
      <c r="AN168" s="62">
        <f ca="1">AVERAGE(OFFSET($AM$3,0,0,'Données projet'!$E$10+1,1))-AVERAGE(OFFSET($H$3,0,0,'Données projet'!$E$10+1,1))</f>
        <v>212.11273590951606</v>
      </c>
      <c r="AO168" s="62">
        <f t="shared" si="144"/>
        <v>240.9595690943346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2.2737367544323206E-13</v>
      </c>
      <c r="BE168" s="14">
        <f>BD168*VLOOKUP('Données projet'!$B$11,Paramètres!$A$1:$I$89,3,0)*VLOOKUP('Données projet'!$B$11,Paramètres!$A$1:$I$89,5,0)</f>
        <v>1.3596945791505279E-13</v>
      </c>
      <c r="BF168" s="14">
        <f t="shared" si="167"/>
        <v>1.9708830566360721E-12</v>
      </c>
      <c r="BG168" s="22">
        <f t="shared" si="168"/>
        <v>3.669434796176543E-12</v>
      </c>
      <c r="BH168" s="62">
        <f t="shared" si="116"/>
        <v>293.33333333333701</v>
      </c>
      <c r="BI168" s="62">
        <f ca="1">AVERAGE(OFFSET($BH$3,0,0,'Données projet'!$E$11+1,1))-AVERAGE(OFFSET($H$3,0,0,'Données projet'!$E$11+1,1))</f>
        <v>172.49153247238672</v>
      </c>
      <c r="BJ168" s="62">
        <f t="shared" si="146"/>
        <v>301.94982606323254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1.9924206312734081</v>
      </c>
      <c r="BQ168" s="23">
        <f>EXP(-LN(2)/25)*BQ167+(1-EXP(-LN(2)/25))/(LN(2)/25)*Calculateur!BL168*Calculateur!BN168*VLOOKUP('Données projet'!$B$11,Paramètres!$A$1:$I$89,3,0)*0.475*44/12</f>
        <v>0.32751359371638816</v>
      </c>
      <c r="BR168" s="23">
        <f>EXP(-LN(2)/2)*BR167+(1-EXP(-LN(2)/2))/(LN(2)/2)*BL168*BO168*VLOOKUP('Données projet'!$B$11,Paramètres!$A$1:$I$89,3,0)*0.475*44/12</f>
        <v>2.790605810646599E-20</v>
      </c>
      <c r="BS168" s="24">
        <f t="shared" si="169"/>
        <v>2.3199342249897961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3.4106051316484809E-13</v>
      </c>
      <c r="BZ168" s="14">
        <f>BY168*VLOOKUP('Données projet'!$B$12,Paramètres!$A$1:$I$89,3,0)*VLOOKUP('Données projet'!$B$12,Paramètres!$A$1:$I$89,5,0)</f>
        <v>1.9508661353029313E-13</v>
      </c>
      <c r="CA168" s="14">
        <f t="shared" si="170"/>
        <v>2.711421636700695E-12</v>
      </c>
      <c r="CB168" s="22">
        <f t="shared" si="171"/>
        <v>5.0621685358189711E-12</v>
      </c>
      <c r="CC168" s="62">
        <f t="shared" si="119"/>
        <v>293.33333333333837</v>
      </c>
      <c r="CD168" s="62">
        <f ca="1">AVERAGE(OFFSET($CC$3,0,0,'Données projet'!$E$12+1,1))-AVERAGE(OFFSET($H$3,0,0,'Données projet'!$E$12+1,1))</f>
        <v>177.71338645688661</v>
      </c>
      <c r="CE168" s="62">
        <f t="shared" si="148"/>
        <v>153.65872713651345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4.2073323103886173E-2</v>
      </c>
      <c r="CM168" s="23">
        <f>EXP(-LN(2)/2)*CM167+(1-EXP(-LN(2)/2))/(LN(2)/2)*CG168*CJ168*VLOOKUP('Données projet'!$B$12,Paramètres!$A$1:$I$89,3,0)*0.475*44/12</f>
        <v>3.2914186217496392E-21</v>
      </c>
      <c r="CN168" s="24">
        <f t="shared" si="172"/>
        <v>4.2073323103886173E-2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-7.4487616075202823E-14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118.65321241325523</v>
      </c>
      <c r="CZ168" s="62">
        <f t="shared" si="150"/>
        <v>140.55041555757327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-5.1159076974727213E-13</v>
      </c>
      <c r="DP168" s="18">
        <f>DO168*VLOOKUP('Données projet'!$B$14,Paramètres!$A$1:$I$89,3,0)*VLOOKUP('Données projet'!$B$14,Paramètres!$A$1:$I$89,5,0)</f>
        <v>-5.1875304052373401E-13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328.70784159273131</v>
      </c>
      <c r="DU168" s="62">
        <f t="shared" si="152"/>
        <v>193.18009444354601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177.70053246230015</v>
      </c>
      <c r="T169" s="62">
        <f t="shared" si="142"/>
        <v>85.631326020763254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8.5265128291212022E-14</v>
      </c>
      <c r="AJ169" s="14">
        <f>AI169*VLOOKUP('Données projet'!$B$10,Paramètres!$A$1:$I$89,3,0)*VLOOKUP('Données projet'!$B$10,Paramètres!$A$1:$I$89,5,0)</f>
        <v>7.4487616075202836E-14</v>
      </c>
      <c r="AK169" s="14">
        <f t="shared" si="164"/>
        <v>1.1580453144473142E-12</v>
      </c>
      <c r="AL169" s="22">
        <f t="shared" si="165"/>
        <v>2.1466615206600508E-12</v>
      </c>
      <c r="AM169" s="62">
        <f t="shared" si="113"/>
        <v>293.33333333333547</v>
      </c>
      <c r="AN169" s="62">
        <f ca="1">AVERAGE(OFFSET($AM$3,0,0,'Données projet'!$E$10+1,1))-AVERAGE(OFFSET($H$3,0,0,'Données projet'!$E$10+1,1))</f>
        <v>212.11273590951606</v>
      </c>
      <c r="AO169" s="62">
        <f t="shared" si="144"/>
        <v>240.9595690943346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2.2737367544323206E-13</v>
      </c>
      <c r="BE169" s="14">
        <f>BD169*VLOOKUP('Données projet'!$B$11,Paramètres!$A$1:$I$89,3,0)*VLOOKUP('Données projet'!$B$11,Paramètres!$A$1:$I$89,5,0)</f>
        <v>1.3596945791505279E-13</v>
      </c>
      <c r="BF169" s="14">
        <f t="shared" si="167"/>
        <v>1.9708830566360721E-12</v>
      </c>
      <c r="BG169" s="22">
        <f t="shared" si="168"/>
        <v>3.669434796176543E-12</v>
      </c>
      <c r="BH169" s="62">
        <f t="shared" si="116"/>
        <v>293.33333333333701</v>
      </c>
      <c r="BI169" s="62">
        <f ca="1">AVERAGE(OFFSET($BH$3,0,0,'Données projet'!$E$11+1,1))-AVERAGE(OFFSET($H$3,0,0,'Données projet'!$E$11+1,1))</f>
        <v>172.49153247238672</v>
      </c>
      <c r="BJ169" s="62">
        <f t="shared" si="146"/>
        <v>301.94982606323254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1.9533504779507249</v>
      </c>
      <c r="BQ169" s="23">
        <f>EXP(-LN(2)/25)*BQ168+(1-EXP(-LN(2)/25))/(LN(2)/25)*Calculateur!BL169*Calculateur!BN169*VLOOKUP('Données projet'!$B$11,Paramètres!$A$1:$I$89,3,0)*0.475*44/12</f>
        <v>0.31855771727302218</v>
      </c>
      <c r="BR169" s="23">
        <f>EXP(-LN(2)/2)*BR168+(1-EXP(-LN(2)/2))/(LN(2)/2)*BL169*BO169*VLOOKUP('Données projet'!$B$11,Paramètres!$A$1:$I$89,3,0)*0.475*44/12</f>
        <v>1.9732562923267928E-20</v>
      </c>
      <c r="BS169" s="24">
        <f t="shared" si="169"/>
        <v>2.2719081952237472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3.4106051316484809E-13</v>
      </c>
      <c r="BZ169" s="14">
        <f>BY169*VLOOKUP('Données projet'!$B$12,Paramètres!$A$1:$I$89,3,0)*VLOOKUP('Données projet'!$B$12,Paramètres!$A$1:$I$89,5,0)</f>
        <v>1.9508661353029313E-13</v>
      </c>
      <c r="CA169" s="14">
        <f t="shared" si="170"/>
        <v>2.711421636700695E-12</v>
      </c>
      <c r="CB169" s="22">
        <f t="shared" si="171"/>
        <v>5.0621685358189711E-12</v>
      </c>
      <c r="CC169" s="62">
        <f t="shared" si="119"/>
        <v>293.33333333333837</v>
      </c>
      <c r="CD169" s="62">
        <f ca="1">AVERAGE(OFFSET($CC$3,0,0,'Données projet'!$E$12+1,1))-AVERAGE(OFFSET($H$3,0,0,'Données projet'!$E$12+1,1))</f>
        <v>177.71338645688661</v>
      </c>
      <c r="CE169" s="62">
        <f t="shared" si="148"/>
        <v>153.65872713651345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4.0922825871070503E-2</v>
      </c>
      <c r="CM169" s="23">
        <f>EXP(-LN(2)/2)*CM168+(1-EXP(-LN(2)/2))/(LN(2)/2)*CG169*CJ169*VLOOKUP('Données projet'!$B$12,Paramètres!$A$1:$I$89,3,0)*0.475*44/12</f>
        <v>2.3273844271628503E-21</v>
      </c>
      <c r="CN169" s="24">
        <f t="shared" si="172"/>
        <v>4.0922825871070503E-2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-7.4487616075202823E-14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118.65321241325523</v>
      </c>
      <c r="CZ169" s="62">
        <f t="shared" si="150"/>
        <v>140.55041555757327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-5.1159076974727213E-13</v>
      </c>
      <c r="DP169" s="18">
        <f>DO169*VLOOKUP('Données projet'!$B$14,Paramètres!$A$1:$I$89,3,0)*VLOOKUP('Données projet'!$B$14,Paramètres!$A$1:$I$89,5,0)</f>
        <v>-5.1875304052373401E-13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328.70784159273131</v>
      </c>
      <c r="DU169" s="62">
        <f t="shared" si="152"/>
        <v>193.18009444354601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177.70053246230015</v>
      </c>
      <c r="T170" s="62">
        <f t="shared" si="142"/>
        <v>85.631326020763254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8.5265128291212022E-14</v>
      </c>
      <c r="AJ170" s="14">
        <f>AI170*VLOOKUP('Données projet'!$B$10,Paramètres!$A$1:$I$89,3,0)*VLOOKUP('Données projet'!$B$10,Paramètres!$A$1:$I$89,5,0)</f>
        <v>7.4487616075202836E-14</v>
      </c>
      <c r="AK170" s="14">
        <f t="shared" si="164"/>
        <v>1.1580453144473142E-12</v>
      </c>
      <c r="AL170" s="22">
        <f t="shared" si="165"/>
        <v>2.1466615206600508E-12</v>
      </c>
      <c r="AM170" s="62">
        <f t="shared" si="113"/>
        <v>293.33333333333547</v>
      </c>
      <c r="AN170" s="62">
        <f ca="1">AVERAGE(OFFSET($AM$3,0,0,'Données projet'!$E$10+1,1))-AVERAGE(OFFSET($H$3,0,0,'Données projet'!$E$10+1,1))</f>
        <v>212.11273590951606</v>
      </c>
      <c r="AO170" s="62">
        <f t="shared" si="144"/>
        <v>240.9595690943346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2.2737367544323206E-13</v>
      </c>
      <c r="BE170" s="14">
        <f>BD170*VLOOKUP('Données projet'!$B$11,Paramètres!$A$1:$I$89,3,0)*VLOOKUP('Données projet'!$B$11,Paramètres!$A$1:$I$89,5,0)</f>
        <v>1.3596945791505279E-13</v>
      </c>
      <c r="BF170" s="14">
        <f t="shared" si="167"/>
        <v>1.9708830566360721E-12</v>
      </c>
      <c r="BG170" s="22">
        <f t="shared" si="168"/>
        <v>3.669434796176543E-12</v>
      </c>
      <c r="BH170" s="62">
        <f t="shared" si="116"/>
        <v>293.33333333333701</v>
      </c>
      <c r="BI170" s="62">
        <f ca="1">AVERAGE(OFFSET($BH$3,0,0,'Données projet'!$E$11+1,1))-AVERAGE(OFFSET($H$3,0,0,'Données projet'!$E$11+1,1))</f>
        <v>172.49153247238672</v>
      </c>
      <c r="BJ170" s="62">
        <f t="shared" si="146"/>
        <v>301.94982606323254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1.9150464665042592</v>
      </c>
      <c r="BQ170" s="23">
        <f>EXP(-LN(2)/25)*BQ169+(1-EXP(-LN(2)/25))/(LN(2)/25)*Calculateur!BL170*Calculateur!BN170*VLOOKUP('Données projet'!$B$11,Paramètres!$A$1:$I$89,3,0)*0.475*44/12</f>
        <v>0.30984673974196913</v>
      </c>
      <c r="BR170" s="23">
        <f>EXP(-LN(2)/2)*BR169+(1-EXP(-LN(2)/2))/(LN(2)/2)*BL170*BO170*VLOOKUP('Données projet'!$B$11,Paramètres!$A$1:$I$89,3,0)*0.475*44/12</f>
        <v>1.3953029053232995E-20</v>
      </c>
      <c r="BS170" s="24">
        <f t="shared" si="169"/>
        <v>2.2248932062462283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3.4106051316484809E-13</v>
      </c>
      <c r="BZ170" s="14">
        <f>BY170*VLOOKUP('Données projet'!$B$12,Paramètres!$A$1:$I$89,3,0)*VLOOKUP('Données projet'!$B$12,Paramètres!$A$1:$I$89,5,0)</f>
        <v>1.9508661353029313E-13</v>
      </c>
      <c r="CA170" s="14">
        <f t="shared" si="170"/>
        <v>2.711421636700695E-12</v>
      </c>
      <c r="CB170" s="22">
        <f t="shared" si="171"/>
        <v>5.0621685358189711E-12</v>
      </c>
      <c r="CC170" s="62">
        <f t="shared" si="119"/>
        <v>293.33333333333837</v>
      </c>
      <c r="CD170" s="62">
        <f ca="1">AVERAGE(OFFSET($CC$3,0,0,'Données projet'!$E$12+1,1))-AVERAGE(OFFSET($H$3,0,0,'Données projet'!$E$12+1,1))</f>
        <v>177.71338645688661</v>
      </c>
      <c r="CE170" s="62">
        <f t="shared" si="148"/>
        <v>153.65872713651345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3.9803789045588199E-2</v>
      </c>
      <c r="CM170" s="23">
        <f>EXP(-LN(2)/2)*CM169+(1-EXP(-LN(2)/2))/(LN(2)/2)*CG170*CJ170*VLOOKUP('Données projet'!$B$12,Paramètres!$A$1:$I$89,3,0)*0.475*44/12</f>
        <v>1.64570931087482E-21</v>
      </c>
      <c r="CN170" s="24">
        <f t="shared" si="172"/>
        <v>3.9803789045588199E-2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-7.4487616075202823E-14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118.65321241325523</v>
      </c>
      <c r="CZ170" s="62">
        <f t="shared" si="150"/>
        <v>140.55041555757327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-5.1159076974727213E-13</v>
      </c>
      <c r="DP170" s="18">
        <f>DO170*VLOOKUP('Données projet'!$B$14,Paramètres!$A$1:$I$89,3,0)*VLOOKUP('Données projet'!$B$14,Paramètres!$A$1:$I$89,5,0)</f>
        <v>-5.1875304052373401E-13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328.70784159273131</v>
      </c>
      <c r="DU170" s="62">
        <f t="shared" si="152"/>
        <v>193.18009444354601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177.70053246230015</v>
      </c>
      <c r="T171" s="62">
        <f t="shared" si="142"/>
        <v>85.631326020763254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8.5265128291212022E-14</v>
      </c>
      <c r="AJ171" s="14">
        <f>AI171*VLOOKUP('Données projet'!$B$10,Paramètres!$A$1:$I$89,3,0)*VLOOKUP('Données projet'!$B$10,Paramètres!$A$1:$I$89,5,0)</f>
        <v>7.4487616075202836E-14</v>
      </c>
      <c r="AK171" s="14">
        <f t="shared" si="164"/>
        <v>1.1580453144473142E-12</v>
      </c>
      <c r="AL171" s="22">
        <f t="shared" si="165"/>
        <v>2.1466615206600508E-12</v>
      </c>
      <c r="AM171" s="62">
        <f t="shared" si="113"/>
        <v>293.33333333333547</v>
      </c>
      <c r="AN171" s="62">
        <f ca="1">AVERAGE(OFFSET($AM$3,0,0,'Données projet'!$E$10+1,1))-AVERAGE(OFFSET($H$3,0,0,'Données projet'!$E$10+1,1))</f>
        <v>212.11273590951606</v>
      </c>
      <c r="AO171" s="62">
        <f t="shared" si="144"/>
        <v>240.9595690943346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2.2737367544323206E-13</v>
      </c>
      <c r="BE171" s="14">
        <f>BD171*VLOOKUP('Données projet'!$B$11,Paramètres!$A$1:$I$89,3,0)*VLOOKUP('Données projet'!$B$11,Paramètres!$A$1:$I$89,5,0)</f>
        <v>1.3596945791505279E-13</v>
      </c>
      <c r="BF171" s="14">
        <f t="shared" si="167"/>
        <v>1.9708830566360721E-12</v>
      </c>
      <c r="BG171" s="22">
        <f t="shared" si="168"/>
        <v>3.669434796176543E-12</v>
      </c>
      <c r="BH171" s="62">
        <f t="shared" si="116"/>
        <v>293.33333333333701</v>
      </c>
      <c r="BI171" s="62">
        <f ca="1">AVERAGE(OFFSET($BH$3,0,0,'Données projet'!$E$11+1,1))-AVERAGE(OFFSET($H$3,0,0,'Données projet'!$E$11+1,1))</f>
        <v>172.49153247238672</v>
      </c>
      <c r="BJ171" s="62">
        <f t="shared" si="146"/>
        <v>301.94982606323254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1.8774935733591187</v>
      </c>
      <c r="BQ171" s="23">
        <f>EXP(-LN(2)/25)*BQ170+(1-EXP(-LN(2)/25))/(LN(2)/25)*Calculateur!BL171*Calculateur!BN171*VLOOKUP('Données projet'!$B$11,Paramètres!$A$1:$I$89,3,0)*0.475*44/12</f>
        <v>0.30137396434959313</v>
      </c>
      <c r="BR171" s="23">
        <f>EXP(-LN(2)/2)*BR170+(1-EXP(-LN(2)/2))/(LN(2)/2)*BL171*BO171*VLOOKUP('Données projet'!$B$11,Paramètres!$A$1:$I$89,3,0)*0.475*44/12</f>
        <v>9.8662814616339638E-21</v>
      </c>
      <c r="BS171" s="24">
        <f t="shared" si="169"/>
        <v>2.1788675377087117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3.4106051316484809E-13</v>
      </c>
      <c r="BZ171" s="14">
        <f>BY171*VLOOKUP('Données projet'!$B$12,Paramètres!$A$1:$I$89,3,0)*VLOOKUP('Données projet'!$B$12,Paramètres!$A$1:$I$89,5,0)</f>
        <v>1.9508661353029313E-13</v>
      </c>
      <c r="CA171" s="14">
        <f t="shared" si="170"/>
        <v>2.711421636700695E-12</v>
      </c>
      <c r="CB171" s="22">
        <f t="shared" si="171"/>
        <v>5.0621685358189711E-12</v>
      </c>
      <c r="CC171" s="62">
        <f t="shared" si="119"/>
        <v>293.33333333333837</v>
      </c>
      <c r="CD171" s="62">
        <f ca="1">AVERAGE(OFFSET($CC$3,0,0,'Données projet'!$E$12+1,1))-AVERAGE(OFFSET($H$3,0,0,'Données projet'!$E$12+1,1))</f>
        <v>177.71338645688661</v>
      </c>
      <c r="CE171" s="62">
        <f t="shared" si="148"/>
        <v>153.65872713651345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3.8715352340946294E-2</v>
      </c>
      <c r="CM171" s="23">
        <f>EXP(-LN(2)/2)*CM170+(1-EXP(-LN(2)/2))/(LN(2)/2)*CG171*CJ171*VLOOKUP('Données projet'!$B$12,Paramètres!$A$1:$I$89,3,0)*0.475*44/12</f>
        <v>1.1636922135814253E-21</v>
      </c>
      <c r="CN171" s="24">
        <f t="shared" si="172"/>
        <v>3.8715352340946294E-2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-7.4487616075202823E-14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118.65321241325523</v>
      </c>
      <c r="CZ171" s="62">
        <f t="shared" si="150"/>
        <v>140.55041555757327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-5.1159076974727213E-13</v>
      </c>
      <c r="DP171" s="18">
        <f>DO171*VLOOKUP('Données projet'!$B$14,Paramètres!$A$1:$I$89,3,0)*VLOOKUP('Données projet'!$B$14,Paramètres!$A$1:$I$89,5,0)</f>
        <v>-5.1875304052373401E-13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328.70784159273131</v>
      </c>
      <c r="DU171" s="62">
        <f t="shared" si="152"/>
        <v>193.18009444354601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177.70053246230015</v>
      </c>
      <c r="T172" s="62">
        <f t="shared" si="142"/>
        <v>85.631326020763254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8.5265128291212022E-14</v>
      </c>
      <c r="AJ172" s="14">
        <f>AI172*VLOOKUP('Données projet'!$B$10,Paramètres!$A$1:$I$89,3,0)*VLOOKUP('Données projet'!$B$10,Paramètres!$A$1:$I$89,5,0)</f>
        <v>7.4487616075202836E-14</v>
      </c>
      <c r="AK172" s="14">
        <f t="shared" si="164"/>
        <v>1.1580453144473142E-12</v>
      </c>
      <c r="AL172" s="22">
        <f t="shared" si="165"/>
        <v>2.1466615206600508E-12</v>
      </c>
      <c r="AM172" s="62">
        <f t="shared" si="113"/>
        <v>293.33333333333547</v>
      </c>
      <c r="AN172" s="62">
        <f ca="1">AVERAGE(OFFSET($AM$3,0,0,'Données projet'!$E$10+1,1))-AVERAGE(OFFSET($H$3,0,0,'Données projet'!$E$10+1,1))</f>
        <v>212.11273590951606</v>
      </c>
      <c r="AO172" s="62">
        <f t="shared" si="144"/>
        <v>240.9595690943346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2.2737367544323206E-13</v>
      </c>
      <c r="BE172" s="14">
        <f>BD172*VLOOKUP('Données projet'!$B$11,Paramètres!$A$1:$I$89,3,0)*VLOOKUP('Données projet'!$B$11,Paramètres!$A$1:$I$89,5,0)</f>
        <v>1.3596945791505279E-13</v>
      </c>
      <c r="BF172" s="14">
        <f t="shared" si="167"/>
        <v>1.9708830566360721E-12</v>
      </c>
      <c r="BG172" s="22">
        <f t="shared" si="168"/>
        <v>3.669434796176543E-12</v>
      </c>
      <c r="BH172" s="62">
        <f t="shared" si="116"/>
        <v>293.33333333333701</v>
      </c>
      <c r="BI172" s="62">
        <f ca="1">AVERAGE(OFFSET($BH$3,0,0,'Données projet'!$E$11+1,1))-AVERAGE(OFFSET($H$3,0,0,'Données projet'!$E$11+1,1))</f>
        <v>172.49153247238672</v>
      </c>
      <c r="BJ172" s="62">
        <f t="shared" si="146"/>
        <v>301.94982606323254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1.8406770695435513</v>
      </c>
      <c r="BQ172" s="23">
        <f>EXP(-LN(2)/25)*BQ171+(1-EXP(-LN(2)/25))/(LN(2)/25)*Calculateur!BL172*Calculateur!BN172*VLOOKUP('Données projet'!$B$11,Paramètres!$A$1:$I$89,3,0)*0.475*44/12</f>
        <v>0.29313287744588551</v>
      </c>
      <c r="BR172" s="23">
        <f>EXP(-LN(2)/2)*BR171+(1-EXP(-LN(2)/2))/(LN(2)/2)*BL172*BO172*VLOOKUP('Données projet'!$B$11,Paramètres!$A$1:$I$89,3,0)*0.475*44/12</f>
        <v>6.9765145266164974E-21</v>
      </c>
      <c r="BS172" s="24">
        <f t="shared" si="169"/>
        <v>2.1338099469894369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3.4106051316484809E-13</v>
      </c>
      <c r="BZ172" s="14">
        <f>BY172*VLOOKUP('Données projet'!$B$12,Paramètres!$A$1:$I$89,3,0)*VLOOKUP('Données projet'!$B$12,Paramètres!$A$1:$I$89,5,0)</f>
        <v>1.9508661353029313E-13</v>
      </c>
      <c r="CA172" s="14">
        <f t="shared" si="170"/>
        <v>2.711421636700695E-12</v>
      </c>
      <c r="CB172" s="22">
        <f t="shared" si="171"/>
        <v>5.0621685358189711E-12</v>
      </c>
      <c r="CC172" s="62">
        <f t="shared" si="119"/>
        <v>293.33333333333837</v>
      </c>
      <c r="CD172" s="62">
        <f ca="1">AVERAGE(OFFSET($CC$3,0,0,'Données projet'!$E$12+1,1))-AVERAGE(OFFSET($H$3,0,0,'Données projet'!$E$12+1,1))</f>
        <v>177.71338645688661</v>
      </c>
      <c r="CE172" s="62">
        <f t="shared" si="148"/>
        <v>153.65872713651345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3.7656678995231223E-2</v>
      </c>
      <c r="CM172" s="23">
        <f>EXP(-LN(2)/2)*CM171+(1-EXP(-LN(2)/2))/(LN(2)/2)*CG172*CJ172*VLOOKUP('Données projet'!$B$12,Paramètres!$A$1:$I$89,3,0)*0.475*44/12</f>
        <v>8.2285465543741008E-22</v>
      </c>
      <c r="CN172" s="24">
        <f t="shared" si="172"/>
        <v>3.7656678995231223E-2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-7.4487616075202823E-14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118.65321241325523</v>
      </c>
      <c r="CZ172" s="62">
        <f t="shared" si="150"/>
        <v>140.55041555757327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-5.1159076974727213E-13</v>
      </c>
      <c r="DP172" s="18">
        <f>DO172*VLOOKUP('Données projet'!$B$14,Paramètres!$A$1:$I$89,3,0)*VLOOKUP('Données projet'!$B$14,Paramètres!$A$1:$I$89,5,0)</f>
        <v>-5.1875304052373401E-13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328.70784159273131</v>
      </c>
      <c r="DU172" s="62">
        <f t="shared" si="152"/>
        <v>193.18009444354601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177.70053246230015</v>
      </c>
      <c r="T173" s="62">
        <f t="shared" si="142"/>
        <v>85.631326020763254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8.5265128291212022E-14</v>
      </c>
      <c r="AJ173" s="14">
        <f>AI173*VLOOKUP('Données projet'!$B$10,Paramètres!$A$1:$I$89,3,0)*VLOOKUP('Données projet'!$B$10,Paramètres!$A$1:$I$89,5,0)</f>
        <v>7.4487616075202836E-14</v>
      </c>
      <c r="AK173" s="14">
        <f t="shared" si="164"/>
        <v>1.1580453144473142E-12</v>
      </c>
      <c r="AL173" s="22">
        <f t="shared" si="165"/>
        <v>2.1466615206600508E-12</v>
      </c>
      <c r="AM173" s="62">
        <f t="shared" si="113"/>
        <v>293.33333333333547</v>
      </c>
      <c r="AN173" s="62">
        <f ca="1">AVERAGE(OFFSET($AM$3,0,0,'Données projet'!$E$10+1,1))-AVERAGE(OFFSET($H$3,0,0,'Données projet'!$E$10+1,1))</f>
        <v>212.11273590951606</v>
      </c>
      <c r="AO173" s="62">
        <f t="shared" si="144"/>
        <v>240.9595690943346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2.2737367544323206E-13</v>
      </c>
      <c r="BE173" s="14">
        <f>BD173*VLOOKUP('Données projet'!$B$11,Paramètres!$A$1:$I$89,3,0)*VLOOKUP('Données projet'!$B$11,Paramètres!$A$1:$I$89,5,0)</f>
        <v>1.3596945791505279E-13</v>
      </c>
      <c r="BF173" s="14">
        <f t="shared" si="167"/>
        <v>1.9708830566360721E-12</v>
      </c>
      <c r="BG173" s="22">
        <f t="shared" si="168"/>
        <v>3.669434796176543E-12</v>
      </c>
      <c r="BH173" s="62">
        <f t="shared" si="116"/>
        <v>293.33333333333701</v>
      </c>
      <c r="BI173" s="62">
        <f ca="1">AVERAGE(OFFSET($BH$3,0,0,'Données projet'!$E$11+1,1))-AVERAGE(OFFSET($H$3,0,0,'Données projet'!$E$11+1,1))</f>
        <v>172.49153247238672</v>
      </c>
      <c r="BJ173" s="62">
        <f t="shared" si="146"/>
        <v>301.94982606323254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1.804582514911957</v>
      </c>
      <c r="BQ173" s="23">
        <f>EXP(-LN(2)/25)*BQ172+(1-EXP(-LN(2)/25))/(LN(2)/25)*Calculateur!BL173*Calculateur!BN173*VLOOKUP('Données projet'!$B$11,Paramètres!$A$1:$I$89,3,0)*0.475*44/12</f>
        <v>0.28511714349693973</v>
      </c>
      <c r="BR173" s="23">
        <f>EXP(-LN(2)/2)*BR172+(1-EXP(-LN(2)/2))/(LN(2)/2)*BL173*BO173*VLOOKUP('Données projet'!$B$11,Paramètres!$A$1:$I$89,3,0)*0.475*44/12</f>
        <v>4.9331407308169819E-21</v>
      </c>
      <c r="BS173" s="24">
        <f t="shared" si="169"/>
        <v>2.0896996584088967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3.4106051316484809E-13</v>
      </c>
      <c r="BZ173" s="14">
        <f>BY173*VLOOKUP('Données projet'!$B$12,Paramètres!$A$1:$I$89,3,0)*VLOOKUP('Données projet'!$B$12,Paramètres!$A$1:$I$89,5,0)</f>
        <v>1.9508661353029313E-13</v>
      </c>
      <c r="CA173" s="14">
        <f t="shared" si="170"/>
        <v>2.711421636700695E-12</v>
      </c>
      <c r="CB173" s="22">
        <f t="shared" si="171"/>
        <v>5.0621685358189711E-12</v>
      </c>
      <c r="CC173" s="62">
        <f t="shared" si="119"/>
        <v>293.33333333333837</v>
      </c>
      <c r="CD173" s="62">
        <f ca="1">AVERAGE(OFFSET($CC$3,0,0,'Données projet'!$E$12+1,1))-AVERAGE(OFFSET($H$3,0,0,'Données projet'!$E$12+1,1))</f>
        <v>177.71338645688661</v>
      </c>
      <c r="CE173" s="62">
        <f t="shared" si="148"/>
        <v>153.65872713651345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3.6626955127827945E-2</v>
      </c>
      <c r="CM173" s="23">
        <f>EXP(-LN(2)/2)*CM172+(1-EXP(-LN(2)/2))/(LN(2)/2)*CG173*CJ173*VLOOKUP('Données projet'!$B$12,Paramètres!$A$1:$I$89,3,0)*0.475*44/12</f>
        <v>5.8184610679071276E-22</v>
      </c>
      <c r="CN173" s="24">
        <f t="shared" si="172"/>
        <v>3.6626955127827945E-2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-7.4487616075202823E-14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118.65321241325523</v>
      </c>
      <c r="CZ173" s="62">
        <f t="shared" si="150"/>
        <v>140.55041555757327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-5.1159076974727213E-13</v>
      </c>
      <c r="DP173" s="18">
        <f>DO173*VLOOKUP('Données projet'!$B$14,Paramètres!$A$1:$I$89,3,0)*VLOOKUP('Données projet'!$B$14,Paramètres!$A$1:$I$89,5,0)</f>
        <v>-5.1875304052373401E-13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328.70784159273131</v>
      </c>
      <c r="DU173" s="62">
        <f t="shared" si="152"/>
        <v>193.18009444354601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177.70053246230015</v>
      </c>
      <c r="T174" s="62">
        <f t="shared" si="142"/>
        <v>85.631326020763254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8.5265128291212022E-14</v>
      </c>
      <c r="AJ174" s="14">
        <f>AI174*VLOOKUP('Données projet'!$B$10,Paramètres!$A$1:$I$89,3,0)*VLOOKUP('Données projet'!$B$10,Paramètres!$A$1:$I$89,5,0)</f>
        <v>7.4487616075202836E-14</v>
      </c>
      <c r="AK174" s="14">
        <f t="shared" si="164"/>
        <v>1.1580453144473142E-12</v>
      </c>
      <c r="AL174" s="22">
        <f t="shared" si="165"/>
        <v>2.1466615206600508E-12</v>
      </c>
      <c r="AM174" s="62">
        <f t="shared" si="113"/>
        <v>293.33333333333547</v>
      </c>
      <c r="AN174" s="62">
        <f ca="1">AVERAGE(OFFSET($AM$3,0,0,'Données projet'!$E$10+1,1))-AVERAGE(OFFSET($H$3,0,0,'Données projet'!$E$10+1,1))</f>
        <v>212.11273590951606</v>
      </c>
      <c r="AO174" s="62">
        <f t="shared" si="144"/>
        <v>240.9595690943346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2.2737367544323206E-13</v>
      </c>
      <c r="BE174" s="14">
        <f>BD174*VLOOKUP('Données projet'!$B$11,Paramètres!$A$1:$I$89,3,0)*VLOOKUP('Données projet'!$B$11,Paramètres!$A$1:$I$89,5,0)</f>
        <v>1.3596945791505279E-13</v>
      </c>
      <c r="BF174" s="14">
        <f t="shared" si="167"/>
        <v>1.9708830566360721E-12</v>
      </c>
      <c r="BG174" s="22">
        <f t="shared" si="168"/>
        <v>3.669434796176543E-12</v>
      </c>
      <c r="BH174" s="62">
        <f t="shared" si="116"/>
        <v>293.33333333333701</v>
      </c>
      <c r="BI174" s="62">
        <f ca="1">AVERAGE(OFFSET($BH$3,0,0,'Données projet'!$E$11+1,1))-AVERAGE(OFFSET($H$3,0,0,'Données projet'!$E$11+1,1))</f>
        <v>172.49153247238672</v>
      </c>
      <c r="BJ174" s="62">
        <f t="shared" si="146"/>
        <v>301.94982606323254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1.7691957524811839</v>
      </c>
      <c r="BQ174" s="23">
        <f>EXP(-LN(2)/25)*BQ173+(1-EXP(-LN(2)/25))/(LN(2)/25)*Calculateur!BL174*Calculateur!BN174*VLOOKUP('Données projet'!$B$11,Paramètres!$A$1:$I$89,3,0)*0.475*44/12</f>
        <v>0.277320600214357</v>
      </c>
      <c r="BR174" s="23">
        <f>EXP(-LN(2)/2)*BR173+(1-EXP(-LN(2)/2))/(LN(2)/2)*BL174*BO174*VLOOKUP('Données projet'!$B$11,Paramètres!$A$1:$I$89,3,0)*0.475*44/12</f>
        <v>3.4882572633082487E-21</v>
      </c>
      <c r="BS174" s="24">
        <f t="shared" si="169"/>
        <v>2.0465163526955408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3.4106051316484809E-13</v>
      </c>
      <c r="BZ174" s="14">
        <f>BY174*VLOOKUP('Données projet'!$B$12,Paramètres!$A$1:$I$89,3,0)*VLOOKUP('Données projet'!$B$12,Paramètres!$A$1:$I$89,5,0)</f>
        <v>1.9508661353029313E-13</v>
      </c>
      <c r="CA174" s="14">
        <f t="shared" si="170"/>
        <v>2.711421636700695E-12</v>
      </c>
      <c r="CB174" s="22">
        <f t="shared" si="171"/>
        <v>5.0621685358189711E-12</v>
      </c>
      <c r="CC174" s="62">
        <f t="shared" si="119"/>
        <v>293.33333333333837</v>
      </c>
      <c r="CD174" s="62">
        <f ca="1">AVERAGE(OFFSET($CC$3,0,0,'Données projet'!$E$12+1,1))-AVERAGE(OFFSET($H$3,0,0,'Données projet'!$E$12+1,1))</f>
        <v>177.71338645688661</v>
      </c>
      <c r="CE174" s="62">
        <f t="shared" si="148"/>
        <v>153.65872713651345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3.562538911372963E-2</v>
      </c>
      <c r="CM174" s="23">
        <f>EXP(-LN(2)/2)*CM173+(1-EXP(-LN(2)/2))/(LN(2)/2)*CG174*CJ174*VLOOKUP('Données projet'!$B$12,Paramètres!$A$1:$I$89,3,0)*0.475*44/12</f>
        <v>4.1142732771870513E-22</v>
      </c>
      <c r="CN174" s="24">
        <f t="shared" si="172"/>
        <v>3.562538911372963E-2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-7.4487616075202823E-14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118.65321241325523</v>
      </c>
      <c r="CZ174" s="62">
        <f t="shared" si="150"/>
        <v>140.55041555757327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-5.1159076974727213E-13</v>
      </c>
      <c r="DP174" s="18">
        <f>DO174*VLOOKUP('Données projet'!$B$14,Paramètres!$A$1:$I$89,3,0)*VLOOKUP('Données projet'!$B$14,Paramètres!$A$1:$I$89,5,0)</f>
        <v>-5.1875304052373401E-13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328.70784159273131</v>
      </c>
      <c r="DU174" s="62">
        <f t="shared" si="152"/>
        <v>193.18009444354601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177.70053246230015</v>
      </c>
      <c r="T175" s="62">
        <f t="shared" si="142"/>
        <v>85.631326020763254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8.5265128291212022E-14</v>
      </c>
      <c r="AJ175" s="14">
        <f>AI175*VLOOKUP('Données projet'!$B$10,Paramètres!$A$1:$I$89,3,0)*VLOOKUP('Données projet'!$B$10,Paramètres!$A$1:$I$89,5,0)</f>
        <v>7.4487616075202836E-14</v>
      </c>
      <c r="AK175" s="14">
        <f t="shared" si="164"/>
        <v>1.1580453144473142E-12</v>
      </c>
      <c r="AL175" s="22">
        <f t="shared" si="165"/>
        <v>2.1466615206600508E-12</v>
      </c>
      <c r="AM175" s="62">
        <f t="shared" si="113"/>
        <v>293.33333333333547</v>
      </c>
      <c r="AN175" s="62">
        <f ca="1">AVERAGE(OFFSET($AM$3,0,0,'Données projet'!$E$10+1,1))-AVERAGE(OFFSET($H$3,0,0,'Données projet'!$E$10+1,1))</f>
        <v>212.11273590951606</v>
      </c>
      <c r="AO175" s="62">
        <f t="shared" si="144"/>
        <v>240.9595690943346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2.2737367544323206E-13</v>
      </c>
      <c r="BE175" s="14">
        <f>BD175*VLOOKUP('Données projet'!$B$11,Paramètres!$A$1:$I$89,3,0)*VLOOKUP('Données projet'!$B$11,Paramètres!$A$1:$I$89,5,0)</f>
        <v>1.3596945791505279E-13</v>
      </c>
      <c r="BF175" s="14">
        <f t="shared" si="167"/>
        <v>1.9708830566360721E-12</v>
      </c>
      <c r="BG175" s="22">
        <f t="shared" si="168"/>
        <v>3.669434796176543E-12</v>
      </c>
      <c r="BH175" s="62">
        <f t="shared" si="116"/>
        <v>293.33333333333701</v>
      </c>
      <c r="BI175" s="62">
        <f ca="1">AVERAGE(OFFSET($BH$3,0,0,'Données projet'!$E$11+1,1))-AVERAGE(OFFSET($H$3,0,0,'Données projet'!$E$11+1,1))</f>
        <v>172.49153247238672</v>
      </c>
      <c r="BJ175" s="62">
        <f t="shared" si="146"/>
        <v>301.94982606323254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1.7345029028778842</v>
      </c>
      <c r="BQ175" s="23">
        <f>EXP(-LN(2)/25)*BQ174+(1-EXP(-LN(2)/25))/(LN(2)/25)*Calculateur!BL175*Calculateur!BN175*VLOOKUP('Données projet'!$B$11,Paramètres!$A$1:$I$89,3,0)*0.475*44/12</f>
        <v>0.26973725381783886</v>
      </c>
      <c r="BR175" s="23">
        <f>EXP(-LN(2)/2)*BR174+(1-EXP(-LN(2)/2))/(LN(2)/2)*BL175*BO175*VLOOKUP('Données projet'!$B$11,Paramètres!$A$1:$I$89,3,0)*0.475*44/12</f>
        <v>2.4665703654084909E-21</v>
      </c>
      <c r="BS175" s="24">
        <f t="shared" si="169"/>
        <v>2.0042401566957233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3.4106051316484809E-13</v>
      </c>
      <c r="BZ175" s="14">
        <f>BY175*VLOOKUP('Données projet'!$B$12,Paramètres!$A$1:$I$89,3,0)*VLOOKUP('Données projet'!$B$12,Paramètres!$A$1:$I$89,5,0)</f>
        <v>1.9508661353029313E-13</v>
      </c>
      <c r="CA175" s="14">
        <f t="shared" si="170"/>
        <v>2.711421636700695E-12</v>
      </c>
      <c r="CB175" s="22">
        <f t="shared" si="171"/>
        <v>5.0621685358189711E-12</v>
      </c>
      <c r="CC175" s="62">
        <f t="shared" si="119"/>
        <v>293.33333333333837</v>
      </c>
      <c r="CD175" s="62">
        <f ca="1">AVERAGE(OFFSET($CC$3,0,0,'Données projet'!$E$12+1,1))-AVERAGE(OFFSET($H$3,0,0,'Données projet'!$E$12+1,1))</f>
        <v>177.71338645688661</v>
      </c>
      <c r="CE175" s="62">
        <f t="shared" si="148"/>
        <v>153.65872713651345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3.4651210974956902E-2</v>
      </c>
      <c r="CM175" s="23">
        <f>EXP(-LN(2)/2)*CM174+(1-EXP(-LN(2)/2))/(LN(2)/2)*CG175*CJ175*VLOOKUP('Données projet'!$B$12,Paramètres!$A$1:$I$89,3,0)*0.475*44/12</f>
        <v>2.9092305339535643E-22</v>
      </c>
      <c r="CN175" s="24">
        <f t="shared" si="172"/>
        <v>3.4651210974956902E-2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-7.4487616075202823E-14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118.65321241325523</v>
      </c>
      <c r="CZ175" s="62">
        <f t="shared" si="150"/>
        <v>140.55041555757327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-5.1159076974727213E-13</v>
      </c>
      <c r="DP175" s="18">
        <f>DO175*VLOOKUP('Données projet'!$B$14,Paramètres!$A$1:$I$89,3,0)*VLOOKUP('Données projet'!$B$14,Paramètres!$A$1:$I$89,5,0)</f>
        <v>-5.1875304052373401E-13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328.70784159273131</v>
      </c>
      <c r="DU175" s="62">
        <f t="shared" si="152"/>
        <v>193.18009444354601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177.70053246230015</v>
      </c>
      <c r="T176" s="62">
        <f t="shared" si="142"/>
        <v>85.631326020763254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8.5265128291212022E-14</v>
      </c>
      <c r="AJ176" s="14">
        <f>AI176*VLOOKUP('Données projet'!$B$10,Paramètres!$A$1:$I$89,3,0)*VLOOKUP('Données projet'!$B$10,Paramètres!$A$1:$I$89,5,0)</f>
        <v>7.4487616075202836E-14</v>
      </c>
      <c r="AK176" s="14">
        <f t="shared" si="164"/>
        <v>1.1580453144473142E-12</v>
      </c>
      <c r="AL176" s="22">
        <f t="shared" si="165"/>
        <v>2.1466615206600508E-12</v>
      </c>
      <c r="AM176" s="62">
        <f t="shared" si="113"/>
        <v>293.33333333333547</v>
      </c>
      <c r="AN176" s="62">
        <f ca="1">AVERAGE(OFFSET($AM$3,0,0,'Données projet'!$E$10+1,1))-AVERAGE(OFFSET($H$3,0,0,'Données projet'!$E$10+1,1))</f>
        <v>212.11273590951606</v>
      </c>
      <c r="AO176" s="62">
        <f t="shared" si="144"/>
        <v>240.9595690943346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2.2737367544323206E-13</v>
      </c>
      <c r="BE176" s="14">
        <f>BD176*VLOOKUP('Données projet'!$B$11,Paramètres!$A$1:$I$89,3,0)*VLOOKUP('Données projet'!$B$11,Paramètres!$A$1:$I$89,5,0)</f>
        <v>1.3596945791505279E-13</v>
      </c>
      <c r="BF176" s="14">
        <f t="shared" si="167"/>
        <v>1.9708830566360721E-12</v>
      </c>
      <c r="BG176" s="22">
        <f t="shared" si="168"/>
        <v>3.669434796176543E-12</v>
      </c>
      <c r="BH176" s="62">
        <f t="shared" si="116"/>
        <v>293.33333333333701</v>
      </c>
      <c r="BI176" s="62">
        <f ca="1">AVERAGE(OFFSET($BH$3,0,0,'Données projet'!$E$11+1,1))-AVERAGE(OFFSET($H$3,0,0,'Données projet'!$E$11+1,1))</f>
        <v>172.49153247238672</v>
      </c>
      <c r="BJ176" s="62">
        <f t="shared" si="146"/>
        <v>301.94982606323254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1.7004903588947566</v>
      </c>
      <c r="BQ176" s="23">
        <f>EXP(-LN(2)/25)*BQ175+(1-EXP(-LN(2)/25))/(LN(2)/25)*Calculateur!BL176*Calculateur!BN176*VLOOKUP('Données projet'!$B$11,Paramètres!$A$1:$I$89,3,0)*0.475*44/12</f>
        <v>0.26236127442732438</v>
      </c>
      <c r="BR176" s="23">
        <f>EXP(-LN(2)/2)*BR175+(1-EXP(-LN(2)/2))/(LN(2)/2)*BL176*BO176*VLOOKUP('Données projet'!$B$11,Paramètres!$A$1:$I$89,3,0)*0.475*44/12</f>
        <v>1.7441286316541244E-21</v>
      </c>
      <c r="BS176" s="24">
        <f t="shared" si="169"/>
        <v>1.9628516333220811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3.4106051316484809E-13</v>
      </c>
      <c r="BZ176" s="14">
        <f>BY176*VLOOKUP('Données projet'!$B$12,Paramètres!$A$1:$I$89,3,0)*VLOOKUP('Données projet'!$B$12,Paramètres!$A$1:$I$89,5,0)</f>
        <v>1.9508661353029313E-13</v>
      </c>
      <c r="CA176" s="14">
        <f t="shared" si="170"/>
        <v>2.711421636700695E-12</v>
      </c>
      <c r="CB176" s="22">
        <f t="shared" si="171"/>
        <v>5.0621685358189711E-12</v>
      </c>
      <c r="CC176" s="62">
        <f t="shared" si="119"/>
        <v>293.33333333333837</v>
      </c>
      <c r="CD176" s="62">
        <f ca="1">AVERAGE(OFFSET($CC$3,0,0,'Données projet'!$E$12+1,1))-AVERAGE(OFFSET($H$3,0,0,'Données projet'!$E$12+1,1))</f>
        <v>177.71338645688661</v>
      </c>
      <c r="CE176" s="62">
        <f t="shared" si="148"/>
        <v>153.65872713651345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3.3703671788618716E-2</v>
      </c>
      <c r="CM176" s="23">
        <f>EXP(-LN(2)/2)*CM175+(1-EXP(-LN(2)/2))/(LN(2)/2)*CG176*CJ176*VLOOKUP('Données projet'!$B$12,Paramètres!$A$1:$I$89,3,0)*0.475*44/12</f>
        <v>2.0571366385935259E-22</v>
      </c>
      <c r="CN176" s="24">
        <f t="shared" si="172"/>
        <v>3.3703671788618716E-2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-7.4487616075202823E-14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118.65321241325523</v>
      </c>
      <c r="CZ176" s="62">
        <f t="shared" si="150"/>
        <v>140.55041555757327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-5.1159076974727213E-13</v>
      </c>
      <c r="DP176" s="18">
        <f>DO176*VLOOKUP('Données projet'!$B$14,Paramètres!$A$1:$I$89,3,0)*VLOOKUP('Données projet'!$B$14,Paramètres!$A$1:$I$89,5,0)</f>
        <v>-5.1875304052373401E-13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328.70784159273131</v>
      </c>
      <c r="DU176" s="62">
        <f t="shared" si="152"/>
        <v>193.18009444354601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177.70053246230015</v>
      </c>
      <c r="T177" s="62">
        <f t="shared" si="142"/>
        <v>85.631326020763254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8.5265128291212022E-14</v>
      </c>
      <c r="AJ177" s="14">
        <f>AI177*VLOOKUP('Données projet'!$B$10,Paramètres!$A$1:$I$89,3,0)*VLOOKUP('Données projet'!$B$10,Paramètres!$A$1:$I$89,5,0)</f>
        <v>7.4487616075202836E-14</v>
      </c>
      <c r="AK177" s="14">
        <f t="shared" si="164"/>
        <v>1.1580453144473142E-12</v>
      </c>
      <c r="AL177" s="22">
        <f t="shared" si="165"/>
        <v>2.1466615206600508E-12</v>
      </c>
      <c r="AM177" s="62">
        <f t="shared" si="113"/>
        <v>293.33333333333547</v>
      </c>
      <c r="AN177" s="62">
        <f ca="1">AVERAGE(OFFSET($AM$3,0,0,'Données projet'!$E$10+1,1))-AVERAGE(OFFSET($H$3,0,0,'Données projet'!$E$10+1,1))</f>
        <v>212.11273590951606</v>
      </c>
      <c r="AO177" s="62">
        <f t="shared" si="144"/>
        <v>240.9595690943346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2.2737367544323206E-13</v>
      </c>
      <c r="BE177" s="14">
        <f>BD177*VLOOKUP('Données projet'!$B$11,Paramètres!$A$1:$I$89,3,0)*VLOOKUP('Données projet'!$B$11,Paramètres!$A$1:$I$89,5,0)</f>
        <v>1.3596945791505279E-13</v>
      </c>
      <c r="BF177" s="14">
        <f t="shared" si="167"/>
        <v>1.9708830566360721E-12</v>
      </c>
      <c r="BG177" s="22">
        <f t="shared" si="168"/>
        <v>3.669434796176543E-12</v>
      </c>
      <c r="BH177" s="62">
        <f t="shared" si="116"/>
        <v>293.33333333333701</v>
      </c>
      <c r="BI177" s="62">
        <f ca="1">AVERAGE(OFFSET($BH$3,0,0,'Données projet'!$E$11+1,1))-AVERAGE(OFFSET($H$3,0,0,'Données projet'!$E$11+1,1))</f>
        <v>172.49153247238672</v>
      </c>
      <c r="BJ177" s="62">
        <f t="shared" si="146"/>
        <v>301.94982606323254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1.6671447801535346</v>
      </c>
      <c r="BQ177" s="23">
        <f>EXP(-LN(2)/25)*BQ176+(1-EXP(-LN(2)/25))/(LN(2)/25)*Calculateur!BL177*Calculateur!BN177*VLOOKUP('Données projet'!$B$11,Paramètres!$A$1:$I$89,3,0)*0.475*44/12</f>
        <v>0.2551869915811294</v>
      </c>
      <c r="BR177" s="23">
        <f>EXP(-LN(2)/2)*BR176+(1-EXP(-LN(2)/2))/(LN(2)/2)*BL177*BO177*VLOOKUP('Données projet'!$B$11,Paramètres!$A$1:$I$89,3,0)*0.475*44/12</f>
        <v>1.2332851827042455E-21</v>
      </c>
      <c r="BS177" s="24">
        <f t="shared" si="169"/>
        <v>1.922331771734664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3.4106051316484809E-13</v>
      </c>
      <c r="BZ177" s="14">
        <f>BY177*VLOOKUP('Données projet'!$B$12,Paramètres!$A$1:$I$89,3,0)*VLOOKUP('Données projet'!$B$12,Paramètres!$A$1:$I$89,5,0)</f>
        <v>1.9508661353029313E-13</v>
      </c>
      <c r="CA177" s="14">
        <f t="shared" si="170"/>
        <v>2.711421636700695E-12</v>
      </c>
      <c r="CB177" s="22">
        <f t="shared" si="171"/>
        <v>5.0621685358189711E-12</v>
      </c>
      <c r="CC177" s="62">
        <f t="shared" si="119"/>
        <v>293.33333333333837</v>
      </c>
      <c r="CD177" s="62">
        <f ca="1">AVERAGE(OFFSET($CC$3,0,0,'Données projet'!$E$12+1,1))-AVERAGE(OFFSET($H$3,0,0,'Données projet'!$E$12+1,1))</f>
        <v>177.71338645688661</v>
      </c>
      <c r="CE177" s="62">
        <f t="shared" si="148"/>
        <v>153.65872713651345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3.278204311115987E-2</v>
      </c>
      <c r="CM177" s="23">
        <f>EXP(-LN(2)/2)*CM176+(1-EXP(-LN(2)/2))/(LN(2)/2)*CG177*CJ177*VLOOKUP('Données projet'!$B$12,Paramètres!$A$1:$I$89,3,0)*0.475*44/12</f>
        <v>1.4546152669767824E-22</v>
      </c>
      <c r="CN177" s="24">
        <f t="shared" si="172"/>
        <v>3.278204311115987E-2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-7.4487616075202823E-14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118.65321241325523</v>
      </c>
      <c r="CZ177" s="62">
        <f t="shared" si="150"/>
        <v>140.55041555757327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-5.1159076974727213E-13</v>
      </c>
      <c r="DP177" s="18">
        <f>DO177*VLOOKUP('Données projet'!$B$14,Paramètres!$A$1:$I$89,3,0)*VLOOKUP('Données projet'!$B$14,Paramètres!$A$1:$I$89,5,0)</f>
        <v>-5.1875304052373401E-13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328.70784159273131</v>
      </c>
      <c r="DU177" s="62">
        <f t="shared" si="152"/>
        <v>193.18009444354601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177.70053246230015</v>
      </c>
      <c r="T178" s="62">
        <f t="shared" si="142"/>
        <v>85.631326020763254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8.5265128291212022E-14</v>
      </c>
      <c r="AJ178" s="14">
        <f>AI178*VLOOKUP('Données projet'!$B$10,Paramètres!$A$1:$I$89,3,0)*VLOOKUP('Données projet'!$B$10,Paramètres!$A$1:$I$89,5,0)</f>
        <v>7.4487616075202836E-14</v>
      </c>
      <c r="AK178" s="14">
        <f t="shared" si="164"/>
        <v>1.1580453144473142E-12</v>
      </c>
      <c r="AL178" s="22">
        <f t="shared" si="165"/>
        <v>2.1466615206600508E-12</v>
      </c>
      <c r="AM178" s="62">
        <f t="shared" si="113"/>
        <v>293.33333333333547</v>
      </c>
      <c r="AN178" s="62">
        <f ca="1">AVERAGE(OFFSET($AM$3,0,0,'Données projet'!$E$10+1,1))-AVERAGE(OFFSET($H$3,0,0,'Données projet'!$E$10+1,1))</f>
        <v>212.11273590951606</v>
      </c>
      <c r="AO178" s="62">
        <f t="shared" si="144"/>
        <v>240.9595690943346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2.2737367544323206E-13</v>
      </c>
      <c r="BE178" s="14">
        <f>BD178*VLOOKUP('Données projet'!$B$11,Paramètres!$A$1:$I$89,3,0)*VLOOKUP('Données projet'!$B$11,Paramètres!$A$1:$I$89,5,0)</f>
        <v>1.3596945791505279E-13</v>
      </c>
      <c r="BF178" s="14">
        <f t="shared" si="167"/>
        <v>1.9708830566360721E-12</v>
      </c>
      <c r="BG178" s="22">
        <f t="shared" si="168"/>
        <v>3.669434796176543E-12</v>
      </c>
      <c r="BH178" s="62">
        <f t="shared" si="116"/>
        <v>293.33333333333701</v>
      </c>
      <c r="BI178" s="62">
        <f ca="1">AVERAGE(OFFSET($BH$3,0,0,'Données projet'!$E$11+1,1))-AVERAGE(OFFSET($H$3,0,0,'Données projet'!$E$11+1,1))</f>
        <v>172.49153247238672</v>
      </c>
      <c r="BJ178" s="62">
        <f t="shared" si="146"/>
        <v>301.94982606323254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1.6344530878726333</v>
      </c>
      <c r="BQ178" s="23">
        <f>EXP(-LN(2)/25)*BQ177+(1-EXP(-LN(2)/25))/(LN(2)/25)*Calculateur!BL178*Calculateur!BN178*VLOOKUP('Données projet'!$B$11,Paramètres!$A$1:$I$89,3,0)*0.475*44/12</f>
        <v>0.24820888987664277</v>
      </c>
      <c r="BR178" s="23">
        <f>EXP(-LN(2)/2)*BR177+(1-EXP(-LN(2)/2))/(LN(2)/2)*BL178*BO178*VLOOKUP('Données projet'!$B$11,Paramètres!$A$1:$I$89,3,0)*0.475*44/12</f>
        <v>8.7206431582706218E-22</v>
      </c>
      <c r="BS178" s="24">
        <f t="shared" si="169"/>
        <v>1.8826619777492761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3.4106051316484809E-13</v>
      </c>
      <c r="BZ178" s="14">
        <f>BY178*VLOOKUP('Données projet'!$B$12,Paramètres!$A$1:$I$89,3,0)*VLOOKUP('Données projet'!$B$12,Paramètres!$A$1:$I$89,5,0)</f>
        <v>1.9508661353029313E-13</v>
      </c>
      <c r="CA178" s="14">
        <f t="shared" si="170"/>
        <v>2.711421636700695E-12</v>
      </c>
      <c r="CB178" s="22">
        <f t="shared" si="171"/>
        <v>5.0621685358189711E-12</v>
      </c>
      <c r="CC178" s="62">
        <f t="shared" si="119"/>
        <v>293.33333333333837</v>
      </c>
      <c r="CD178" s="62">
        <f ca="1">AVERAGE(OFFSET($CC$3,0,0,'Données projet'!$E$12+1,1))-AVERAGE(OFFSET($H$3,0,0,'Données projet'!$E$12+1,1))</f>
        <v>177.71338645688661</v>
      </c>
      <c r="CE178" s="62">
        <f t="shared" si="148"/>
        <v>153.65872713651345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3.1885616418352483E-2</v>
      </c>
      <c r="CM178" s="23">
        <f>EXP(-LN(2)/2)*CM177+(1-EXP(-LN(2)/2))/(LN(2)/2)*CG178*CJ178*VLOOKUP('Données projet'!$B$12,Paramètres!$A$1:$I$89,3,0)*0.475*44/12</f>
        <v>1.0285683192967632E-22</v>
      </c>
      <c r="CN178" s="24">
        <f t="shared" si="172"/>
        <v>3.1885616418352483E-2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-7.4487616075202823E-14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118.65321241325523</v>
      </c>
      <c r="CZ178" s="62">
        <f t="shared" si="150"/>
        <v>140.55041555757327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-5.1159076974727213E-13</v>
      </c>
      <c r="DP178" s="18">
        <f>DO178*VLOOKUP('Données projet'!$B$14,Paramètres!$A$1:$I$89,3,0)*VLOOKUP('Données projet'!$B$14,Paramètres!$A$1:$I$89,5,0)</f>
        <v>-5.1875304052373401E-13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328.70784159273131</v>
      </c>
      <c r="DU178" s="62">
        <f t="shared" si="152"/>
        <v>193.18009444354601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177.70053246230015</v>
      </c>
      <c r="T179" s="62">
        <f t="shared" si="142"/>
        <v>85.631326020763254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8.5265128291212022E-14</v>
      </c>
      <c r="AJ179" s="14">
        <f>AI179*VLOOKUP('Données projet'!$B$10,Paramètres!$A$1:$I$89,3,0)*VLOOKUP('Données projet'!$B$10,Paramètres!$A$1:$I$89,5,0)</f>
        <v>7.4487616075202836E-14</v>
      </c>
      <c r="AK179" s="14">
        <f t="shared" si="164"/>
        <v>1.1580453144473142E-12</v>
      </c>
      <c r="AL179" s="22">
        <f t="shared" si="165"/>
        <v>2.1466615206600508E-12</v>
      </c>
      <c r="AM179" s="62">
        <f t="shared" si="113"/>
        <v>293.33333333333547</v>
      </c>
      <c r="AN179" s="62">
        <f ca="1">AVERAGE(OFFSET($AM$3,0,0,'Données projet'!$E$10+1,1))-AVERAGE(OFFSET($H$3,0,0,'Données projet'!$E$10+1,1))</f>
        <v>212.11273590951606</v>
      </c>
      <c r="AO179" s="62">
        <f t="shared" si="144"/>
        <v>240.9595690943346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2.2737367544323206E-13</v>
      </c>
      <c r="BE179" s="14">
        <f>BD179*VLOOKUP('Données projet'!$B$11,Paramètres!$A$1:$I$89,3,0)*VLOOKUP('Données projet'!$B$11,Paramètres!$A$1:$I$89,5,0)</f>
        <v>1.3596945791505279E-13</v>
      </c>
      <c r="BF179" s="14">
        <f t="shared" si="167"/>
        <v>1.9708830566360721E-12</v>
      </c>
      <c r="BG179" s="22">
        <f t="shared" si="168"/>
        <v>3.669434796176543E-12</v>
      </c>
      <c r="BH179" s="62">
        <f t="shared" si="116"/>
        <v>293.33333333333701</v>
      </c>
      <c r="BI179" s="62">
        <f ca="1">AVERAGE(OFFSET($BH$3,0,0,'Données projet'!$E$11+1,1))-AVERAGE(OFFSET($H$3,0,0,'Données projet'!$E$11+1,1))</f>
        <v>172.49153247238672</v>
      </c>
      <c r="BJ179" s="62">
        <f t="shared" si="146"/>
        <v>301.94982606323254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1.6024024597373971</v>
      </c>
      <c r="BQ179" s="23">
        <f>EXP(-LN(2)/25)*BQ178+(1-EXP(-LN(2)/25))/(LN(2)/25)*Calculateur!BL179*Calculateur!BN179*VLOOKUP('Données projet'!$B$11,Paramètres!$A$1:$I$89,3,0)*0.475*44/12</f>
        <v>0.24142160473022775</v>
      </c>
      <c r="BR179" s="23">
        <f>EXP(-LN(2)/2)*BR178+(1-EXP(-LN(2)/2))/(LN(2)/2)*BL179*BO179*VLOOKUP('Données projet'!$B$11,Paramètres!$A$1:$I$89,3,0)*0.475*44/12</f>
        <v>6.1664259135212274E-22</v>
      </c>
      <c r="BS179" s="24">
        <f t="shared" si="169"/>
        <v>1.8438240644676249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3.4106051316484809E-13</v>
      </c>
      <c r="BZ179" s="14">
        <f>BY179*VLOOKUP('Données projet'!$B$12,Paramètres!$A$1:$I$89,3,0)*VLOOKUP('Données projet'!$B$12,Paramètres!$A$1:$I$89,5,0)</f>
        <v>1.9508661353029313E-13</v>
      </c>
      <c r="CA179" s="14">
        <f t="shared" si="170"/>
        <v>2.711421636700695E-12</v>
      </c>
      <c r="CB179" s="22">
        <f t="shared" si="171"/>
        <v>5.0621685358189711E-12</v>
      </c>
      <c r="CC179" s="62">
        <f t="shared" si="119"/>
        <v>293.33333333333837</v>
      </c>
      <c r="CD179" s="62">
        <f ca="1">AVERAGE(OFFSET($CC$3,0,0,'Données projet'!$E$12+1,1))-AVERAGE(OFFSET($H$3,0,0,'Données projet'!$E$12+1,1))</f>
        <v>177.71338645688661</v>
      </c>
      <c r="CE179" s="62">
        <f t="shared" si="148"/>
        <v>153.65872713651345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3.1013702560600941E-2</v>
      </c>
      <c r="CM179" s="23">
        <f>EXP(-LN(2)/2)*CM178+(1-EXP(-LN(2)/2))/(LN(2)/2)*CG179*CJ179*VLOOKUP('Données projet'!$B$12,Paramètres!$A$1:$I$89,3,0)*0.475*44/12</f>
        <v>7.273076334883913E-23</v>
      </c>
      <c r="CN179" s="24">
        <f t="shared" si="172"/>
        <v>3.1013702560600941E-2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-7.4487616075202823E-14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118.65321241325523</v>
      </c>
      <c r="CZ179" s="62">
        <f t="shared" si="150"/>
        <v>140.55041555757327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-5.1159076974727213E-13</v>
      </c>
      <c r="DP179" s="18">
        <f>DO179*VLOOKUP('Données projet'!$B$14,Paramètres!$A$1:$I$89,3,0)*VLOOKUP('Données projet'!$B$14,Paramètres!$A$1:$I$89,5,0)</f>
        <v>-5.1875304052373401E-13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328.70784159273131</v>
      </c>
      <c r="DU179" s="62">
        <f t="shared" si="152"/>
        <v>193.18009444354601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177.70053246230015</v>
      </c>
      <c r="T180" s="62">
        <f t="shared" si="142"/>
        <v>85.631326020763254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8.5265128291212022E-14</v>
      </c>
      <c r="AJ180" s="14">
        <f>AI180*VLOOKUP('Données projet'!$B$10,Paramètres!$A$1:$I$89,3,0)*VLOOKUP('Données projet'!$B$10,Paramètres!$A$1:$I$89,5,0)</f>
        <v>7.4487616075202836E-14</v>
      </c>
      <c r="AK180" s="14">
        <f t="shared" si="164"/>
        <v>1.1580453144473142E-12</v>
      </c>
      <c r="AL180" s="22">
        <f t="shared" si="165"/>
        <v>2.1466615206600508E-12</v>
      </c>
      <c r="AM180" s="62">
        <f t="shared" si="113"/>
        <v>293.33333333333547</v>
      </c>
      <c r="AN180" s="62">
        <f ca="1">AVERAGE(OFFSET($AM$3,0,0,'Données projet'!$E$10+1,1))-AVERAGE(OFFSET($H$3,0,0,'Données projet'!$E$10+1,1))</f>
        <v>212.11273590951606</v>
      </c>
      <c r="AO180" s="62">
        <f t="shared" si="144"/>
        <v>240.9595690943346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2.2737367544323206E-13</v>
      </c>
      <c r="BE180" s="14">
        <f>BD180*VLOOKUP('Données projet'!$B$11,Paramètres!$A$1:$I$89,3,0)*VLOOKUP('Données projet'!$B$11,Paramètres!$A$1:$I$89,5,0)</f>
        <v>1.3596945791505279E-13</v>
      </c>
      <c r="BF180" s="14">
        <f t="shared" si="167"/>
        <v>1.9708830566360721E-12</v>
      </c>
      <c r="BG180" s="22">
        <f t="shared" si="168"/>
        <v>3.669434796176543E-12</v>
      </c>
      <c r="BH180" s="62">
        <f t="shared" si="116"/>
        <v>293.33333333333701</v>
      </c>
      <c r="BI180" s="62">
        <f ca="1">AVERAGE(OFFSET($BH$3,0,0,'Données projet'!$E$11+1,1))-AVERAGE(OFFSET($H$3,0,0,'Données projet'!$E$11+1,1))</f>
        <v>172.49153247238672</v>
      </c>
      <c r="BJ180" s="62">
        <f t="shared" si="146"/>
        <v>301.94982606323254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1.57098032487094</v>
      </c>
      <c r="BQ180" s="23">
        <f>EXP(-LN(2)/25)*BQ179+(1-EXP(-LN(2)/25))/(LN(2)/25)*Calculateur!BL180*Calculateur!BN180*VLOOKUP('Données projet'!$B$11,Paramètres!$A$1:$I$89,3,0)*0.475*44/12</f>
        <v>0.23481991825306925</v>
      </c>
      <c r="BR180" s="23">
        <f>EXP(-LN(2)/2)*BR179+(1-EXP(-LN(2)/2))/(LN(2)/2)*BL180*BO180*VLOOKUP('Données projet'!$B$11,Paramètres!$A$1:$I$89,3,0)*0.475*44/12</f>
        <v>4.3603215791353109E-22</v>
      </c>
      <c r="BS180" s="24">
        <f t="shared" si="169"/>
        <v>1.8058002431240092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3.4106051316484809E-13</v>
      </c>
      <c r="BZ180" s="14">
        <f>BY180*VLOOKUP('Données projet'!$B$12,Paramètres!$A$1:$I$89,3,0)*VLOOKUP('Données projet'!$B$12,Paramètres!$A$1:$I$89,5,0)</f>
        <v>1.9508661353029313E-13</v>
      </c>
      <c r="CA180" s="14">
        <f t="shared" si="170"/>
        <v>2.711421636700695E-12</v>
      </c>
      <c r="CB180" s="22">
        <f t="shared" si="171"/>
        <v>5.0621685358189711E-12</v>
      </c>
      <c r="CC180" s="62">
        <f t="shared" si="119"/>
        <v>293.33333333333837</v>
      </c>
      <c r="CD180" s="62">
        <f ca="1">AVERAGE(OFFSET($CC$3,0,0,'Données projet'!$E$12+1,1))-AVERAGE(OFFSET($H$3,0,0,'Données projet'!$E$12+1,1))</f>
        <v>177.71338645688661</v>
      </c>
      <c r="CE180" s="62">
        <f t="shared" si="148"/>
        <v>153.65872713651345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3.0165631233141574E-2</v>
      </c>
      <c r="CM180" s="23">
        <f>EXP(-LN(2)/2)*CM179+(1-EXP(-LN(2)/2))/(LN(2)/2)*CG180*CJ180*VLOOKUP('Données projet'!$B$12,Paramètres!$A$1:$I$89,3,0)*0.475*44/12</f>
        <v>5.1428415964838165E-23</v>
      </c>
      <c r="CN180" s="24">
        <f t="shared" si="172"/>
        <v>3.0165631233141574E-2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-7.4487616075202823E-14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118.65321241325523</v>
      </c>
      <c r="CZ180" s="62">
        <f t="shared" si="150"/>
        <v>140.55041555757327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-5.1159076974727213E-13</v>
      </c>
      <c r="DP180" s="18">
        <f>DO180*VLOOKUP('Données projet'!$B$14,Paramètres!$A$1:$I$89,3,0)*VLOOKUP('Données projet'!$B$14,Paramètres!$A$1:$I$89,5,0)</f>
        <v>-5.1875304052373401E-13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328.70784159273131</v>
      </c>
      <c r="DU180" s="62">
        <f t="shared" si="152"/>
        <v>193.18009444354601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177.70053246230015</v>
      </c>
      <c r="T181" s="62">
        <f t="shared" si="142"/>
        <v>85.631326020763254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8.5265128291212022E-14</v>
      </c>
      <c r="AJ181" s="14">
        <f>AI181*VLOOKUP('Données projet'!$B$10,Paramètres!$A$1:$I$89,3,0)*VLOOKUP('Données projet'!$B$10,Paramètres!$A$1:$I$89,5,0)</f>
        <v>7.4487616075202836E-14</v>
      </c>
      <c r="AK181" s="14">
        <f t="shared" si="164"/>
        <v>1.1580453144473142E-12</v>
      </c>
      <c r="AL181" s="22">
        <f t="shared" si="165"/>
        <v>2.1466615206600508E-12</v>
      </c>
      <c r="AM181" s="62">
        <f t="shared" si="113"/>
        <v>293.33333333333547</v>
      </c>
      <c r="AN181" s="62">
        <f ca="1">AVERAGE(OFFSET($AM$3,0,0,'Données projet'!$E$10+1,1))-AVERAGE(OFFSET($H$3,0,0,'Données projet'!$E$10+1,1))</f>
        <v>212.11273590951606</v>
      </c>
      <c r="AO181" s="62">
        <f t="shared" si="144"/>
        <v>240.9595690943346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2.2737367544323206E-13</v>
      </c>
      <c r="BE181" s="14">
        <f>BD181*VLOOKUP('Données projet'!$B$11,Paramètres!$A$1:$I$89,3,0)*VLOOKUP('Données projet'!$B$11,Paramètres!$A$1:$I$89,5,0)</f>
        <v>1.3596945791505279E-13</v>
      </c>
      <c r="BF181" s="14">
        <f t="shared" si="167"/>
        <v>1.9708830566360721E-12</v>
      </c>
      <c r="BG181" s="22">
        <f t="shared" si="168"/>
        <v>3.669434796176543E-12</v>
      </c>
      <c r="BH181" s="62">
        <f t="shared" si="116"/>
        <v>293.33333333333701</v>
      </c>
      <c r="BI181" s="62">
        <f ca="1">AVERAGE(OFFSET($BH$3,0,0,'Données projet'!$E$11+1,1))-AVERAGE(OFFSET($H$3,0,0,'Données projet'!$E$11+1,1))</f>
        <v>172.49153247238672</v>
      </c>
      <c r="BJ181" s="62">
        <f t="shared" si="146"/>
        <v>301.94982606323254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1.5401743589036043</v>
      </c>
      <c r="BQ181" s="23">
        <f>EXP(-LN(2)/25)*BQ180+(1-EXP(-LN(2)/25))/(LN(2)/25)*Calculateur!BL181*Calculateur!BN181*VLOOKUP('Données projet'!$B$11,Paramètres!$A$1:$I$89,3,0)*0.475*44/12</f>
        <v>0.22839875523979625</v>
      </c>
      <c r="BR181" s="23">
        <f>EXP(-LN(2)/2)*BR180+(1-EXP(-LN(2)/2))/(LN(2)/2)*BL181*BO181*VLOOKUP('Données projet'!$B$11,Paramètres!$A$1:$I$89,3,0)*0.475*44/12</f>
        <v>3.0832129567606137E-22</v>
      </c>
      <c r="BS181" s="24">
        <f t="shared" si="169"/>
        <v>1.7685731141434005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3.4106051316484809E-13</v>
      </c>
      <c r="BZ181" s="14">
        <f>BY181*VLOOKUP('Données projet'!$B$12,Paramètres!$A$1:$I$89,3,0)*VLOOKUP('Données projet'!$B$12,Paramètres!$A$1:$I$89,5,0)</f>
        <v>1.9508661353029313E-13</v>
      </c>
      <c r="CA181" s="14">
        <f t="shared" si="170"/>
        <v>2.711421636700695E-12</v>
      </c>
      <c r="CB181" s="22">
        <f t="shared" si="171"/>
        <v>5.0621685358189711E-12</v>
      </c>
      <c r="CC181" s="62">
        <f t="shared" si="119"/>
        <v>293.33333333333837</v>
      </c>
      <c r="CD181" s="62">
        <f ca="1">AVERAGE(OFFSET($CC$3,0,0,'Données projet'!$E$12+1,1))-AVERAGE(OFFSET($H$3,0,0,'Données projet'!$E$12+1,1))</f>
        <v>177.71338645688661</v>
      </c>
      <c r="CE181" s="62">
        <f t="shared" si="148"/>
        <v>153.65872713651345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2.9340750460729717E-2</v>
      </c>
      <c r="CM181" s="23">
        <f>EXP(-LN(2)/2)*CM180+(1-EXP(-LN(2)/2))/(LN(2)/2)*CG181*CJ181*VLOOKUP('Données projet'!$B$12,Paramètres!$A$1:$I$89,3,0)*0.475*44/12</f>
        <v>3.6365381674419571E-23</v>
      </c>
      <c r="CN181" s="24">
        <f t="shared" si="172"/>
        <v>2.9340750460729717E-2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-7.4487616075202823E-14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118.65321241325523</v>
      </c>
      <c r="CZ181" s="62">
        <f t="shared" si="150"/>
        <v>140.55041555757327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-5.1159076974727213E-13</v>
      </c>
      <c r="DP181" s="18">
        <f>DO181*VLOOKUP('Données projet'!$B$14,Paramètres!$A$1:$I$89,3,0)*VLOOKUP('Données projet'!$B$14,Paramètres!$A$1:$I$89,5,0)</f>
        <v>-5.1875304052373401E-13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328.70784159273131</v>
      </c>
      <c r="DU181" s="62">
        <f t="shared" si="152"/>
        <v>193.18009444354601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177.70053246230015</v>
      </c>
      <c r="T182" s="62">
        <f t="shared" si="142"/>
        <v>85.631326020763254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8.5265128291212022E-14</v>
      </c>
      <c r="AJ182" s="14">
        <f>AI182*VLOOKUP('Données projet'!$B$10,Paramètres!$A$1:$I$89,3,0)*VLOOKUP('Données projet'!$B$10,Paramètres!$A$1:$I$89,5,0)</f>
        <v>7.4487616075202836E-14</v>
      </c>
      <c r="AK182" s="14">
        <f t="shared" si="164"/>
        <v>1.1580453144473142E-12</v>
      </c>
      <c r="AL182" s="22">
        <f t="shared" si="165"/>
        <v>2.1466615206600508E-12</v>
      </c>
      <c r="AM182" s="62">
        <f t="shared" si="113"/>
        <v>293.33333333333547</v>
      </c>
      <c r="AN182" s="62">
        <f ca="1">AVERAGE(OFFSET($AM$3,0,0,'Données projet'!$E$10+1,1))-AVERAGE(OFFSET($H$3,0,0,'Données projet'!$E$10+1,1))</f>
        <v>212.11273590951606</v>
      </c>
      <c r="AO182" s="62">
        <f t="shared" si="144"/>
        <v>240.9595690943346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2.2737367544323206E-13</v>
      </c>
      <c r="BE182" s="14">
        <f>BD182*VLOOKUP('Données projet'!$B$11,Paramètres!$A$1:$I$89,3,0)*VLOOKUP('Données projet'!$B$11,Paramètres!$A$1:$I$89,5,0)</f>
        <v>1.3596945791505279E-13</v>
      </c>
      <c r="BF182" s="14">
        <f t="shared" si="167"/>
        <v>1.9708830566360721E-12</v>
      </c>
      <c r="BG182" s="22">
        <f t="shared" si="168"/>
        <v>3.669434796176543E-12</v>
      </c>
      <c r="BH182" s="62">
        <f t="shared" si="116"/>
        <v>293.33333333333701</v>
      </c>
      <c r="BI182" s="62">
        <f ca="1">AVERAGE(OFFSET($BH$3,0,0,'Données projet'!$E$11+1,1))-AVERAGE(OFFSET($H$3,0,0,'Données projet'!$E$11+1,1))</f>
        <v>172.49153247238672</v>
      </c>
      <c r="BJ182" s="62">
        <f t="shared" si="146"/>
        <v>301.94982606323254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1.5099724791391043</v>
      </c>
      <c r="BQ182" s="23">
        <f>EXP(-LN(2)/25)*BQ181+(1-EXP(-LN(2)/25))/(LN(2)/25)*Calculateur!BL182*Calculateur!BN182*VLOOKUP('Données projet'!$B$11,Paramètres!$A$1:$I$89,3,0)*0.475*44/12</f>
        <v>0.22215317926679548</v>
      </c>
      <c r="BR182" s="23">
        <f>EXP(-LN(2)/2)*BR181+(1-EXP(-LN(2)/2))/(LN(2)/2)*BL182*BO182*VLOOKUP('Données projet'!$B$11,Paramètres!$A$1:$I$89,3,0)*0.475*44/12</f>
        <v>2.1801607895676554E-22</v>
      </c>
      <c r="BS182" s="24">
        <f t="shared" si="169"/>
        <v>1.7321256584058997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3.4106051316484809E-13</v>
      </c>
      <c r="BZ182" s="14">
        <f>BY182*VLOOKUP('Données projet'!$B$12,Paramètres!$A$1:$I$89,3,0)*VLOOKUP('Données projet'!$B$12,Paramètres!$A$1:$I$89,5,0)</f>
        <v>1.9508661353029313E-13</v>
      </c>
      <c r="CA182" s="14">
        <f t="shared" si="170"/>
        <v>2.711421636700695E-12</v>
      </c>
      <c r="CB182" s="22">
        <f t="shared" si="171"/>
        <v>5.0621685358189711E-12</v>
      </c>
      <c r="CC182" s="62">
        <f t="shared" si="119"/>
        <v>293.33333333333837</v>
      </c>
      <c r="CD182" s="62">
        <f ca="1">AVERAGE(OFFSET($CC$3,0,0,'Données projet'!$E$12+1,1))-AVERAGE(OFFSET($H$3,0,0,'Données projet'!$E$12+1,1))</f>
        <v>177.71338645688661</v>
      </c>
      <c r="CE182" s="62">
        <f t="shared" si="148"/>
        <v>153.65872713651345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2.8538426096418056E-2</v>
      </c>
      <c r="CM182" s="23">
        <f>EXP(-LN(2)/2)*CM181+(1-EXP(-LN(2)/2))/(LN(2)/2)*CG182*CJ182*VLOOKUP('Données projet'!$B$12,Paramètres!$A$1:$I$89,3,0)*0.475*44/12</f>
        <v>2.5714207982419085E-23</v>
      </c>
      <c r="CN182" s="24">
        <f t="shared" si="172"/>
        <v>2.8538426096418056E-2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-7.4487616075202823E-14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118.65321241325523</v>
      </c>
      <c r="CZ182" s="62">
        <f t="shared" si="150"/>
        <v>140.55041555757327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-5.1159076974727213E-13</v>
      </c>
      <c r="DP182" s="18">
        <f>DO182*VLOOKUP('Données projet'!$B$14,Paramètres!$A$1:$I$89,3,0)*VLOOKUP('Données projet'!$B$14,Paramètres!$A$1:$I$89,5,0)</f>
        <v>-5.1875304052373401E-13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328.70784159273131</v>
      </c>
      <c r="DU182" s="62">
        <f t="shared" si="152"/>
        <v>193.18009444354601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177.70053246230015</v>
      </c>
      <c r="T183" s="62">
        <f t="shared" si="142"/>
        <v>85.631326020763254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8.5265128291212022E-14</v>
      </c>
      <c r="AJ183" s="14">
        <f>AI183*VLOOKUP('Données projet'!$B$10,Paramètres!$A$1:$I$89,3,0)*VLOOKUP('Données projet'!$B$10,Paramètres!$A$1:$I$89,5,0)</f>
        <v>7.4487616075202836E-14</v>
      </c>
      <c r="AK183" s="14">
        <f t="shared" si="164"/>
        <v>1.1580453144473142E-12</v>
      </c>
      <c r="AL183" s="22">
        <f t="shared" si="165"/>
        <v>2.1466615206600508E-12</v>
      </c>
      <c r="AM183" s="62">
        <f t="shared" si="113"/>
        <v>293.33333333333547</v>
      </c>
      <c r="AN183" s="62">
        <f ca="1">AVERAGE(OFFSET($AM$3,0,0,'Données projet'!$E$10+1,1))-AVERAGE(OFFSET($H$3,0,0,'Données projet'!$E$10+1,1))</f>
        <v>212.11273590951606</v>
      </c>
      <c r="AO183" s="62">
        <f t="shared" si="144"/>
        <v>240.9595690943346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2.2737367544323206E-13</v>
      </c>
      <c r="BE183" s="14">
        <f>BD183*VLOOKUP('Données projet'!$B$11,Paramètres!$A$1:$I$89,3,0)*VLOOKUP('Données projet'!$B$11,Paramètres!$A$1:$I$89,5,0)</f>
        <v>1.3596945791505279E-13</v>
      </c>
      <c r="BF183" s="14">
        <f t="shared" si="167"/>
        <v>1.9708830566360721E-12</v>
      </c>
      <c r="BG183" s="22">
        <f t="shared" si="168"/>
        <v>3.669434796176543E-12</v>
      </c>
      <c r="BH183" s="62">
        <f t="shared" si="116"/>
        <v>293.33333333333701</v>
      </c>
      <c r="BI183" s="62">
        <f ca="1">AVERAGE(OFFSET($BH$3,0,0,'Données projet'!$E$11+1,1))-AVERAGE(OFFSET($H$3,0,0,'Données projet'!$E$11+1,1))</f>
        <v>172.49153247238672</v>
      </c>
      <c r="BJ183" s="62">
        <f t="shared" si="146"/>
        <v>301.94982606323254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1.4803628398154582</v>
      </c>
      <c r="BQ183" s="23">
        <f>EXP(-LN(2)/25)*BQ182+(1-EXP(-LN(2)/25))/(LN(2)/25)*Calculateur!BL183*Calculateur!BN183*VLOOKUP('Données projet'!$B$11,Paramètres!$A$1:$I$89,3,0)*0.475*44/12</f>
        <v>0.21607838889721701</v>
      </c>
      <c r="BR183" s="23">
        <f>EXP(-LN(2)/2)*BR182+(1-EXP(-LN(2)/2))/(LN(2)/2)*BL183*BO183*VLOOKUP('Données projet'!$B$11,Paramètres!$A$1:$I$89,3,0)*0.475*44/12</f>
        <v>1.5416064783803068E-22</v>
      </c>
      <c r="BS183" s="24">
        <f t="shared" si="169"/>
        <v>1.6964412287126753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3.4106051316484809E-13</v>
      </c>
      <c r="BZ183" s="14">
        <f>BY183*VLOOKUP('Données projet'!$B$12,Paramètres!$A$1:$I$89,3,0)*VLOOKUP('Données projet'!$B$12,Paramètres!$A$1:$I$89,5,0)</f>
        <v>1.9508661353029313E-13</v>
      </c>
      <c r="CA183" s="14">
        <f t="shared" si="170"/>
        <v>2.711421636700695E-12</v>
      </c>
      <c r="CB183" s="22">
        <f t="shared" si="171"/>
        <v>5.0621685358189711E-12</v>
      </c>
      <c r="CC183" s="62">
        <f t="shared" si="119"/>
        <v>293.33333333333837</v>
      </c>
      <c r="CD183" s="62">
        <f ca="1">AVERAGE(OFFSET($CC$3,0,0,'Données projet'!$E$12+1,1))-AVERAGE(OFFSET($H$3,0,0,'Données projet'!$E$12+1,1))</f>
        <v>177.71338645688661</v>
      </c>
      <c r="CE183" s="62">
        <f t="shared" si="148"/>
        <v>153.65872713651345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2.7758041334040903E-2</v>
      </c>
      <c r="CM183" s="23">
        <f>EXP(-LN(2)/2)*CM182+(1-EXP(-LN(2)/2))/(LN(2)/2)*CG183*CJ183*VLOOKUP('Données projet'!$B$12,Paramètres!$A$1:$I$89,3,0)*0.475*44/12</f>
        <v>1.8182690837209788E-23</v>
      </c>
      <c r="CN183" s="24">
        <f t="shared" si="172"/>
        <v>2.7758041334040903E-2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-7.4487616075202823E-14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118.65321241325523</v>
      </c>
      <c r="CZ183" s="62">
        <f t="shared" si="150"/>
        <v>140.55041555757327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-5.1159076974727213E-13</v>
      </c>
      <c r="DP183" s="18">
        <f>DO183*VLOOKUP('Données projet'!$B$14,Paramètres!$A$1:$I$89,3,0)*VLOOKUP('Données projet'!$B$14,Paramètres!$A$1:$I$89,5,0)</f>
        <v>-5.1875304052373401E-13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328.70784159273131</v>
      </c>
      <c r="DU183" s="62">
        <f t="shared" si="152"/>
        <v>193.18009444354601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177.70053246230015</v>
      </c>
      <c r="T184" s="62">
        <f t="shared" si="142"/>
        <v>85.631326020763254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8.5265128291212022E-14</v>
      </c>
      <c r="AJ184" s="14">
        <f>AI184*VLOOKUP('Données projet'!$B$10,Paramètres!$A$1:$I$89,3,0)*VLOOKUP('Données projet'!$B$10,Paramètres!$A$1:$I$89,5,0)</f>
        <v>7.4487616075202836E-14</v>
      </c>
      <c r="AK184" s="14">
        <f t="shared" si="164"/>
        <v>1.1580453144473142E-12</v>
      </c>
      <c r="AL184" s="22">
        <f t="shared" si="165"/>
        <v>2.1466615206600508E-12</v>
      </c>
      <c r="AM184" s="62">
        <f t="shared" si="113"/>
        <v>293.33333333333547</v>
      </c>
      <c r="AN184" s="62">
        <f ca="1">AVERAGE(OFFSET($AM$3,0,0,'Données projet'!$E$10+1,1))-AVERAGE(OFFSET($H$3,0,0,'Données projet'!$E$10+1,1))</f>
        <v>212.11273590951606</v>
      </c>
      <c r="AO184" s="62">
        <f t="shared" si="144"/>
        <v>240.9595690943346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2.2737367544323206E-13</v>
      </c>
      <c r="BE184" s="14">
        <f>BD184*VLOOKUP('Données projet'!$B$11,Paramètres!$A$1:$I$89,3,0)*VLOOKUP('Données projet'!$B$11,Paramètres!$A$1:$I$89,5,0)</f>
        <v>1.3596945791505279E-13</v>
      </c>
      <c r="BF184" s="14">
        <f t="shared" si="167"/>
        <v>1.9708830566360721E-12</v>
      </c>
      <c r="BG184" s="22">
        <f t="shared" si="168"/>
        <v>3.669434796176543E-12</v>
      </c>
      <c r="BH184" s="62">
        <f t="shared" si="116"/>
        <v>293.33333333333701</v>
      </c>
      <c r="BI184" s="62">
        <f ca="1">AVERAGE(OFFSET($BH$3,0,0,'Données projet'!$E$11+1,1))-AVERAGE(OFFSET($H$3,0,0,'Données projet'!$E$11+1,1))</f>
        <v>172.49153247238672</v>
      </c>
      <c r="BJ184" s="62">
        <f t="shared" si="146"/>
        <v>301.94982606323254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1.4513338274588523</v>
      </c>
      <c r="BQ184" s="23">
        <f>EXP(-LN(2)/25)*BQ183+(1-EXP(-LN(2)/25))/(LN(2)/25)*Calculateur!BL184*Calculateur!BN184*VLOOKUP('Données projet'!$B$11,Paramètres!$A$1:$I$89,3,0)*0.475*44/12</f>
        <v>0.21016971398975398</v>
      </c>
      <c r="BR184" s="23">
        <f>EXP(-LN(2)/2)*BR183+(1-EXP(-LN(2)/2))/(LN(2)/2)*BL184*BO184*VLOOKUP('Données projet'!$B$11,Paramètres!$A$1:$I$89,3,0)*0.475*44/12</f>
        <v>1.0900803947838277E-22</v>
      </c>
      <c r="BS184" s="24">
        <f t="shared" si="169"/>
        <v>1.6615035414486063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3.4106051316484809E-13</v>
      </c>
      <c r="BZ184" s="14">
        <f>BY184*VLOOKUP('Données projet'!$B$12,Paramètres!$A$1:$I$89,3,0)*VLOOKUP('Données projet'!$B$12,Paramètres!$A$1:$I$89,5,0)</f>
        <v>1.9508661353029313E-13</v>
      </c>
      <c r="CA184" s="14">
        <f t="shared" si="170"/>
        <v>2.711421636700695E-12</v>
      </c>
      <c r="CB184" s="22">
        <f t="shared" si="171"/>
        <v>5.0621685358189711E-12</v>
      </c>
      <c r="CC184" s="62">
        <f t="shared" si="119"/>
        <v>293.33333333333837</v>
      </c>
      <c r="CD184" s="62">
        <f ca="1">AVERAGE(OFFSET($CC$3,0,0,'Données projet'!$E$12+1,1))-AVERAGE(OFFSET($H$3,0,0,'Données projet'!$E$12+1,1))</f>
        <v>177.71338645688661</v>
      </c>
      <c r="CE184" s="62">
        <f t="shared" si="148"/>
        <v>153.65872713651345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2.6998996234029602E-2</v>
      </c>
      <c r="CM184" s="23">
        <f>EXP(-LN(2)/2)*CM183+(1-EXP(-LN(2)/2))/(LN(2)/2)*CG184*CJ184*VLOOKUP('Données projet'!$B$12,Paramètres!$A$1:$I$89,3,0)*0.475*44/12</f>
        <v>1.2857103991209546E-23</v>
      </c>
      <c r="CN184" s="24">
        <f t="shared" si="172"/>
        <v>2.6998996234029602E-2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-7.4487616075202823E-14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118.65321241325523</v>
      </c>
      <c r="CZ184" s="62">
        <f t="shared" si="150"/>
        <v>140.55041555757327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-5.1159076974727213E-13</v>
      </c>
      <c r="DP184" s="18">
        <f>DO184*VLOOKUP('Données projet'!$B$14,Paramètres!$A$1:$I$89,3,0)*VLOOKUP('Données projet'!$B$14,Paramètres!$A$1:$I$89,5,0)</f>
        <v>-5.1875304052373401E-13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328.70784159273131</v>
      </c>
      <c r="DU184" s="62">
        <f t="shared" si="152"/>
        <v>193.18009444354601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177.70053246230015</v>
      </c>
      <c r="T185" s="62">
        <f t="shared" si="142"/>
        <v>85.631326020763254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8.5265128291212022E-14</v>
      </c>
      <c r="AJ185" s="14">
        <f>AI185*VLOOKUP('Données projet'!$B$10,Paramètres!$A$1:$I$89,3,0)*VLOOKUP('Données projet'!$B$10,Paramètres!$A$1:$I$89,5,0)</f>
        <v>7.4487616075202836E-14</v>
      </c>
      <c r="AK185" s="14">
        <f t="shared" si="164"/>
        <v>1.1580453144473142E-12</v>
      </c>
      <c r="AL185" s="22">
        <f t="shared" si="165"/>
        <v>2.1466615206600508E-12</v>
      </c>
      <c r="AM185" s="62">
        <f t="shared" si="113"/>
        <v>293.33333333333547</v>
      </c>
      <c r="AN185" s="62">
        <f ca="1">AVERAGE(OFFSET($AM$3,0,0,'Données projet'!$E$10+1,1))-AVERAGE(OFFSET($H$3,0,0,'Données projet'!$E$10+1,1))</f>
        <v>212.11273590951606</v>
      </c>
      <c r="AO185" s="62">
        <f t="shared" si="144"/>
        <v>240.9595690943346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2.2737367544323206E-13</v>
      </c>
      <c r="BE185" s="14">
        <f>BD185*VLOOKUP('Données projet'!$B$11,Paramètres!$A$1:$I$89,3,0)*VLOOKUP('Données projet'!$B$11,Paramètres!$A$1:$I$89,5,0)</f>
        <v>1.3596945791505279E-13</v>
      </c>
      <c r="BF185" s="14">
        <f t="shared" si="167"/>
        <v>1.9708830566360721E-12</v>
      </c>
      <c r="BG185" s="22">
        <f t="shared" si="168"/>
        <v>3.669434796176543E-12</v>
      </c>
      <c r="BH185" s="62">
        <f t="shared" si="116"/>
        <v>293.33333333333701</v>
      </c>
      <c r="BI185" s="62">
        <f ca="1">AVERAGE(OFFSET($BH$3,0,0,'Données projet'!$E$11+1,1))-AVERAGE(OFFSET($H$3,0,0,'Données projet'!$E$11+1,1))</f>
        <v>172.49153247238672</v>
      </c>
      <c r="BJ185" s="62">
        <f t="shared" si="146"/>
        <v>301.94982606323254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1.4228740563286102</v>
      </c>
      <c r="BQ185" s="23">
        <f>EXP(-LN(2)/25)*BQ184+(1-EXP(-LN(2)/25))/(LN(2)/25)*Calculateur!BL185*Calculateur!BN185*VLOOKUP('Données projet'!$B$11,Paramètres!$A$1:$I$89,3,0)*0.475*44/12</f>
        <v>0.20442261210835924</v>
      </c>
      <c r="BR185" s="23">
        <f>EXP(-LN(2)/2)*BR184+(1-EXP(-LN(2)/2))/(LN(2)/2)*BL185*BO185*VLOOKUP('Données projet'!$B$11,Paramètres!$A$1:$I$89,3,0)*0.475*44/12</f>
        <v>7.7080323919015342E-23</v>
      </c>
      <c r="BS185" s="24">
        <f t="shared" si="169"/>
        <v>1.6272966684369694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3.4106051316484809E-13</v>
      </c>
      <c r="BZ185" s="14">
        <f>BY185*VLOOKUP('Données projet'!$B$12,Paramètres!$A$1:$I$89,3,0)*VLOOKUP('Données projet'!$B$12,Paramètres!$A$1:$I$89,5,0)</f>
        <v>1.9508661353029313E-13</v>
      </c>
      <c r="CA185" s="14">
        <f t="shared" si="170"/>
        <v>2.711421636700695E-12</v>
      </c>
      <c r="CB185" s="22">
        <f t="shared" si="171"/>
        <v>5.0621685358189711E-12</v>
      </c>
      <c r="CC185" s="62">
        <f t="shared" si="119"/>
        <v>293.33333333333837</v>
      </c>
      <c r="CD185" s="62">
        <f ca="1">AVERAGE(OFFSET($CC$3,0,0,'Données projet'!$E$12+1,1))-AVERAGE(OFFSET($H$3,0,0,'Données projet'!$E$12+1,1))</f>
        <v>177.71338645688661</v>
      </c>
      <c r="CE185" s="62">
        <f t="shared" si="148"/>
        <v>153.65872713651345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2.6260707262194559E-2</v>
      </c>
      <c r="CM185" s="23">
        <f>EXP(-LN(2)/2)*CM184+(1-EXP(-LN(2)/2))/(LN(2)/2)*CG185*CJ185*VLOOKUP('Données projet'!$B$12,Paramètres!$A$1:$I$89,3,0)*0.475*44/12</f>
        <v>9.0913454186048957E-24</v>
      </c>
      <c r="CN185" s="24">
        <f t="shared" si="172"/>
        <v>2.6260707262194559E-2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-7.4487616075202823E-14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118.65321241325523</v>
      </c>
      <c r="CZ185" s="62">
        <f t="shared" si="150"/>
        <v>140.55041555757327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-5.1159076974727213E-13</v>
      </c>
      <c r="DP185" s="18">
        <f>DO185*VLOOKUP('Données projet'!$B$14,Paramètres!$A$1:$I$89,3,0)*VLOOKUP('Données projet'!$B$14,Paramètres!$A$1:$I$89,5,0)</f>
        <v>-5.1875304052373401E-13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328.70784159273131</v>
      </c>
      <c r="DU185" s="62">
        <f t="shared" si="152"/>
        <v>193.18009444354601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177.70053246230015</v>
      </c>
      <c r="T186" s="62">
        <f t="shared" si="142"/>
        <v>85.631326020763254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8.5265128291212022E-14</v>
      </c>
      <c r="AJ186" s="14">
        <f>AI186*VLOOKUP('Données projet'!$B$10,Paramètres!$A$1:$I$89,3,0)*VLOOKUP('Données projet'!$B$10,Paramètres!$A$1:$I$89,5,0)</f>
        <v>7.4487616075202836E-14</v>
      </c>
      <c r="AK186" s="14">
        <f t="shared" si="164"/>
        <v>1.1580453144473142E-12</v>
      </c>
      <c r="AL186" s="22">
        <f t="shared" si="165"/>
        <v>2.1466615206600508E-12</v>
      </c>
      <c r="AM186" s="62">
        <f t="shared" si="113"/>
        <v>293.33333333333547</v>
      </c>
      <c r="AN186" s="62">
        <f ca="1">AVERAGE(OFFSET($AM$3,0,0,'Données projet'!$E$10+1,1))-AVERAGE(OFFSET($H$3,0,0,'Données projet'!$E$10+1,1))</f>
        <v>212.11273590951606</v>
      </c>
      <c r="AO186" s="62">
        <f t="shared" si="144"/>
        <v>240.9595690943346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2.2737367544323206E-13</v>
      </c>
      <c r="BE186" s="14">
        <f>BD186*VLOOKUP('Données projet'!$B$11,Paramètres!$A$1:$I$89,3,0)*VLOOKUP('Données projet'!$B$11,Paramètres!$A$1:$I$89,5,0)</f>
        <v>1.3596945791505279E-13</v>
      </c>
      <c r="BF186" s="14">
        <f t="shared" si="167"/>
        <v>1.9708830566360721E-12</v>
      </c>
      <c r="BG186" s="22">
        <f t="shared" si="168"/>
        <v>3.669434796176543E-12</v>
      </c>
      <c r="BH186" s="62">
        <f t="shared" si="116"/>
        <v>293.33333333333701</v>
      </c>
      <c r="BI186" s="62">
        <f ca="1">AVERAGE(OFFSET($BH$3,0,0,'Données projet'!$E$11+1,1))-AVERAGE(OFFSET($H$3,0,0,'Données projet'!$E$11+1,1))</f>
        <v>172.49153247238672</v>
      </c>
      <c r="BJ186" s="62">
        <f t="shared" si="146"/>
        <v>301.94982606323254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1.3949723639514857</v>
      </c>
      <c r="BQ186" s="23">
        <f>EXP(-LN(2)/25)*BQ185+(1-EXP(-LN(2)/25))/(LN(2)/25)*Calculateur!BL186*Calculateur!BN186*VLOOKUP('Données projet'!$B$11,Paramètres!$A$1:$I$89,3,0)*0.475*44/12</f>
        <v>0.19883266503013819</v>
      </c>
      <c r="BR186" s="23">
        <f>EXP(-LN(2)/2)*BR185+(1-EXP(-LN(2)/2))/(LN(2)/2)*BL186*BO186*VLOOKUP('Données projet'!$B$11,Paramètres!$A$1:$I$89,3,0)*0.475*44/12</f>
        <v>5.4504019739191386E-23</v>
      </c>
      <c r="BS186" s="24">
        <f t="shared" si="169"/>
        <v>1.5938050289816239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3.4106051316484809E-13</v>
      </c>
      <c r="BZ186" s="14">
        <f>BY186*VLOOKUP('Données projet'!$B$12,Paramètres!$A$1:$I$89,3,0)*VLOOKUP('Données projet'!$B$12,Paramètres!$A$1:$I$89,5,0)</f>
        <v>1.9508661353029313E-13</v>
      </c>
      <c r="CA186" s="14">
        <f t="shared" si="170"/>
        <v>2.711421636700695E-12</v>
      </c>
      <c r="CB186" s="22">
        <f t="shared" si="171"/>
        <v>5.0621685358189711E-12</v>
      </c>
      <c r="CC186" s="62">
        <f t="shared" si="119"/>
        <v>293.33333333333837</v>
      </c>
      <c r="CD186" s="62">
        <f ca="1">AVERAGE(OFFSET($CC$3,0,0,'Données projet'!$E$12+1,1))-AVERAGE(OFFSET($H$3,0,0,'Données projet'!$E$12+1,1))</f>
        <v>177.71338645688661</v>
      </c>
      <c r="CE186" s="62">
        <f t="shared" si="148"/>
        <v>153.65872713651345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2.5542606841119274E-2</v>
      </c>
      <c r="CM186" s="23">
        <f>EXP(-LN(2)/2)*CM185+(1-EXP(-LN(2)/2))/(LN(2)/2)*CG186*CJ186*VLOOKUP('Données projet'!$B$12,Paramètres!$A$1:$I$89,3,0)*0.475*44/12</f>
        <v>6.4285519956047736E-24</v>
      </c>
      <c r="CN186" s="24">
        <f t="shared" si="172"/>
        <v>2.5542606841119274E-2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-7.4487616075202823E-14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118.65321241325523</v>
      </c>
      <c r="CZ186" s="62">
        <f t="shared" si="150"/>
        <v>140.55041555757327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-5.1159076974727213E-13</v>
      </c>
      <c r="DP186" s="18">
        <f>DO186*VLOOKUP('Données projet'!$B$14,Paramètres!$A$1:$I$89,3,0)*VLOOKUP('Données projet'!$B$14,Paramètres!$A$1:$I$89,5,0)</f>
        <v>-5.1875304052373401E-13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328.70784159273131</v>
      </c>
      <c r="DU186" s="62">
        <f t="shared" si="152"/>
        <v>193.18009444354601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177.70053246230015</v>
      </c>
      <c r="T187" s="62">
        <f t="shared" si="142"/>
        <v>85.631326020763254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8.5265128291212022E-14</v>
      </c>
      <c r="AJ187" s="14">
        <f>AI187*VLOOKUP('Données projet'!$B$10,Paramètres!$A$1:$I$89,3,0)*VLOOKUP('Données projet'!$B$10,Paramètres!$A$1:$I$89,5,0)</f>
        <v>7.4487616075202836E-14</v>
      </c>
      <c r="AK187" s="14">
        <f t="shared" si="164"/>
        <v>1.1580453144473142E-12</v>
      </c>
      <c r="AL187" s="22">
        <f t="shared" si="165"/>
        <v>2.1466615206600508E-12</v>
      </c>
      <c r="AM187" s="62">
        <f t="shared" si="113"/>
        <v>293.33333333333547</v>
      </c>
      <c r="AN187" s="62">
        <f ca="1">AVERAGE(OFFSET($AM$3,0,0,'Données projet'!$E$10+1,1))-AVERAGE(OFFSET($H$3,0,0,'Données projet'!$E$10+1,1))</f>
        <v>212.11273590951606</v>
      </c>
      <c r="AO187" s="62">
        <f t="shared" si="144"/>
        <v>240.9595690943346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2.2737367544323206E-13</v>
      </c>
      <c r="BE187" s="14">
        <f>BD187*VLOOKUP('Données projet'!$B$11,Paramètres!$A$1:$I$89,3,0)*VLOOKUP('Données projet'!$B$11,Paramètres!$A$1:$I$89,5,0)</f>
        <v>1.3596945791505279E-13</v>
      </c>
      <c r="BF187" s="14">
        <f t="shared" si="167"/>
        <v>1.9708830566360721E-12</v>
      </c>
      <c r="BG187" s="22">
        <f t="shared" si="168"/>
        <v>3.669434796176543E-12</v>
      </c>
      <c r="BH187" s="62">
        <f t="shared" si="116"/>
        <v>293.33333333333701</v>
      </c>
      <c r="BI187" s="62">
        <f ca="1">AVERAGE(OFFSET($BH$3,0,0,'Données projet'!$E$11+1,1))-AVERAGE(OFFSET($H$3,0,0,'Données projet'!$E$11+1,1))</f>
        <v>172.49153247238672</v>
      </c>
      <c r="BJ187" s="62">
        <f t="shared" si="146"/>
        <v>301.94982606323254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1.3676178067435247</v>
      </c>
      <c r="BQ187" s="23">
        <f>EXP(-LN(2)/25)*BQ186+(1-EXP(-LN(2)/25))/(LN(2)/25)*Calculateur!BL187*Calculateur!BN187*VLOOKUP('Données projet'!$B$11,Paramètres!$A$1:$I$89,3,0)*0.475*44/12</f>
        <v>0.19339557534873364</v>
      </c>
      <c r="BR187" s="23">
        <f>EXP(-LN(2)/2)*BR186+(1-EXP(-LN(2)/2))/(LN(2)/2)*BL187*BO187*VLOOKUP('Données projet'!$B$11,Paramètres!$A$1:$I$89,3,0)*0.475*44/12</f>
        <v>3.8540161959507671E-23</v>
      </c>
      <c r="BS187" s="24">
        <f t="shared" si="169"/>
        <v>1.5610133820922583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3.4106051316484809E-13</v>
      </c>
      <c r="BZ187" s="14">
        <f>BY187*VLOOKUP('Données projet'!$B$12,Paramètres!$A$1:$I$89,3,0)*VLOOKUP('Données projet'!$B$12,Paramètres!$A$1:$I$89,5,0)</f>
        <v>1.9508661353029313E-13</v>
      </c>
      <c r="CA187" s="14">
        <f t="shared" si="170"/>
        <v>2.711421636700695E-12</v>
      </c>
      <c r="CB187" s="22">
        <f t="shared" si="171"/>
        <v>5.0621685358189711E-12</v>
      </c>
      <c r="CC187" s="62">
        <f t="shared" si="119"/>
        <v>293.33333333333837</v>
      </c>
      <c r="CD187" s="62">
        <f ca="1">AVERAGE(OFFSET($CC$3,0,0,'Données projet'!$E$12+1,1))-AVERAGE(OFFSET($H$3,0,0,'Données projet'!$E$12+1,1))</f>
        <v>177.71338645688661</v>
      </c>
      <c r="CE187" s="62">
        <f t="shared" si="148"/>
        <v>153.65872713651345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2.4844142913821553E-2</v>
      </c>
      <c r="CM187" s="23">
        <f>EXP(-LN(2)/2)*CM186+(1-EXP(-LN(2)/2))/(LN(2)/2)*CG187*CJ187*VLOOKUP('Données projet'!$B$12,Paramètres!$A$1:$I$89,3,0)*0.475*44/12</f>
        <v>4.5456727093024486E-24</v>
      </c>
      <c r="CN187" s="24">
        <f t="shared" si="172"/>
        <v>2.4844142913821553E-2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-7.4487616075202823E-14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118.65321241325523</v>
      </c>
      <c r="CZ187" s="62">
        <f t="shared" si="150"/>
        <v>140.55041555757327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-5.1159076974727213E-13</v>
      </c>
      <c r="DP187" s="18">
        <f>DO187*VLOOKUP('Données projet'!$B$14,Paramètres!$A$1:$I$89,3,0)*VLOOKUP('Données projet'!$B$14,Paramètres!$A$1:$I$89,5,0)</f>
        <v>-5.1875304052373401E-13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328.70784159273131</v>
      </c>
      <c r="DU187" s="62">
        <f t="shared" si="152"/>
        <v>193.18009444354601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177.70053246230015</v>
      </c>
      <c r="T188" s="62">
        <f t="shared" si="142"/>
        <v>85.631326020763254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8.5265128291212022E-14</v>
      </c>
      <c r="AJ188" s="14">
        <f>AI188*VLOOKUP('Données projet'!$B$10,Paramètres!$A$1:$I$89,3,0)*VLOOKUP('Données projet'!$B$10,Paramètres!$A$1:$I$89,5,0)</f>
        <v>7.4487616075202836E-14</v>
      </c>
      <c r="AK188" s="14">
        <f t="shared" si="164"/>
        <v>1.1580453144473142E-12</v>
      </c>
      <c r="AL188" s="22">
        <f t="shared" si="165"/>
        <v>2.1466615206600508E-12</v>
      </c>
      <c r="AM188" s="62">
        <f t="shared" si="113"/>
        <v>293.33333333333547</v>
      </c>
      <c r="AN188" s="62">
        <f ca="1">AVERAGE(OFFSET($AM$3,0,0,'Données projet'!$E$10+1,1))-AVERAGE(OFFSET($H$3,0,0,'Données projet'!$E$10+1,1))</f>
        <v>212.11273590951606</v>
      </c>
      <c r="AO188" s="62">
        <f t="shared" si="144"/>
        <v>240.9595690943346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2.2737367544323206E-13</v>
      </c>
      <c r="BE188" s="14">
        <f>BD188*VLOOKUP('Données projet'!$B$11,Paramètres!$A$1:$I$89,3,0)*VLOOKUP('Données projet'!$B$11,Paramètres!$A$1:$I$89,5,0)</f>
        <v>1.3596945791505279E-13</v>
      </c>
      <c r="BF188" s="14">
        <f t="shared" si="167"/>
        <v>1.9708830566360721E-12</v>
      </c>
      <c r="BG188" s="22">
        <f t="shared" si="168"/>
        <v>3.669434796176543E-12</v>
      </c>
      <c r="BH188" s="62">
        <f t="shared" si="116"/>
        <v>293.33333333333701</v>
      </c>
      <c r="BI188" s="62">
        <f ca="1">AVERAGE(OFFSET($BH$3,0,0,'Données projet'!$E$11+1,1))-AVERAGE(OFFSET($H$3,0,0,'Données projet'!$E$11+1,1))</f>
        <v>172.49153247238672</v>
      </c>
      <c r="BJ188" s="62">
        <f t="shared" si="146"/>
        <v>301.94982606323254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1.3407996557177795</v>
      </c>
      <c r="BQ188" s="23">
        <f>EXP(-LN(2)/25)*BQ187+(1-EXP(-LN(2)/25))/(LN(2)/25)*Calculateur!BL188*Calculateur!BN188*VLOOKUP('Données projet'!$B$11,Paramètres!$A$1:$I$89,3,0)*0.475*44/12</f>
        <v>0.18810716317059123</v>
      </c>
      <c r="BR188" s="23">
        <f>EXP(-LN(2)/2)*BR187+(1-EXP(-LN(2)/2))/(LN(2)/2)*BL188*BO188*VLOOKUP('Données projet'!$B$11,Paramètres!$A$1:$I$89,3,0)*0.475*44/12</f>
        <v>2.7252009869595693E-23</v>
      </c>
      <c r="BS188" s="24">
        <f t="shared" si="169"/>
        <v>1.5289068188883708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3.4106051316484809E-13</v>
      </c>
      <c r="BZ188" s="14">
        <f>BY188*VLOOKUP('Données projet'!$B$12,Paramètres!$A$1:$I$89,3,0)*VLOOKUP('Données projet'!$B$12,Paramètres!$A$1:$I$89,5,0)</f>
        <v>1.9508661353029313E-13</v>
      </c>
      <c r="CA188" s="14">
        <f t="shared" si="170"/>
        <v>2.711421636700695E-12</v>
      </c>
      <c r="CB188" s="22">
        <f t="shared" si="171"/>
        <v>5.0621685358189711E-12</v>
      </c>
      <c r="CC188" s="62">
        <f t="shared" si="119"/>
        <v>293.33333333333837</v>
      </c>
      <c r="CD188" s="62">
        <f ca="1">AVERAGE(OFFSET($CC$3,0,0,'Données projet'!$E$12+1,1))-AVERAGE(OFFSET($H$3,0,0,'Données projet'!$E$12+1,1))</f>
        <v>177.71338645688661</v>
      </c>
      <c r="CE188" s="62">
        <f t="shared" si="148"/>
        <v>153.65872713651345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2.4164778519346407E-2</v>
      </c>
      <c r="CM188" s="23">
        <f>EXP(-LN(2)/2)*CM187+(1-EXP(-LN(2)/2))/(LN(2)/2)*CG188*CJ188*VLOOKUP('Données projet'!$B$12,Paramètres!$A$1:$I$89,3,0)*0.475*44/12</f>
        <v>3.2142759978023875E-24</v>
      </c>
      <c r="CN188" s="24">
        <f t="shared" si="172"/>
        <v>2.4164778519346407E-2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-7.4487616075202823E-14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118.65321241325523</v>
      </c>
      <c r="CZ188" s="62">
        <f t="shared" si="150"/>
        <v>140.55041555757327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-5.1159076974727213E-13</v>
      </c>
      <c r="DP188" s="18">
        <f>DO188*VLOOKUP('Données projet'!$B$14,Paramètres!$A$1:$I$89,3,0)*VLOOKUP('Données projet'!$B$14,Paramètres!$A$1:$I$89,5,0)</f>
        <v>-5.1875304052373401E-13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328.70784159273131</v>
      </c>
      <c r="DU188" s="62">
        <f t="shared" si="152"/>
        <v>193.18009444354601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177.70053246230015</v>
      </c>
      <c r="T189" s="62">
        <f t="shared" si="142"/>
        <v>85.631326020763254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8.5265128291212022E-14</v>
      </c>
      <c r="AJ189" s="14">
        <f>AI189*VLOOKUP('Données projet'!$B$10,Paramètres!$A$1:$I$89,3,0)*VLOOKUP('Données projet'!$B$10,Paramètres!$A$1:$I$89,5,0)</f>
        <v>7.4487616075202836E-14</v>
      </c>
      <c r="AK189" s="14">
        <f t="shared" si="164"/>
        <v>1.1580453144473142E-12</v>
      </c>
      <c r="AL189" s="22">
        <f t="shared" si="165"/>
        <v>2.1466615206600508E-12</v>
      </c>
      <c r="AM189" s="62">
        <f t="shared" si="113"/>
        <v>293.33333333333547</v>
      </c>
      <c r="AN189" s="62">
        <f ca="1">AVERAGE(OFFSET($AM$3,0,0,'Données projet'!$E$10+1,1))-AVERAGE(OFFSET($H$3,0,0,'Données projet'!$E$10+1,1))</f>
        <v>212.11273590951606</v>
      </c>
      <c r="AO189" s="62">
        <f t="shared" si="144"/>
        <v>240.9595690943346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2.2737367544323206E-13</v>
      </c>
      <c r="BE189" s="14">
        <f>BD189*VLOOKUP('Données projet'!$B$11,Paramètres!$A$1:$I$89,3,0)*VLOOKUP('Données projet'!$B$11,Paramètres!$A$1:$I$89,5,0)</f>
        <v>1.3596945791505279E-13</v>
      </c>
      <c r="BF189" s="14">
        <f t="shared" si="167"/>
        <v>1.9708830566360721E-12</v>
      </c>
      <c r="BG189" s="22">
        <f t="shared" si="168"/>
        <v>3.669434796176543E-12</v>
      </c>
      <c r="BH189" s="62">
        <f t="shared" si="116"/>
        <v>293.33333333333701</v>
      </c>
      <c r="BI189" s="62">
        <f ca="1">AVERAGE(OFFSET($BH$3,0,0,'Données projet'!$E$11+1,1))-AVERAGE(OFFSET($H$3,0,0,'Données projet'!$E$11+1,1))</f>
        <v>172.49153247238672</v>
      </c>
      <c r="BJ189" s="62">
        <f t="shared" si="146"/>
        <v>301.94982606323254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1.3145073922761921</v>
      </c>
      <c r="BQ189" s="23">
        <f>EXP(-LN(2)/25)*BQ188+(1-EXP(-LN(2)/25))/(LN(2)/25)*Calculateur!BL189*Calculateur!BN189*VLOOKUP('Données projet'!$B$11,Paramètres!$A$1:$I$89,3,0)*0.475*44/12</f>
        <v>0.18296336290156562</v>
      </c>
      <c r="BR189" s="23">
        <f>EXP(-LN(2)/2)*BR188+(1-EXP(-LN(2)/2))/(LN(2)/2)*BL189*BO189*VLOOKUP('Données projet'!$B$11,Paramètres!$A$1:$I$89,3,0)*0.475*44/12</f>
        <v>1.9270080979753835E-23</v>
      </c>
      <c r="BS189" s="24">
        <f t="shared" si="169"/>
        <v>1.4974707551777577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3.4106051316484809E-13</v>
      </c>
      <c r="BZ189" s="14">
        <f>BY189*VLOOKUP('Données projet'!$B$12,Paramètres!$A$1:$I$89,3,0)*VLOOKUP('Données projet'!$B$12,Paramètres!$A$1:$I$89,5,0)</f>
        <v>1.9508661353029313E-13</v>
      </c>
      <c r="CA189" s="14">
        <f t="shared" si="170"/>
        <v>2.711421636700695E-12</v>
      </c>
      <c r="CB189" s="22">
        <f t="shared" si="171"/>
        <v>5.0621685358189711E-12</v>
      </c>
      <c r="CC189" s="62">
        <f t="shared" si="119"/>
        <v>293.33333333333837</v>
      </c>
      <c r="CD189" s="62">
        <f ca="1">AVERAGE(OFFSET($CC$3,0,0,'Données projet'!$E$12+1,1))-AVERAGE(OFFSET($H$3,0,0,'Données projet'!$E$12+1,1))</f>
        <v>177.71338645688661</v>
      </c>
      <c r="CE189" s="62">
        <f t="shared" si="148"/>
        <v>153.65872713651345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2.3503991379964406E-2</v>
      </c>
      <c r="CM189" s="23">
        <f>EXP(-LN(2)/2)*CM188+(1-EXP(-LN(2)/2))/(LN(2)/2)*CG189*CJ189*VLOOKUP('Données projet'!$B$12,Paramètres!$A$1:$I$89,3,0)*0.475*44/12</f>
        <v>2.2728363546512247E-24</v>
      </c>
      <c r="CN189" s="24">
        <f t="shared" si="172"/>
        <v>2.3503991379964406E-2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-7.4487616075202823E-14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118.65321241325523</v>
      </c>
      <c r="CZ189" s="62">
        <f t="shared" si="150"/>
        <v>140.55041555757327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-5.1159076974727213E-13</v>
      </c>
      <c r="DP189" s="18">
        <f>DO189*VLOOKUP('Données projet'!$B$14,Paramètres!$A$1:$I$89,3,0)*VLOOKUP('Données projet'!$B$14,Paramètres!$A$1:$I$89,5,0)</f>
        <v>-5.1875304052373401E-13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328.70784159273131</v>
      </c>
      <c r="DU189" s="62">
        <f t="shared" si="152"/>
        <v>193.18009444354601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177.70053246230015</v>
      </c>
      <c r="T190" s="62">
        <f t="shared" si="142"/>
        <v>85.631326020763254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8.5265128291212022E-14</v>
      </c>
      <c r="AJ190" s="14">
        <f>AI190*VLOOKUP('Données projet'!$B$10,Paramètres!$A$1:$I$89,3,0)*VLOOKUP('Données projet'!$B$10,Paramètres!$A$1:$I$89,5,0)</f>
        <v>7.4487616075202836E-14</v>
      </c>
      <c r="AK190" s="14">
        <f t="shared" si="164"/>
        <v>1.1580453144473142E-12</v>
      </c>
      <c r="AL190" s="22">
        <f t="shared" si="165"/>
        <v>2.1466615206600508E-12</v>
      </c>
      <c r="AM190" s="62">
        <f t="shared" si="113"/>
        <v>293.33333333333547</v>
      </c>
      <c r="AN190" s="62">
        <f ca="1">AVERAGE(OFFSET($AM$3,0,0,'Données projet'!$E$10+1,1))-AVERAGE(OFFSET($H$3,0,0,'Données projet'!$E$10+1,1))</f>
        <v>212.11273590951606</v>
      </c>
      <c r="AO190" s="62">
        <f t="shared" si="144"/>
        <v>240.9595690943346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2.2737367544323206E-13</v>
      </c>
      <c r="BE190" s="14">
        <f>BD190*VLOOKUP('Données projet'!$B$11,Paramètres!$A$1:$I$89,3,0)*VLOOKUP('Données projet'!$B$11,Paramètres!$A$1:$I$89,5,0)</f>
        <v>1.3596945791505279E-13</v>
      </c>
      <c r="BF190" s="14">
        <f t="shared" si="167"/>
        <v>1.9708830566360721E-12</v>
      </c>
      <c r="BG190" s="22">
        <f t="shared" si="168"/>
        <v>3.669434796176543E-12</v>
      </c>
      <c r="BH190" s="62">
        <f t="shared" si="116"/>
        <v>293.33333333333701</v>
      </c>
      <c r="BI190" s="62">
        <f ca="1">AVERAGE(OFFSET($BH$3,0,0,'Données projet'!$E$11+1,1))-AVERAGE(OFFSET($H$3,0,0,'Données projet'!$E$11+1,1))</f>
        <v>172.49153247238672</v>
      </c>
      <c r="BJ190" s="62">
        <f t="shared" si="146"/>
        <v>301.94982606323254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1.288730704083997</v>
      </c>
      <c r="BQ190" s="23">
        <f>EXP(-LN(2)/25)*BQ189+(1-EXP(-LN(2)/25))/(LN(2)/25)*Calculateur!BL190*Calculateur!BN190*VLOOKUP('Données projet'!$B$11,Paramètres!$A$1:$I$89,3,0)*0.475*44/12</f>
        <v>0.17796022012139723</v>
      </c>
      <c r="BR190" s="23">
        <f>EXP(-LN(2)/2)*BR189+(1-EXP(-LN(2)/2))/(LN(2)/2)*BL190*BO190*VLOOKUP('Données projet'!$B$11,Paramètres!$A$1:$I$89,3,0)*0.475*44/12</f>
        <v>1.3626004934797847E-23</v>
      </c>
      <c r="BS190" s="24">
        <f t="shared" si="169"/>
        <v>1.4666909242053943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3.4106051316484809E-13</v>
      </c>
      <c r="BZ190" s="14">
        <f>BY190*VLOOKUP('Données projet'!$B$12,Paramètres!$A$1:$I$89,3,0)*VLOOKUP('Données projet'!$B$12,Paramètres!$A$1:$I$89,5,0)</f>
        <v>1.9508661353029313E-13</v>
      </c>
      <c r="CA190" s="14">
        <f t="shared" si="170"/>
        <v>2.711421636700695E-12</v>
      </c>
      <c r="CB190" s="22">
        <f t="shared" si="171"/>
        <v>5.0621685358189711E-12</v>
      </c>
      <c r="CC190" s="62">
        <f t="shared" si="119"/>
        <v>293.33333333333837</v>
      </c>
      <c r="CD190" s="62">
        <f ca="1">AVERAGE(OFFSET($CC$3,0,0,'Données projet'!$E$12+1,1))-AVERAGE(OFFSET($H$3,0,0,'Données projet'!$E$12+1,1))</f>
        <v>177.71338645688661</v>
      </c>
      <c r="CE190" s="62">
        <f t="shared" si="148"/>
        <v>153.65872713651345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2.2861273499658091E-2</v>
      </c>
      <c r="CM190" s="23">
        <f>EXP(-LN(2)/2)*CM189+(1-EXP(-LN(2)/2))/(LN(2)/2)*CG190*CJ190*VLOOKUP('Données projet'!$B$12,Paramètres!$A$1:$I$89,3,0)*0.475*44/12</f>
        <v>1.6071379989011939E-24</v>
      </c>
      <c r="CN190" s="24">
        <f t="shared" si="172"/>
        <v>2.2861273499658091E-2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-7.4487616075202823E-14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118.65321241325523</v>
      </c>
      <c r="CZ190" s="62">
        <f t="shared" si="150"/>
        <v>140.55041555757327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-5.1159076974727213E-13</v>
      </c>
      <c r="DP190" s="18">
        <f>DO190*VLOOKUP('Données projet'!$B$14,Paramètres!$A$1:$I$89,3,0)*VLOOKUP('Données projet'!$B$14,Paramètres!$A$1:$I$89,5,0)</f>
        <v>-5.1875304052373401E-13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328.70784159273131</v>
      </c>
      <c r="DU190" s="62">
        <f t="shared" si="152"/>
        <v>193.18009444354601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177.70053246230015</v>
      </c>
      <c r="T191" s="62">
        <f t="shared" si="142"/>
        <v>85.631326020763254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8.5265128291212022E-14</v>
      </c>
      <c r="AJ191" s="14">
        <f>AI191*VLOOKUP('Données projet'!$B$10,Paramètres!$A$1:$I$89,3,0)*VLOOKUP('Données projet'!$B$10,Paramètres!$A$1:$I$89,5,0)</f>
        <v>7.4487616075202836E-14</v>
      </c>
      <c r="AK191" s="14">
        <f t="shared" si="164"/>
        <v>1.1580453144473142E-12</v>
      </c>
      <c r="AL191" s="22">
        <f t="shared" si="165"/>
        <v>2.1466615206600508E-12</v>
      </c>
      <c r="AM191" s="62">
        <f t="shared" si="113"/>
        <v>293.33333333333547</v>
      </c>
      <c r="AN191" s="62">
        <f ca="1">AVERAGE(OFFSET($AM$3,0,0,'Données projet'!$E$10+1,1))-AVERAGE(OFFSET($H$3,0,0,'Données projet'!$E$10+1,1))</f>
        <v>212.11273590951606</v>
      </c>
      <c r="AO191" s="62">
        <f t="shared" si="144"/>
        <v>240.9595690943346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2.2737367544323206E-13</v>
      </c>
      <c r="BE191" s="14">
        <f>BD191*VLOOKUP('Données projet'!$B$11,Paramètres!$A$1:$I$89,3,0)*VLOOKUP('Données projet'!$B$11,Paramètres!$A$1:$I$89,5,0)</f>
        <v>1.3596945791505279E-13</v>
      </c>
      <c r="BF191" s="14">
        <f t="shared" si="167"/>
        <v>1.9708830566360721E-12</v>
      </c>
      <c r="BG191" s="22">
        <f t="shared" si="168"/>
        <v>3.669434796176543E-12</v>
      </c>
      <c r="BH191" s="62">
        <f t="shared" si="116"/>
        <v>293.33333333333701</v>
      </c>
      <c r="BI191" s="62">
        <f ca="1">AVERAGE(OFFSET($BH$3,0,0,'Données projet'!$E$11+1,1))-AVERAGE(OFFSET($H$3,0,0,'Données projet'!$E$11+1,1))</f>
        <v>172.49153247238672</v>
      </c>
      <c r="BJ191" s="62">
        <f t="shared" si="146"/>
        <v>301.94982606323254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1.2634594810250235</v>
      </c>
      <c r="BQ191" s="23">
        <f>EXP(-LN(2)/25)*BQ190+(1-EXP(-LN(2)/25))/(LN(2)/25)*Calculateur!BL191*Calculateur!BN191*VLOOKUP('Données projet'!$B$11,Paramètres!$A$1:$I$89,3,0)*0.475*44/12</f>
        <v>0.17309388854365637</v>
      </c>
      <c r="BR191" s="23">
        <f>EXP(-LN(2)/2)*BR190+(1-EXP(-LN(2)/2))/(LN(2)/2)*BL191*BO191*VLOOKUP('Données projet'!$B$11,Paramètres!$A$1:$I$89,3,0)*0.475*44/12</f>
        <v>9.6350404898769177E-24</v>
      </c>
      <c r="BS191" s="24">
        <f t="shared" si="169"/>
        <v>1.4365533695686798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3.4106051316484809E-13</v>
      </c>
      <c r="BZ191" s="14">
        <f>BY191*VLOOKUP('Données projet'!$B$12,Paramètres!$A$1:$I$89,3,0)*VLOOKUP('Données projet'!$B$12,Paramètres!$A$1:$I$89,5,0)</f>
        <v>1.9508661353029313E-13</v>
      </c>
      <c r="CA191" s="14">
        <f t="shared" si="170"/>
        <v>2.711421636700695E-12</v>
      </c>
      <c r="CB191" s="22">
        <f t="shared" si="171"/>
        <v>5.0621685358189711E-12</v>
      </c>
      <c r="CC191" s="62">
        <f t="shared" si="119"/>
        <v>293.33333333333837</v>
      </c>
      <c r="CD191" s="62">
        <f ca="1">AVERAGE(OFFSET($CC$3,0,0,'Données projet'!$E$12+1,1))-AVERAGE(OFFSET($H$3,0,0,'Données projet'!$E$12+1,1))</f>
        <v>177.71338645688661</v>
      </c>
      <c r="CE191" s="62">
        <f t="shared" si="148"/>
        <v>153.65872713651345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2.2236130773587819E-2</v>
      </c>
      <c r="CM191" s="23">
        <f>EXP(-LN(2)/2)*CM190+(1-EXP(-LN(2)/2))/(LN(2)/2)*CG191*CJ191*VLOOKUP('Données projet'!$B$12,Paramètres!$A$1:$I$89,3,0)*0.475*44/12</f>
        <v>1.1364181773256125E-24</v>
      </c>
      <c r="CN191" s="24">
        <f t="shared" si="172"/>
        <v>2.2236130773587819E-2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-7.4487616075202823E-14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118.65321241325523</v>
      </c>
      <c r="CZ191" s="62">
        <f t="shared" si="150"/>
        <v>140.55041555757327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-5.1159076974727213E-13</v>
      </c>
      <c r="DP191" s="18">
        <f>DO191*VLOOKUP('Données projet'!$B$14,Paramètres!$A$1:$I$89,3,0)*VLOOKUP('Données projet'!$B$14,Paramètres!$A$1:$I$89,5,0)</f>
        <v>-5.1875304052373401E-13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328.70784159273131</v>
      </c>
      <c r="DU191" s="62">
        <f t="shared" si="152"/>
        <v>193.18009444354601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177.70053246230015</v>
      </c>
      <c r="T192" s="62">
        <f t="shared" si="142"/>
        <v>85.631326020763254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8.5265128291212022E-14</v>
      </c>
      <c r="AJ192" s="14">
        <f>AI192*VLOOKUP('Données projet'!$B$10,Paramètres!$A$1:$I$89,3,0)*VLOOKUP('Données projet'!$B$10,Paramètres!$A$1:$I$89,5,0)</f>
        <v>7.4487616075202836E-14</v>
      </c>
      <c r="AK192" s="14">
        <f t="shared" si="164"/>
        <v>1.1580453144473142E-12</v>
      </c>
      <c r="AL192" s="22">
        <f t="shared" si="165"/>
        <v>2.1466615206600508E-12</v>
      </c>
      <c r="AM192" s="62">
        <f t="shared" si="113"/>
        <v>293.33333333333547</v>
      </c>
      <c r="AN192" s="62">
        <f ca="1">AVERAGE(OFFSET($AM$3,0,0,'Données projet'!$E$10+1,1))-AVERAGE(OFFSET($H$3,0,0,'Données projet'!$E$10+1,1))</f>
        <v>212.11273590951606</v>
      </c>
      <c r="AO192" s="62">
        <f t="shared" si="144"/>
        <v>240.9595690943346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2.2737367544323206E-13</v>
      </c>
      <c r="BE192" s="14">
        <f>BD192*VLOOKUP('Données projet'!$B$11,Paramètres!$A$1:$I$89,3,0)*VLOOKUP('Données projet'!$B$11,Paramètres!$A$1:$I$89,5,0)</f>
        <v>1.3596945791505279E-13</v>
      </c>
      <c r="BF192" s="14">
        <f t="shared" si="167"/>
        <v>1.9708830566360721E-12</v>
      </c>
      <c r="BG192" s="22">
        <f t="shared" si="168"/>
        <v>3.669434796176543E-12</v>
      </c>
      <c r="BH192" s="62">
        <f t="shared" si="116"/>
        <v>293.33333333333701</v>
      </c>
      <c r="BI192" s="62">
        <f ca="1">AVERAGE(OFFSET($BH$3,0,0,'Données projet'!$E$11+1,1))-AVERAGE(OFFSET($H$3,0,0,'Données projet'!$E$11+1,1))</f>
        <v>172.49153247238672</v>
      </c>
      <c r="BJ192" s="62">
        <f t="shared" si="146"/>
        <v>301.94982606323254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1.2386838112363123</v>
      </c>
      <c r="BQ192" s="23">
        <f>EXP(-LN(2)/25)*BQ191+(1-EXP(-LN(2)/25))/(LN(2)/25)*Calculateur!BL192*Calculateur!BN192*VLOOKUP('Données projet'!$B$11,Paramètres!$A$1:$I$89,3,0)*0.475*44/12</f>
        <v>0.1683606270588181</v>
      </c>
      <c r="BR192" s="23">
        <f>EXP(-LN(2)/2)*BR191+(1-EXP(-LN(2)/2))/(LN(2)/2)*BL192*BO192*VLOOKUP('Données projet'!$B$11,Paramètres!$A$1:$I$89,3,0)*0.475*44/12</f>
        <v>6.8130024673989233E-24</v>
      </c>
      <c r="BS192" s="24">
        <f t="shared" si="169"/>
        <v>1.4070444382951304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3.4106051316484809E-13</v>
      </c>
      <c r="BZ192" s="14">
        <f>BY192*VLOOKUP('Données projet'!$B$12,Paramètres!$A$1:$I$89,3,0)*VLOOKUP('Données projet'!$B$12,Paramètres!$A$1:$I$89,5,0)</f>
        <v>1.9508661353029313E-13</v>
      </c>
      <c r="CA192" s="14">
        <f t="shared" si="170"/>
        <v>2.711421636700695E-12</v>
      </c>
      <c r="CB192" s="22">
        <f t="shared" si="171"/>
        <v>5.0621685358189711E-12</v>
      </c>
      <c r="CC192" s="62">
        <f t="shared" si="119"/>
        <v>293.33333333333837</v>
      </c>
      <c r="CD192" s="62">
        <f ca="1">AVERAGE(OFFSET($CC$3,0,0,'Données projet'!$E$12+1,1))-AVERAGE(OFFSET($H$3,0,0,'Données projet'!$E$12+1,1))</f>
        <v>177.71338645688661</v>
      </c>
      <c r="CE192" s="62">
        <f t="shared" si="148"/>
        <v>153.65872713651345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2.1628082608236763E-2</v>
      </c>
      <c r="CM192" s="23">
        <f>EXP(-LN(2)/2)*CM191+(1-EXP(-LN(2)/2))/(LN(2)/2)*CG192*CJ192*VLOOKUP('Données projet'!$B$12,Paramètres!$A$1:$I$89,3,0)*0.475*44/12</f>
        <v>8.0356899945059706E-25</v>
      </c>
      <c r="CN192" s="24">
        <f t="shared" si="172"/>
        <v>2.1628082608236763E-2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-7.4487616075202823E-14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118.65321241325523</v>
      </c>
      <c r="CZ192" s="62">
        <f t="shared" si="150"/>
        <v>140.55041555757327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-5.1159076974727213E-13</v>
      </c>
      <c r="DP192" s="18">
        <f>DO192*VLOOKUP('Données projet'!$B$14,Paramètres!$A$1:$I$89,3,0)*VLOOKUP('Données projet'!$B$14,Paramètres!$A$1:$I$89,5,0)</f>
        <v>-5.1875304052373401E-13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328.70784159273131</v>
      </c>
      <c r="DU192" s="62">
        <f t="shared" si="152"/>
        <v>193.18009444354601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177.70053246230015</v>
      </c>
      <c r="T193" s="62">
        <f t="shared" si="142"/>
        <v>85.631326020763254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8.5265128291212022E-14</v>
      </c>
      <c r="AJ193" s="14">
        <f>AI193*VLOOKUP('Données projet'!$B$10,Paramètres!$A$1:$I$89,3,0)*VLOOKUP('Données projet'!$B$10,Paramètres!$A$1:$I$89,5,0)</f>
        <v>7.4487616075202836E-14</v>
      </c>
      <c r="AK193" s="14">
        <f t="shared" si="164"/>
        <v>1.1580453144473142E-12</v>
      </c>
      <c r="AL193" s="22">
        <f t="shared" si="165"/>
        <v>2.1466615206600508E-12</v>
      </c>
      <c r="AM193" s="62">
        <f t="shared" si="113"/>
        <v>293.33333333333547</v>
      </c>
      <c r="AN193" s="62">
        <f ca="1">AVERAGE(OFFSET($AM$3,0,0,'Données projet'!$E$10+1,1))-AVERAGE(OFFSET($H$3,0,0,'Données projet'!$E$10+1,1))</f>
        <v>212.11273590951606</v>
      </c>
      <c r="AO193" s="62">
        <f t="shared" si="144"/>
        <v>240.9595690943346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2.2737367544323206E-13</v>
      </c>
      <c r="BE193" s="14">
        <f>BD193*VLOOKUP('Données projet'!$B$11,Paramètres!$A$1:$I$89,3,0)*VLOOKUP('Données projet'!$B$11,Paramètres!$A$1:$I$89,5,0)</f>
        <v>1.3596945791505279E-13</v>
      </c>
      <c r="BF193" s="14">
        <f t="shared" si="167"/>
        <v>1.9708830566360721E-12</v>
      </c>
      <c r="BG193" s="22">
        <f t="shared" si="168"/>
        <v>3.669434796176543E-12</v>
      </c>
      <c r="BH193" s="62">
        <f t="shared" si="116"/>
        <v>293.33333333333701</v>
      </c>
      <c r="BI193" s="62">
        <f ca="1">AVERAGE(OFFSET($BH$3,0,0,'Données projet'!$E$11+1,1))-AVERAGE(OFFSET($H$3,0,0,'Données projet'!$E$11+1,1))</f>
        <v>172.49153247238672</v>
      </c>
      <c r="BJ193" s="62">
        <f t="shared" si="146"/>
        <v>301.94982606323254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1.2143939772204915</v>
      </c>
      <c r="BQ193" s="23">
        <f>EXP(-LN(2)/25)*BQ192+(1-EXP(-LN(2)/25))/(LN(2)/25)*Calculateur!BL193*Calculateur!BN193*VLOOKUP('Données projet'!$B$11,Paramètres!$A$1:$I$89,3,0)*0.475*44/12</f>
        <v>0.16375679685819414</v>
      </c>
      <c r="BR193" s="23">
        <f>EXP(-LN(2)/2)*BR192+(1-EXP(-LN(2)/2))/(LN(2)/2)*BL193*BO193*VLOOKUP('Données projet'!$B$11,Paramètres!$A$1:$I$89,3,0)*0.475*44/12</f>
        <v>4.8175202449384589E-24</v>
      </c>
      <c r="BS193" s="24">
        <f t="shared" si="169"/>
        <v>1.3781507740786856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3.4106051316484809E-13</v>
      </c>
      <c r="BZ193" s="14">
        <f>BY193*VLOOKUP('Données projet'!$B$12,Paramètres!$A$1:$I$89,3,0)*VLOOKUP('Données projet'!$B$12,Paramètres!$A$1:$I$89,5,0)</f>
        <v>1.9508661353029313E-13</v>
      </c>
      <c r="CA193" s="14">
        <f t="shared" si="170"/>
        <v>2.711421636700695E-12</v>
      </c>
      <c r="CB193" s="22">
        <f t="shared" si="171"/>
        <v>5.0621685358189711E-12</v>
      </c>
      <c r="CC193" s="62">
        <f t="shared" si="119"/>
        <v>293.33333333333837</v>
      </c>
      <c r="CD193" s="62">
        <f ca="1">AVERAGE(OFFSET($CC$3,0,0,'Données projet'!$E$12+1,1))-AVERAGE(OFFSET($H$3,0,0,'Données projet'!$E$12+1,1))</f>
        <v>177.71338645688661</v>
      </c>
      <c r="CE193" s="62">
        <f t="shared" si="148"/>
        <v>153.65872713651345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2.1036661551943097E-2</v>
      </c>
      <c r="CM193" s="23">
        <f>EXP(-LN(2)/2)*CM192+(1-EXP(-LN(2)/2))/(LN(2)/2)*CG193*CJ193*VLOOKUP('Données projet'!$B$12,Paramètres!$A$1:$I$89,3,0)*0.475*44/12</f>
        <v>5.6820908866280635E-25</v>
      </c>
      <c r="CN193" s="24">
        <f t="shared" si="172"/>
        <v>2.1036661551943097E-2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-7.4487616075202823E-14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118.65321241325523</v>
      </c>
      <c r="CZ193" s="62">
        <f t="shared" si="150"/>
        <v>140.55041555757327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-5.1159076974727213E-13</v>
      </c>
      <c r="DP193" s="18">
        <f>DO193*VLOOKUP('Données projet'!$B$14,Paramètres!$A$1:$I$89,3,0)*VLOOKUP('Données projet'!$B$14,Paramètres!$A$1:$I$89,5,0)</f>
        <v>-5.1875304052373401E-13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328.70784159273131</v>
      </c>
      <c r="DU193" s="62">
        <f t="shared" si="152"/>
        <v>193.18009444354601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177.70053246230015</v>
      </c>
      <c r="T194" s="62">
        <f t="shared" si="142"/>
        <v>85.631326020763254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8.5265128291212022E-14</v>
      </c>
      <c r="AJ194" s="14">
        <f>AI194*VLOOKUP('Données projet'!$B$10,Paramètres!$A$1:$I$89,3,0)*VLOOKUP('Données projet'!$B$10,Paramètres!$A$1:$I$89,5,0)</f>
        <v>7.4487616075202836E-14</v>
      </c>
      <c r="AK194" s="14">
        <f t="shared" si="164"/>
        <v>1.1580453144473142E-12</v>
      </c>
      <c r="AL194" s="22">
        <f t="shared" si="165"/>
        <v>2.1466615206600508E-12</v>
      </c>
      <c r="AM194" s="62">
        <f t="shared" si="113"/>
        <v>293.33333333333547</v>
      </c>
      <c r="AN194" s="62">
        <f ca="1">AVERAGE(OFFSET($AM$3,0,0,'Données projet'!$E$10+1,1))-AVERAGE(OFFSET($H$3,0,0,'Données projet'!$E$10+1,1))</f>
        <v>212.11273590951606</v>
      </c>
      <c r="AO194" s="62">
        <f t="shared" si="144"/>
        <v>240.9595690943346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2.2737367544323206E-13</v>
      </c>
      <c r="BE194" s="14">
        <f>BD194*VLOOKUP('Données projet'!$B$11,Paramètres!$A$1:$I$89,3,0)*VLOOKUP('Données projet'!$B$11,Paramètres!$A$1:$I$89,5,0)</f>
        <v>1.3596945791505279E-13</v>
      </c>
      <c r="BF194" s="14">
        <f t="shared" si="167"/>
        <v>1.9708830566360721E-12</v>
      </c>
      <c r="BG194" s="22">
        <f t="shared" si="168"/>
        <v>3.669434796176543E-12</v>
      </c>
      <c r="BH194" s="62">
        <f t="shared" si="116"/>
        <v>293.33333333333701</v>
      </c>
      <c r="BI194" s="62">
        <f ca="1">AVERAGE(OFFSET($BH$3,0,0,'Données projet'!$E$11+1,1))-AVERAGE(OFFSET($H$3,0,0,'Données projet'!$E$11+1,1))</f>
        <v>172.49153247238672</v>
      </c>
      <c r="BJ194" s="62">
        <f t="shared" si="146"/>
        <v>301.94982606323254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1.190580452034385</v>
      </c>
      <c r="BQ194" s="23">
        <f>EXP(-LN(2)/25)*BQ193+(1-EXP(-LN(2)/25))/(LN(2)/25)*Calculateur!BL194*Calculateur!BN194*VLOOKUP('Données projet'!$B$11,Paramètres!$A$1:$I$89,3,0)*0.475*44/12</f>
        <v>0.15927885863651114</v>
      </c>
      <c r="BR194" s="23">
        <f>EXP(-LN(2)/2)*BR193+(1-EXP(-LN(2)/2))/(LN(2)/2)*BL194*BO194*VLOOKUP('Données projet'!$B$11,Paramètres!$A$1:$I$89,3,0)*0.475*44/12</f>
        <v>3.4065012336994616E-24</v>
      </c>
      <c r="BS194" s="24">
        <f t="shared" si="169"/>
        <v>1.349859310670896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3.4106051316484809E-13</v>
      </c>
      <c r="BZ194" s="14">
        <f>BY194*VLOOKUP('Données projet'!$B$12,Paramètres!$A$1:$I$89,3,0)*VLOOKUP('Données projet'!$B$12,Paramètres!$A$1:$I$89,5,0)</f>
        <v>1.9508661353029313E-13</v>
      </c>
      <c r="CA194" s="14">
        <f t="shared" si="170"/>
        <v>2.711421636700695E-12</v>
      </c>
      <c r="CB194" s="22">
        <f t="shared" si="171"/>
        <v>5.0621685358189711E-12</v>
      </c>
      <c r="CC194" s="62">
        <f t="shared" si="119"/>
        <v>293.33333333333837</v>
      </c>
      <c r="CD194" s="62">
        <f ca="1">AVERAGE(OFFSET($CC$3,0,0,'Données projet'!$E$12+1,1))-AVERAGE(OFFSET($H$3,0,0,'Données projet'!$E$12+1,1))</f>
        <v>177.71338645688661</v>
      </c>
      <c r="CE194" s="62">
        <f t="shared" si="148"/>
        <v>153.65872713651345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2.0461412935535262E-2</v>
      </c>
      <c r="CM194" s="23">
        <f>EXP(-LN(2)/2)*CM193+(1-EXP(-LN(2)/2))/(LN(2)/2)*CG194*CJ194*VLOOKUP('Données projet'!$B$12,Paramètres!$A$1:$I$89,3,0)*0.475*44/12</f>
        <v>4.0178449972529862E-25</v>
      </c>
      <c r="CN194" s="24">
        <f t="shared" si="172"/>
        <v>2.0461412935535262E-2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-7.4487616075202823E-14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118.65321241325523</v>
      </c>
      <c r="CZ194" s="62">
        <f t="shared" si="150"/>
        <v>140.55041555757327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-5.1159076974727213E-13</v>
      </c>
      <c r="DP194" s="18">
        <f>DO194*VLOOKUP('Données projet'!$B$14,Paramètres!$A$1:$I$89,3,0)*VLOOKUP('Données projet'!$B$14,Paramètres!$A$1:$I$89,5,0)</f>
        <v>-5.1875304052373401E-13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328.70784159273131</v>
      </c>
      <c r="DU194" s="62">
        <f t="shared" si="152"/>
        <v>193.18009444354601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177.70053246230015</v>
      </c>
      <c r="T195" s="62">
        <f t="shared" si="142"/>
        <v>85.631326020763254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8.5265128291212022E-14</v>
      </c>
      <c r="AJ195" s="14">
        <f>AI195*VLOOKUP('Données projet'!$B$10,Paramètres!$A$1:$I$89,3,0)*VLOOKUP('Données projet'!$B$10,Paramètres!$A$1:$I$89,5,0)</f>
        <v>7.4487616075202836E-14</v>
      </c>
      <c r="AK195" s="14">
        <f t="shared" si="164"/>
        <v>1.1580453144473142E-12</v>
      </c>
      <c r="AL195" s="22">
        <f t="shared" si="165"/>
        <v>2.1466615206600508E-12</v>
      </c>
      <c r="AM195" s="62">
        <f t="shared" si="113"/>
        <v>293.33333333333547</v>
      </c>
      <c r="AN195" s="62">
        <f ca="1">AVERAGE(OFFSET($AM$3,0,0,'Données projet'!$E$10+1,1))-AVERAGE(OFFSET($H$3,0,0,'Données projet'!$E$10+1,1))</f>
        <v>212.11273590951606</v>
      </c>
      <c r="AO195" s="62">
        <f t="shared" si="144"/>
        <v>240.9595690943346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2.2737367544323206E-13</v>
      </c>
      <c r="BE195" s="14">
        <f>BD195*VLOOKUP('Données projet'!$B$11,Paramètres!$A$1:$I$89,3,0)*VLOOKUP('Données projet'!$B$11,Paramètres!$A$1:$I$89,5,0)</f>
        <v>1.3596945791505279E-13</v>
      </c>
      <c r="BF195" s="14">
        <f t="shared" si="167"/>
        <v>1.9708830566360721E-12</v>
      </c>
      <c r="BG195" s="22">
        <f t="shared" si="168"/>
        <v>3.669434796176543E-12</v>
      </c>
      <c r="BH195" s="62">
        <f t="shared" si="116"/>
        <v>293.33333333333701</v>
      </c>
      <c r="BI195" s="62">
        <f ca="1">AVERAGE(OFFSET($BH$3,0,0,'Données projet'!$E$11+1,1))-AVERAGE(OFFSET($H$3,0,0,'Données projet'!$E$11+1,1))</f>
        <v>172.49153247238672</v>
      </c>
      <c r="BJ195" s="62">
        <f t="shared" si="146"/>
        <v>301.94982606323254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1.167233895552362</v>
      </c>
      <c r="BQ195" s="23">
        <f>EXP(-LN(2)/25)*BQ194+(1-EXP(-LN(2)/25))/(LN(2)/25)*Calculateur!BL195*Calculateur!BN195*VLOOKUP('Données projet'!$B$11,Paramètres!$A$1:$I$89,3,0)*0.475*44/12</f>
        <v>0.1549233698709846</v>
      </c>
      <c r="BR195" s="23">
        <f>EXP(-LN(2)/2)*BR194+(1-EXP(-LN(2)/2))/(LN(2)/2)*BL195*BO195*VLOOKUP('Données projet'!$B$11,Paramètres!$A$1:$I$89,3,0)*0.475*44/12</f>
        <v>2.4087601224692294E-24</v>
      </c>
      <c r="BS195" s="24">
        <f t="shared" si="169"/>
        <v>1.3221572654233467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3.4106051316484809E-13</v>
      </c>
      <c r="BZ195" s="14">
        <f>BY195*VLOOKUP('Données projet'!$B$12,Paramètres!$A$1:$I$89,3,0)*VLOOKUP('Données projet'!$B$12,Paramètres!$A$1:$I$89,5,0)</f>
        <v>1.9508661353029313E-13</v>
      </c>
      <c r="CA195" s="14">
        <f t="shared" si="170"/>
        <v>2.711421636700695E-12</v>
      </c>
      <c r="CB195" s="22">
        <f t="shared" si="171"/>
        <v>5.0621685358189711E-12</v>
      </c>
      <c r="CC195" s="62">
        <f t="shared" si="119"/>
        <v>293.33333333333837</v>
      </c>
      <c r="CD195" s="62">
        <f ca="1">AVERAGE(OFFSET($CC$3,0,0,'Données projet'!$E$12+1,1))-AVERAGE(OFFSET($H$3,0,0,'Données projet'!$E$12+1,1))</f>
        <v>177.71338645688661</v>
      </c>
      <c r="CE195" s="62">
        <f t="shared" si="148"/>
        <v>153.65872713651345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1.990189452279411E-2</v>
      </c>
      <c r="CM195" s="23">
        <f>EXP(-LN(2)/2)*CM194+(1-EXP(-LN(2)/2))/(LN(2)/2)*CG195*CJ195*VLOOKUP('Données projet'!$B$12,Paramètres!$A$1:$I$89,3,0)*0.475*44/12</f>
        <v>2.8410454433140322E-25</v>
      </c>
      <c r="CN195" s="24">
        <f t="shared" si="172"/>
        <v>1.990189452279411E-2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-7.4487616075202823E-14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118.65321241325523</v>
      </c>
      <c r="CZ195" s="62">
        <f t="shared" si="150"/>
        <v>140.55041555757327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-5.1159076974727213E-13</v>
      </c>
      <c r="DP195" s="18">
        <f>DO195*VLOOKUP('Données projet'!$B$14,Paramètres!$A$1:$I$89,3,0)*VLOOKUP('Données projet'!$B$14,Paramètres!$A$1:$I$89,5,0)</f>
        <v>-5.1875304052373401E-13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328.70784159273131</v>
      </c>
      <c r="DU195" s="62">
        <f t="shared" si="152"/>
        <v>193.18009444354601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177.70053246230015</v>
      </c>
      <c r="T196" s="62">
        <f t="shared" si="142"/>
        <v>85.631326020763254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8.5265128291212022E-14</v>
      </c>
      <c r="AJ196" s="14">
        <f>AI196*VLOOKUP('Données projet'!$B$10,Paramètres!$A$1:$I$89,3,0)*VLOOKUP('Données projet'!$B$10,Paramètres!$A$1:$I$89,5,0)</f>
        <v>7.4487616075202836E-14</v>
      </c>
      <c r="AK196" s="14">
        <f t="shared" si="164"/>
        <v>1.1580453144473142E-12</v>
      </c>
      <c r="AL196" s="22">
        <f t="shared" si="165"/>
        <v>2.1466615206600508E-12</v>
      </c>
      <c r="AM196" s="62">
        <f t="shared" ref="AM196:AM203" si="193">AL196+(AD196+AE196)*44/12</f>
        <v>293.33333333333547</v>
      </c>
      <c r="AN196" s="62">
        <f ca="1">AVERAGE(OFFSET($AM$3,0,0,'Données projet'!$E$10+1,1))-AVERAGE(OFFSET($H$3,0,0,'Données projet'!$E$10+1,1))</f>
        <v>212.11273590951606</v>
      </c>
      <c r="AO196" s="62">
        <f t="shared" si="144"/>
        <v>240.9595690943346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2.2737367544323206E-13</v>
      </c>
      <c r="BE196" s="14">
        <f>BD196*VLOOKUP('Données projet'!$B$11,Paramètres!$A$1:$I$89,3,0)*VLOOKUP('Données projet'!$B$11,Paramètres!$A$1:$I$89,5,0)</f>
        <v>1.3596945791505279E-13</v>
      </c>
      <c r="BF196" s="14">
        <f t="shared" si="167"/>
        <v>1.9708830566360721E-12</v>
      </c>
      <c r="BG196" s="22">
        <f t="shared" si="168"/>
        <v>3.669434796176543E-12</v>
      </c>
      <c r="BH196" s="62">
        <f t="shared" ref="BH196:BH203" si="194">BG196+(AY196+AZ196)*44/12</f>
        <v>293.33333333333701</v>
      </c>
      <c r="BI196" s="62">
        <f ca="1">AVERAGE(OFFSET($BH$3,0,0,'Données projet'!$E$11+1,1))-AVERAGE(OFFSET($H$3,0,0,'Données projet'!$E$11+1,1))</f>
        <v>172.49153247238672</v>
      </c>
      <c r="BJ196" s="62">
        <f t="shared" si="146"/>
        <v>301.94982606323254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1.1443451508029581</v>
      </c>
      <c r="BQ196" s="23">
        <f>EXP(-LN(2)/25)*BQ195+(1-EXP(-LN(2)/25))/(LN(2)/25)*Calculateur!BL196*Calculateur!BN196*VLOOKUP('Données projet'!$B$11,Paramètres!$A$1:$I$89,3,0)*0.475*44/12</f>
        <v>0.15068698217479659</v>
      </c>
      <c r="BR196" s="23">
        <f>EXP(-LN(2)/2)*BR195+(1-EXP(-LN(2)/2))/(LN(2)/2)*BL196*BO196*VLOOKUP('Données projet'!$B$11,Paramètres!$A$1:$I$89,3,0)*0.475*44/12</f>
        <v>1.7032506168497308E-24</v>
      </c>
      <c r="BS196" s="24">
        <f t="shared" si="169"/>
        <v>1.2950321329777545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3.4106051316484809E-13</v>
      </c>
      <c r="BZ196" s="14">
        <f>BY196*VLOOKUP('Données projet'!$B$12,Paramètres!$A$1:$I$89,3,0)*VLOOKUP('Données projet'!$B$12,Paramètres!$A$1:$I$89,5,0)</f>
        <v>1.9508661353029313E-13</v>
      </c>
      <c r="CA196" s="14">
        <f t="shared" si="170"/>
        <v>2.711421636700695E-12</v>
      </c>
      <c r="CB196" s="22">
        <f t="shared" si="171"/>
        <v>5.0621685358189711E-12</v>
      </c>
      <c r="CC196" s="62">
        <f t="shared" ref="CC196:CC203" si="195">CB196+(BT196+BU196)*44/12</f>
        <v>293.33333333333837</v>
      </c>
      <c r="CD196" s="62">
        <f ca="1">AVERAGE(OFFSET($CC$3,0,0,'Données projet'!$E$12+1,1))-AVERAGE(OFFSET($H$3,0,0,'Données projet'!$E$12+1,1))</f>
        <v>177.71338645688661</v>
      </c>
      <c r="CE196" s="62">
        <f t="shared" si="148"/>
        <v>153.65872713651345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1.9357676170473157E-2</v>
      </c>
      <c r="CM196" s="23">
        <f>EXP(-LN(2)/2)*CM195+(1-EXP(-LN(2)/2))/(LN(2)/2)*CG196*CJ196*VLOOKUP('Données projet'!$B$12,Paramètres!$A$1:$I$89,3,0)*0.475*44/12</f>
        <v>2.0089224986264933E-25</v>
      </c>
      <c r="CN196" s="24">
        <f t="shared" si="172"/>
        <v>1.9357676170473157E-2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-7.4487616075202823E-14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118.65321241325523</v>
      </c>
      <c r="CZ196" s="62">
        <f t="shared" si="150"/>
        <v>140.55041555757327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-5.1159076974727213E-13</v>
      </c>
      <c r="DP196" s="18">
        <f>DO196*VLOOKUP('Données projet'!$B$14,Paramètres!$A$1:$I$89,3,0)*VLOOKUP('Données projet'!$B$14,Paramètres!$A$1:$I$89,5,0)</f>
        <v>-5.1875304052373401E-13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328.70784159273131</v>
      </c>
      <c r="DU196" s="62">
        <f t="shared" si="152"/>
        <v>193.18009444354601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177.70053246230015</v>
      </c>
      <c r="T197" s="62">
        <f t="shared" ref="T197:T203" si="204">$T$3</f>
        <v>85.631326020763254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8.5265128291212022E-14</v>
      </c>
      <c r="AJ197" s="14">
        <f>AI197*VLOOKUP('Données projet'!$B$10,Paramètres!$A$1:$I$89,3,0)*VLOOKUP('Données projet'!$B$10,Paramètres!$A$1:$I$89,5,0)</f>
        <v>7.4487616075202836E-14</v>
      </c>
      <c r="AK197" s="14">
        <f t="shared" si="164"/>
        <v>1.1580453144473142E-12</v>
      </c>
      <c r="AL197" s="22">
        <f t="shared" si="165"/>
        <v>2.1466615206600508E-12</v>
      </c>
      <c r="AM197" s="62">
        <f t="shared" si="193"/>
        <v>293.33333333333547</v>
      </c>
      <c r="AN197" s="62">
        <f ca="1">AVERAGE(OFFSET($AM$3,0,0,'Données projet'!$E$10+1,1))-AVERAGE(OFFSET($H$3,0,0,'Données projet'!$E$10+1,1))</f>
        <v>212.11273590951606</v>
      </c>
      <c r="AO197" s="62">
        <f t="shared" ref="AO197:AO203" si="205">$AO$3</f>
        <v>240.9595690943346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2.2737367544323206E-13</v>
      </c>
      <c r="BE197" s="14">
        <f>BD197*VLOOKUP('Données projet'!$B$11,Paramètres!$A$1:$I$89,3,0)*VLOOKUP('Données projet'!$B$11,Paramètres!$A$1:$I$89,5,0)</f>
        <v>1.3596945791505279E-13</v>
      </c>
      <c r="BF197" s="14">
        <f t="shared" si="167"/>
        <v>1.9708830566360721E-12</v>
      </c>
      <c r="BG197" s="22">
        <f t="shared" si="168"/>
        <v>3.669434796176543E-12</v>
      </c>
      <c r="BH197" s="62">
        <f t="shared" si="194"/>
        <v>293.33333333333701</v>
      </c>
      <c r="BI197" s="62">
        <f ca="1">AVERAGE(OFFSET($BH$3,0,0,'Données projet'!$E$11+1,1))-AVERAGE(OFFSET($H$3,0,0,'Données projet'!$E$11+1,1))</f>
        <v>172.49153247238672</v>
      </c>
      <c r="BJ197" s="62">
        <f t="shared" ref="BJ197:BJ203" si="206">$BJ$3</f>
        <v>301.94982606323254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1.1219052403773342</v>
      </c>
      <c r="BQ197" s="23">
        <f>EXP(-LN(2)/25)*BQ196+(1-EXP(-LN(2)/25))/(LN(2)/25)*Calculateur!BL197*Calculateur!BN197*VLOOKUP('Données projet'!$B$11,Paramètres!$A$1:$I$89,3,0)*0.475*44/12</f>
        <v>0.14656643872294278</v>
      </c>
      <c r="BR197" s="23">
        <f>EXP(-LN(2)/2)*BR196+(1-EXP(-LN(2)/2))/(LN(2)/2)*BL197*BO197*VLOOKUP('Données projet'!$B$11,Paramètres!$A$1:$I$89,3,0)*0.475*44/12</f>
        <v>1.2043800612346147E-24</v>
      </c>
      <c r="BS197" s="24">
        <f t="shared" si="169"/>
        <v>1.268471679100277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3.4106051316484809E-13</v>
      </c>
      <c r="BZ197" s="14">
        <f>BY197*VLOOKUP('Données projet'!$B$12,Paramètres!$A$1:$I$89,3,0)*VLOOKUP('Données projet'!$B$12,Paramètres!$A$1:$I$89,5,0)</f>
        <v>1.9508661353029313E-13</v>
      </c>
      <c r="CA197" s="14">
        <f t="shared" si="170"/>
        <v>2.711421636700695E-12</v>
      </c>
      <c r="CB197" s="22">
        <f t="shared" si="171"/>
        <v>5.0621685358189711E-12</v>
      </c>
      <c r="CC197" s="62">
        <f t="shared" si="195"/>
        <v>293.33333333333837</v>
      </c>
      <c r="CD197" s="62">
        <f ca="1">AVERAGE(OFFSET($CC$3,0,0,'Données projet'!$E$12+1,1))-AVERAGE(OFFSET($H$3,0,0,'Données projet'!$E$12+1,1))</f>
        <v>177.71338645688661</v>
      </c>
      <c r="CE197" s="62">
        <f t="shared" ref="CE197:CE203" si="207">$CE$3</f>
        <v>153.65872713651345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1.8828339497615622E-2</v>
      </c>
      <c r="CM197" s="23">
        <f>EXP(-LN(2)/2)*CM196+(1-EXP(-LN(2)/2))/(LN(2)/2)*CG197*CJ197*VLOOKUP('Données projet'!$B$12,Paramètres!$A$1:$I$89,3,0)*0.475*44/12</f>
        <v>1.4205227216570163E-25</v>
      </c>
      <c r="CN197" s="24">
        <f t="shared" si="172"/>
        <v>1.8828339497615622E-2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-7.4487616075202823E-14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118.65321241325523</v>
      </c>
      <c r="CZ197" s="62">
        <f t="shared" ref="CZ197:CZ203" si="208">$CZ$3</f>
        <v>140.55041555757327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-5.1159076974727213E-13</v>
      </c>
      <c r="DP197" s="18">
        <f>DO197*VLOOKUP('Données projet'!$B$14,Paramètres!$A$1:$I$89,3,0)*VLOOKUP('Données projet'!$B$14,Paramètres!$A$1:$I$89,5,0)</f>
        <v>-5.1875304052373401E-13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328.70784159273131</v>
      </c>
      <c r="DU197" s="62">
        <f t="shared" ref="DU197:DU203" si="209">$DU$3</f>
        <v>193.18009444354601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177.70053246230015</v>
      </c>
      <c r="T198" s="62">
        <f t="shared" si="204"/>
        <v>85.631326020763254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8.5265128291212022E-14</v>
      </c>
      <c r="AJ198" s="14">
        <f>AI198*VLOOKUP('Données projet'!$B$10,Paramètres!$A$1:$I$89,3,0)*VLOOKUP('Données projet'!$B$10,Paramètres!$A$1:$I$89,5,0)</f>
        <v>7.4487616075202836E-14</v>
      </c>
      <c r="AK198" s="14">
        <f t="shared" si="164"/>
        <v>1.1580453144473142E-12</v>
      </c>
      <c r="AL198" s="22">
        <f t="shared" si="165"/>
        <v>2.1466615206600508E-12</v>
      </c>
      <c r="AM198" s="62">
        <f t="shared" si="193"/>
        <v>293.33333333333547</v>
      </c>
      <c r="AN198" s="62">
        <f ca="1">AVERAGE(OFFSET($AM$3,0,0,'Données projet'!$E$10+1,1))-AVERAGE(OFFSET($H$3,0,0,'Données projet'!$E$10+1,1))</f>
        <v>212.11273590951606</v>
      </c>
      <c r="AO198" s="62">
        <f t="shared" si="205"/>
        <v>240.9595690943346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2.2737367544323206E-13</v>
      </c>
      <c r="BE198" s="14">
        <f>BD198*VLOOKUP('Données projet'!$B$11,Paramètres!$A$1:$I$89,3,0)*VLOOKUP('Données projet'!$B$11,Paramètres!$A$1:$I$89,5,0)</f>
        <v>1.3596945791505279E-13</v>
      </c>
      <c r="BF198" s="14">
        <f t="shared" si="167"/>
        <v>1.9708830566360721E-12</v>
      </c>
      <c r="BG198" s="22">
        <f t="shared" si="168"/>
        <v>3.669434796176543E-12</v>
      </c>
      <c r="BH198" s="62">
        <f t="shared" si="194"/>
        <v>293.33333333333701</v>
      </c>
      <c r="BI198" s="62">
        <f ca="1">AVERAGE(OFFSET($BH$3,0,0,'Données projet'!$E$11+1,1))-AVERAGE(OFFSET($H$3,0,0,'Données projet'!$E$11+1,1))</f>
        <v>172.49153247238672</v>
      </c>
      <c r="BJ198" s="62">
        <f t="shared" si="206"/>
        <v>301.94982606323254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1.0999053629081628</v>
      </c>
      <c r="BQ198" s="23">
        <f>EXP(-LN(2)/25)*BQ197+(1-EXP(-LN(2)/25))/(LN(2)/25)*Calculateur!BL198*Calculateur!BN198*VLOOKUP('Données projet'!$B$11,Paramètres!$A$1:$I$89,3,0)*0.475*44/12</f>
        <v>0.14255857174846989</v>
      </c>
      <c r="BR198" s="23">
        <f>EXP(-LN(2)/2)*BR197+(1-EXP(-LN(2)/2))/(LN(2)/2)*BL198*BO198*VLOOKUP('Données projet'!$B$11,Paramètres!$A$1:$I$89,3,0)*0.475*44/12</f>
        <v>8.5162530842486541E-25</v>
      </c>
      <c r="BS198" s="24">
        <f t="shared" si="169"/>
        <v>1.2424639346566326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3.4106051316484809E-13</v>
      </c>
      <c r="BZ198" s="14">
        <f>BY198*VLOOKUP('Données projet'!$B$12,Paramètres!$A$1:$I$89,3,0)*VLOOKUP('Données projet'!$B$12,Paramètres!$A$1:$I$89,5,0)</f>
        <v>1.9508661353029313E-13</v>
      </c>
      <c r="CA198" s="14">
        <f t="shared" si="170"/>
        <v>2.711421636700695E-12</v>
      </c>
      <c r="CB198" s="22">
        <f t="shared" si="171"/>
        <v>5.0621685358189711E-12</v>
      </c>
      <c r="CC198" s="62">
        <f t="shared" si="195"/>
        <v>293.33333333333837</v>
      </c>
      <c r="CD198" s="62">
        <f ca="1">AVERAGE(OFFSET($CC$3,0,0,'Données projet'!$E$12+1,1))-AVERAGE(OFFSET($H$3,0,0,'Données projet'!$E$12+1,1))</f>
        <v>177.71338645688661</v>
      </c>
      <c r="CE198" s="62">
        <f t="shared" si="207"/>
        <v>153.65872713651345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1.831347756391398E-2</v>
      </c>
      <c r="CM198" s="23">
        <f>EXP(-LN(2)/2)*CM197+(1-EXP(-LN(2)/2))/(LN(2)/2)*CG198*CJ198*VLOOKUP('Données projet'!$B$12,Paramètres!$A$1:$I$89,3,0)*0.475*44/12</f>
        <v>1.0044612493132469E-25</v>
      </c>
      <c r="CN198" s="24">
        <f t="shared" si="172"/>
        <v>1.831347756391398E-2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-7.4487616075202823E-14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118.65321241325523</v>
      </c>
      <c r="CZ198" s="62">
        <f t="shared" si="208"/>
        <v>140.55041555757327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-5.1159076974727213E-13</v>
      </c>
      <c r="DP198" s="18">
        <f>DO198*VLOOKUP('Données projet'!$B$14,Paramètres!$A$1:$I$89,3,0)*VLOOKUP('Données projet'!$B$14,Paramètres!$A$1:$I$89,5,0)</f>
        <v>-5.1875304052373401E-13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328.70784159273131</v>
      </c>
      <c r="DU198" s="62">
        <f t="shared" si="209"/>
        <v>193.18009444354601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177.70053246230015</v>
      </c>
      <c r="T199" s="62">
        <f t="shared" si="204"/>
        <v>85.631326020763254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8.5265128291212022E-14</v>
      </c>
      <c r="AJ199" s="14">
        <f>AI199*VLOOKUP('Données projet'!$B$10,Paramètres!$A$1:$I$89,3,0)*VLOOKUP('Données projet'!$B$10,Paramètres!$A$1:$I$89,5,0)</f>
        <v>7.4487616075202836E-14</v>
      </c>
      <c r="AK199" s="14">
        <f t="shared" si="164"/>
        <v>1.1580453144473142E-12</v>
      </c>
      <c r="AL199" s="22">
        <f t="shared" si="165"/>
        <v>2.1466615206600508E-12</v>
      </c>
      <c r="AM199" s="62">
        <f t="shared" si="193"/>
        <v>293.33333333333547</v>
      </c>
      <c r="AN199" s="62">
        <f ca="1">AVERAGE(OFFSET($AM$3,0,0,'Données projet'!$E$10+1,1))-AVERAGE(OFFSET($H$3,0,0,'Données projet'!$E$10+1,1))</f>
        <v>212.11273590951606</v>
      </c>
      <c r="AO199" s="62">
        <f t="shared" si="205"/>
        <v>240.9595690943346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2.2737367544323206E-13</v>
      </c>
      <c r="BE199" s="14">
        <f>BD199*VLOOKUP('Données projet'!$B$11,Paramètres!$A$1:$I$89,3,0)*VLOOKUP('Données projet'!$B$11,Paramètres!$A$1:$I$89,5,0)</f>
        <v>1.3596945791505279E-13</v>
      </c>
      <c r="BF199" s="14">
        <f t="shared" si="167"/>
        <v>1.9708830566360721E-12</v>
      </c>
      <c r="BG199" s="22">
        <f t="shared" si="168"/>
        <v>3.669434796176543E-12</v>
      </c>
      <c r="BH199" s="62">
        <f t="shared" si="194"/>
        <v>293.33333333333701</v>
      </c>
      <c r="BI199" s="62">
        <f ca="1">AVERAGE(OFFSET($BH$3,0,0,'Données projet'!$E$11+1,1))-AVERAGE(OFFSET($H$3,0,0,'Données projet'!$E$11+1,1))</f>
        <v>172.49153247238672</v>
      </c>
      <c r="BJ199" s="62">
        <f t="shared" si="206"/>
        <v>301.94982606323254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1.0783368896175616</v>
      </c>
      <c r="BQ199" s="23">
        <f>EXP(-LN(2)/25)*BQ198+(1-EXP(-LN(2)/25))/(LN(2)/25)*Calculateur!BL199*Calculateur!BN199*VLOOKUP('Données projet'!$B$11,Paramètres!$A$1:$I$89,3,0)*0.475*44/12</f>
        <v>0.13866030010717853</v>
      </c>
      <c r="BR199" s="23">
        <f>EXP(-LN(2)/2)*BR198+(1-EXP(-LN(2)/2))/(LN(2)/2)*BL199*BO199*VLOOKUP('Données projet'!$B$11,Paramètres!$A$1:$I$89,3,0)*0.475*44/12</f>
        <v>6.0219003061730736E-25</v>
      </c>
      <c r="BS199" s="24">
        <f t="shared" si="169"/>
        <v>1.21699718972474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3.4106051316484809E-13</v>
      </c>
      <c r="BZ199" s="14">
        <f>BY199*VLOOKUP('Données projet'!$B$12,Paramètres!$A$1:$I$89,3,0)*VLOOKUP('Données projet'!$B$12,Paramètres!$A$1:$I$89,5,0)</f>
        <v>1.9508661353029313E-13</v>
      </c>
      <c r="CA199" s="14">
        <f t="shared" si="170"/>
        <v>2.711421636700695E-12</v>
      </c>
      <c r="CB199" s="22">
        <f t="shared" si="171"/>
        <v>5.0621685358189711E-12</v>
      </c>
      <c r="CC199" s="62">
        <f t="shared" si="195"/>
        <v>293.33333333333837</v>
      </c>
      <c r="CD199" s="62">
        <f ca="1">AVERAGE(OFFSET($CC$3,0,0,'Données projet'!$E$12+1,1))-AVERAGE(OFFSET($H$3,0,0,'Données projet'!$E$12+1,1))</f>
        <v>177.71338645688661</v>
      </c>
      <c r="CE199" s="62">
        <f t="shared" si="207"/>
        <v>153.65872713651345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1.7812694556864822E-2</v>
      </c>
      <c r="CM199" s="23">
        <f>EXP(-LN(2)/2)*CM198+(1-EXP(-LN(2)/2))/(LN(2)/2)*CG199*CJ199*VLOOKUP('Données projet'!$B$12,Paramètres!$A$1:$I$89,3,0)*0.475*44/12</f>
        <v>7.1026136082850828E-26</v>
      </c>
      <c r="CN199" s="24">
        <f t="shared" si="172"/>
        <v>1.7812694556864822E-2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-7.4487616075202823E-14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118.65321241325523</v>
      </c>
      <c r="CZ199" s="62">
        <f t="shared" si="208"/>
        <v>140.55041555757327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-5.1159076974727213E-13</v>
      </c>
      <c r="DP199" s="18">
        <f>DO199*VLOOKUP('Données projet'!$B$14,Paramètres!$A$1:$I$89,3,0)*VLOOKUP('Données projet'!$B$14,Paramètres!$A$1:$I$89,5,0)</f>
        <v>-5.1875304052373401E-13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328.70784159273131</v>
      </c>
      <c r="DU199" s="62">
        <f t="shared" si="209"/>
        <v>193.18009444354601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177.70053246230015</v>
      </c>
      <c r="T200" s="62">
        <f t="shared" si="204"/>
        <v>85.631326020763254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8.5265128291212022E-14</v>
      </c>
      <c r="AJ200" s="14">
        <f>AI200*VLOOKUP('Données projet'!$B$10,Paramètres!$A$1:$I$89,3,0)*VLOOKUP('Données projet'!$B$10,Paramètres!$A$1:$I$89,5,0)</f>
        <v>7.4487616075202836E-14</v>
      </c>
      <c r="AK200" s="14">
        <f t="shared" si="164"/>
        <v>1.1580453144473142E-12</v>
      </c>
      <c r="AL200" s="22">
        <f t="shared" si="165"/>
        <v>2.1466615206600508E-12</v>
      </c>
      <c r="AM200" s="62">
        <f t="shared" si="193"/>
        <v>293.33333333333547</v>
      </c>
      <c r="AN200" s="62">
        <f ca="1">AVERAGE(OFFSET($AM$3,0,0,'Données projet'!$E$10+1,1))-AVERAGE(OFFSET($H$3,0,0,'Données projet'!$E$10+1,1))</f>
        <v>212.11273590951606</v>
      </c>
      <c r="AO200" s="62">
        <f t="shared" si="205"/>
        <v>240.9595690943346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2.2737367544323206E-13</v>
      </c>
      <c r="BE200" s="14">
        <f>BD200*VLOOKUP('Données projet'!$B$11,Paramètres!$A$1:$I$89,3,0)*VLOOKUP('Données projet'!$B$11,Paramètres!$A$1:$I$89,5,0)</f>
        <v>1.3596945791505279E-13</v>
      </c>
      <c r="BF200" s="14">
        <f t="shared" si="167"/>
        <v>1.9708830566360721E-12</v>
      </c>
      <c r="BG200" s="22">
        <f t="shared" si="168"/>
        <v>3.669434796176543E-12</v>
      </c>
      <c r="BH200" s="62">
        <f t="shared" si="194"/>
        <v>293.33333333333701</v>
      </c>
      <c r="BI200" s="62">
        <f ca="1">AVERAGE(OFFSET($BH$3,0,0,'Données projet'!$E$11+1,1))-AVERAGE(OFFSET($H$3,0,0,'Données projet'!$E$11+1,1))</f>
        <v>172.49153247238672</v>
      </c>
      <c r="BJ200" s="62">
        <f t="shared" si="206"/>
        <v>301.94982606323254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1.0571913609327193</v>
      </c>
      <c r="BQ200" s="23">
        <f>EXP(-LN(2)/25)*BQ199+(1-EXP(-LN(2)/25))/(LN(2)/25)*Calculateur!BL200*Calculateur!BN200*VLOOKUP('Données projet'!$B$11,Paramètres!$A$1:$I$89,3,0)*0.475*44/12</f>
        <v>0.13486862690891946</v>
      </c>
      <c r="BR200" s="23">
        <f>EXP(-LN(2)/2)*BR199+(1-EXP(-LN(2)/2))/(LN(2)/2)*BL200*BO200*VLOOKUP('Données projet'!$B$11,Paramètres!$A$1:$I$89,3,0)*0.475*44/12</f>
        <v>4.258126542124327E-25</v>
      </c>
      <c r="BS200" s="24">
        <f t="shared" si="169"/>
        <v>1.1920599878416387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3.4106051316484809E-13</v>
      </c>
      <c r="BZ200" s="14">
        <f>BY200*VLOOKUP('Données projet'!$B$12,Paramètres!$A$1:$I$89,3,0)*VLOOKUP('Données projet'!$B$12,Paramètres!$A$1:$I$89,5,0)</f>
        <v>1.9508661353029313E-13</v>
      </c>
      <c r="CA200" s="14">
        <f t="shared" si="170"/>
        <v>2.711421636700695E-12</v>
      </c>
      <c r="CB200" s="22">
        <f t="shared" si="171"/>
        <v>5.0621685358189711E-12</v>
      </c>
      <c r="CC200" s="62">
        <f t="shared" si="195"/>
        <v>293.33333333333837</v>
      </c>
      <c r="CD200" s="62">
        <f ca="1">AVERAGE(OFFSET($CC$3,0,0,'Données projet'!$E$12+1,1))-AVERAGE(OFFSET($H$3,0,0,'Données projet'!$E$12+1,1))</f>
        <v>177.71338645688661</v>
      </c>
      <c r="CE200" s="62">
        <f t="shared" si="207"/>
        <v>153.65872713651345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1.7325605487478458E-2</v>
      </c>
      <c r="CM200" s="23">
        <f>EXP(-LN(2)/2)*CM199+(1-EXP(-LN(2)/2))/(LN(2)/2)*CG200*CJ200*VLOOKUP('Données projet'!$B$12,Paramètres!$A$1:$I$89,3,0)*0.475*44/12</f>
        <v>5.0223062465662351E-26</v>
      </c>
      <c r="CN200" s="24">
        <f t="shared" si="172"/>
        <v>1.7325605487478458E-2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-7.4487616075202823E-14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118.65321241325523</v>
      </c>
      <c r="CZ200" s="62">
        <f t="shared" si="208"/>
        <v>140.55041555757327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-5.1159076974727213E-13</v>
      </c>
      <c r="DP200" s="18">
        <f>DO200*VLOOKUP('Données projet'!$B$14,Paramètres!$A$1:$I$89,3,0)*VLOOKUP('Données projet'!$B$14,Paramètres!$A$1:$I$89,5,0)</f>
        <v>-5.1875304052373401E-13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328.70784159273131</v>
      </c>
      <c r="DU200" s="62">
        <f t="shared" si="209"/>
        <v>193.18009444354601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177.70053246230015</v>
      </c>
      <c r="T201" s="62">
        <f t="shared" si="204"/>
        <v>85.631326020763254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8.5265128291212022E-14</v>
      </c>
      <c r="AJ201" s="14">
        <f>AI201*VLOOKUP('Données projet'!$B$10,Paramètres!$A$1:$I$89,3,0)*VLOOKUP('Données projet'!$B$10,Paramètres!$A$1:$I$89,5,0)</f>
        <v>7.4487616075202836E-14</v>
      </c>
      <c r="AK201" s="14">
        <f t="shared" si="164"/>
        <v>1.1580453144473142E-12</v>
      </c>
      <c r="AL201" s="22">
        <f t="shared" si="165"/>
        <v>2.1466615206600508E-12</v>
      </c>
      <c r="AM201" s="62">
        <f t="shared" si="193"/>
        <v>293.33333333333547</v>
      </c>
      <c r="AN201" s="62">
        <f ca="1">AVERAGE(OFFSET($AM$3,0,0,'Données projet'!$E$10+1,1))-AVERAGE(OFFSET($H$3,0,0,'Données projet'!$E$10+1,1))</f>
        <v>212.11273590951606</v>
      </c>
      <c r="AO201" s="62">
        <f t="shared" si="205"/>
        <v>240.9595690943346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2.2737367544323206E-13</v>
      </c>
      <c r="BE201" s="14">
        <f>BD201*VLOOKUP('Données projet'!$B$11,Paramètres!$A$1:$I$89,3,0)*VLOOKUP('Données projet'!$B$11,Paramètres!$A$1:$I$89,5,0)</f>
        <v>1.3596945791505279E-13</v>
      </c>
      <c r="BF201" s="14">
        <f t="shared" si="167"/>
        <v>1.9708830566360721E-12</v>
      </c>
      <c r="BG201" s="22">
        <f t="shared" si="168"/>
        <v>3.669434796176543E-12</v>
      </c>
      <c r="BH201" s="62">
        <f t="shared" si="194"/>
        <v>293.33333333333701</v>
      </c>
      <c r="BI201" s="62">
        <f ca="1">AVERAGE(OFFSET($BH$3,0,0,'Données projet'!$E$11+1,1))-AVERAGE(OFFSET($H$3,0,0,'Données projet'!$E$11+1,1))</f>
        <v>172.49153247238672</v>
      </c>
      <c r="BJ201" s="62">
        <f t="shared" si="206"/>
        <v>301.94982606323254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1.0364604831678879</v>
      </c>
      <c r="BQ201" s="23">
        <f>EXP(-LN(2)/25)*BQ200+(1-EXP(-LN(2)/25))/(LN(2)/25)*Calculateur!BL201*Calculateur!BN201*VLOOKUP('Données projet'!$B$11,Paramètres!$A$1:$I$89,3,0)*0.475*44/12</f>
        <v>0.13118063721366222</v>
      </c>
      <c r="BR201" s="23">
        <f>EXP(-LN(2)/2)*BR200+(1-EXP(-LN(2)/2))/(LN(2)/2)*BL201*BO201*VLOOKUP('Données projet'!$B$11,Paramètres!$A$1:$I$89,3,0)*0.475*44/12</f>
        <v>3.0109501530865368E-25</v>
      </c>
      <c r="BS201" s="24">
        <f t="shared" si="169"/>
        <v>1.16764112038155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3.4106051316484809E-13</v>
      </c>
      <c r="BZ201" s="14">
        <f>BY201*VLOOKUP('Données projet'!$B$12,Paramètres!$A$1:$I$89,3,0)*VLOOKUP('Données projet'!$B$12,Paramètres!$A$1:$I$89,5,0)</f>
        <v>1.9508661353029313E-13</v>
      </c>
      <c r="CA201" s="14">
        <f t="shared" si="170"/>
        <v>2.711421636700695E-12</v>
      </c>
      <c r="CB201" s="22">
        <f t="shared" si="171"/>
        <v>5.0621685358189711E-12</v>
      </c>
      <c r="CC201" s="62">
        <f t="shared" si="195"/>
        <v>293.33333333333837</v>
      </c>
      <c r="CD201" s="62">
        <f ca="1">AVERAGE(OFFSET($CC$3,0,0,'Données projet'!$E$12+1,1))-AVERAGE(OFFSET($H$3,0,0,'Données projet'!$E$12+1,1))</f>
        <v>177.71338645688661</v>
      </c>
      <c r="CE201" s="62">
        <f t="shared" si="207"/>
        <v>153.65872713651345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1.6851835894309365E-2</v>
      </c>
      <c r="CM201" s="23">
        <f>EXP(-LN(2)/2)*CM200+(1-EXP(-LN(2)/2))/(LN(2)/2)*CG201*CJ201*VLOOKUP('Données projet'!$B$12,Paramètres!$A$1:$I$89,3,0)*0.475*44/12</f>
        <v>3.551306804142542E-26</v>
      </c>
      <c r="CN201" s="24">
        <f t="shared" si="172"/>
        <v>1.6851835894309365E-2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-7.4487616075202823E-14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118.65321241325523</v>
      </c>
      <c r="CZ201" s="62">
        <f t="shared" si="208"/>
        <v>140.55041555757327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-5.1159076974727213E-13</v>
      </c>
      <c r="DP201" s="18">
        <f>DO201*VLOOKUP('Données projet'!$B$14,Paramètres!$A$1:$I$89,3,0)*VLOOKUP('Données projet'!$B$14,Paramètres!$A$1:$I$89,5,0)</f>
        <v>-5.1875304052373401E-13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328.70784159273131</v>
      </c>
      <c r="DU201" s="62">
        <f t="shared" si="209"/>
        <v>193.18009444354601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177.70053246230015</v>
      </c>
      <c r="T202" s="62">
        <f t="shared" si="204"/>
        <v>85.631326020763254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8.5265128291212022E-14</v>
      </c>
      <c r="AJ202" s="14">
        <f>AI202*VLOOKUP('Données projet'!$B$10,Paramètres!$A$1:$I$89,3,0)*VLOOKUP('Données projet'!$B$10,Paramètres!$A$1:$I$89,5,0)</f>
        <v>7.4487616075202836E-14</v>
      </c>
      <c r="AK202" s="14">
        <f t="shared" si="164"/>
        <v>1.1580453144473142E-12</v>
      </c>
      <c r="AL202" s="22">
        <f t="shared" si="165"/>
        <v>2.1466615206600508E-12</v>
      </c>
      <c r="AM202" s="62">
        <f t="shared" si="193"/>
        <v>293.33333333333547</v>
      </c>
      <c r="AN202" s="62">
        <f ca="1">AVERAGE(OFFSET($AM$3,0,0,'Données projet'!$E$10+1,1))-AVERAGE(OFFSET($H$3,0,0,'Données projet'!$E$10+1,1))</f>
        <v>212.11273590951606</v>
      </c>
      <c r="AO202" s="62">
        <f t="shared" si="205"/>
        <v>240.9595690943346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2.2737367544323206E-13</v>
      </c>
      <c r="BE202" s="14">
        <f>BD202*VLOOKUP('Données projet'!$B$11,Paramètres!$A$1:$I$89,3,0)*VLOOKUP('Données projet'!$B$11,Paramètres!$A$1:$I$89,5,0)</f>
        <v>1.3596945791505279E-13</v>
      </c>
      <c r="BF202" s="14">
        <f t="shared" si="167"/>
        <v>1.9708830566360721E-12</v>
      </c>
      <c r="BG202" s="22">
        <f t="shared" si="168"/>
        <v>3.669434796176543E-12</v>
      </c>
      <c r="BH202" s="62">
        <f t="shared" si="194"/>
        <v>293.33333333333701</v>
      </c>
      <c r="BI202" s="62">
        <f ca="1">AVERAGE(OFFSET($BH$3,0,0,'Données projet'!$E$11+1,1))-AVERAGE(OFFSET($H$3,0,0,'Données projet'!$E$11+1,1))</f>
        <v>172.49153247238672</v>
      </c>
      <c r="BJ202" s="62">
        <f t="shared" si="206"/>
        <v>301.94982606323254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1.0161361252714378</v>
      </c>
      <c r="BQ202" s="23">
        <f>EXP(-LN(2)/25)*BQ201+(1-EXP(-LN(2)/25))/(LN(2)/25)*Calculateur!BL202*Calculateur!BN202*VLOOKUP('Données projet'!$B$11,Paramètres!$A$1:$I$89,3,0)*0.475*44/12</f>
        <v>0.12759349579056473</v>
      </c>
      <c r="BR202" s="23">
        <f>EXP(-LN(2)/2)*BR201+(1-EXP(-LN(2)/2))/(LN(2)/2)*BL202*BO202*VLOOKUP('Données projet'!$B$11,Paramètres!$A$1:$I$89,3,0)*0.475*44/12</f>
        <v>2.1290632710621635E-25</v>
      </c>
      <c r="BS202" s="24">
        <f t="shared" si="169"/>
        <v>1.1437296210620025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3.4106051316484809E-13</v>
      </c>
      <c r="BZ202" s="14">
        <f>BY202*VLOOKUP('Données projet'!$B$12,Paramètres!$A$1:$I$89,3,0)*VLOOKUP('Données projet'!$B$12,Paramètres!$A$1:$I$89,5,0)</f>
        <v>1.9508661353029313E-13</v>
      </c>
      <c r="CA202" s="14">
        <f t="shared" si="170"/>
        <v>2.711421636700695E-12</v>
      </c>
      <c r="CB202" s="22">
        <f t="shared" si="171"/>
        <v>5.0621685358189711E-12</v>
      </c>
      <c r="CC202" s="62">
        <f t="shared" si="195"/>
        <v>293.33333333333837</v>
      </c>
      <c r="CD202" s="62">
        <f ca="1">AVERAGE(OFFSET($CC$3,0,0,'Données projet'!$E$12+1,1))-AVERAGE(OFFSET($H$3,0,0,'Données projet'!$E$12+1,1))</f>
        <v>177.71338645688661</v>
      </c>
      <c r="CE202" s="62">
        <f t="shared" si="207"/>
        <v>153.65872713651345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1.6391021555579942E-2</v>
      </c>
      <c r="CM202" s="23">
        <f>EXP(-LN(2)/2)*CM201+(1-EXP(-LN(2)/2))/(LN(2)/2)*CG202*CJ202*VLOOKUP('Données projet'!$B$12,Paramètres!$A$1:$I$89,3,0)*0.475*44/12</f>
        <v>2.5111531232831181E-26</v>
      </c>
      <c r="CN202" s="24">
        <f t="shared" si="172"/>
        <v>1.6391021555579942E-2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-7.4487616075202823E-14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118.65321241325523</v>
      </c>
      <c r="CZ202" s="62">
        <f t="shared" si="208"/>
        <v>140.55041555757327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-5.1159076974727213E-13</v>
      </c>
      <c r="DP202" s="18">
        <f>DO202*VLOOKUP('Données projet'!$B$14,Paramètres!$A$1:$I$89,3,0)*VLOOKUP('Données projet'!$B$14,Paramètres!$A$1:$I$89,5,0)</f>
        <v>-5.1875304052373401E-13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328.70784159273131</v>
      </c>
      <c r="DU202" s="62">
        <f t="shared" si="209"/>
        <v>193.18009444354601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177.70053246230015</v>
      </c>
      <c r="T203" s="62">
        <f t="shared" si="204"/>
        <v>85.631326020763254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8.5265128291212022E-14</v>
      </c>
      <c r="AJ203" s="14">
        <f>AI203*VLOOKUP('Données projet'!$B$10,Paramètres!$A$1:$I$89,3,0)*VLOOKUP('Données projet'!$B$10,Paramètres!$A$1:$I$89,5,0)</f>
        <v>7.4487616075202836E-14</v>
      </c>
      <c r="AK203" s="14">
        <f t="shared" si="164"/>
        <v>1.1580453144473142E-12</v>
      </c>
      <c r="AL203" s="22">
        <f t="shared" si="165"/>
        <v>2.1466615206600508E-12</v>
      </c>
      <c r="AM203" s="62">
        <f t="shared" si="193"/>
        <v>293.33333333333547</v>
      </c>
      <c r="AN203" s="62">
        <f ca="1">AVERAGE(OFFSET($AM$3,0,0,'Données projet'!$E$10+1,1))-AVERAGE(OFFSET($H$3,0,0,'Données projet'!$E$10+1,1))</f>
        <v>212.11273590951606</v>
      </c>
      <c r="AO203" s="62">
        <f t="shared" si="205"/>
        <v>240.9595690943346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2.2737367544323206E-13</v>
      </c>
      <c r="BE203" s="14">
        <f>BD203*VLOOKUP('Données projet'!$B$11,Paramètres!$A$1:$I$89,3,0)*VLOOKUP('Données projet'!$B$11,Paramètres!$A$1:$I$89,5,0)</f>
        <v>1.3596945791505279E-13</v>
      </c>
      <c r="BF203" s="14">
        <f t="shared" si="167"/>
        <v>1.9708830566360721E-12</v>
      </c>
      <c r="BG203" s="22">
        <f t="shared" si="168"/>
        <v>3.669434796176543E-12</v>
      </c>
      <c r="BH203" s="62">
        <f t="shared" si="194"/>
        <v>293.33333333333701</v>
      </c>
      <c r="BI203" s="62">
        <f ca="1">AVERAGE(OFFSET($BH$3,0,0,'Données projet'!$E$11+1,1))-AVERAGE(OFFSET($H$3,0,0,'Données projet'!$E$11+1,1))</f>
        <v>172.49153247238672</v>
      </c>
      <c r="BJ203" s="62">
        <f t="shared" si="206"/>
        <v>301.94982606323254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0.99621031563670293</v>
      </c>
      <c r="BQ203" s="23">
        <f>EXP(-LN(2)/25)*BQ202+(1-EXP(-LN(2)/25))/(LN(2)/25)*Calculateur!BL203*Calculateur!BN203*VLOOKUP('Données projet'!$B$11,Paramètres!$A$1:$I$89,3,0)*0.475*44/12</f>
        <v>0.12410444493832141</v>
      </c>
      <c r="BR203" s="23">
        <f>EXP(-LN(2)/2)*BR202+(1-EXP(-LN(2)/2))/(LN(2)/2)*BL203*BO203*VLOOKUP('Données projet'!$B$11,Paramètres!$A$1:$I$89,3,0)*0.475*44/12</f>
        <v>1.5054750765432684E-25</v>
      </c>
      <c r="BS203" s="24">
        <f t="shared" si="169"/>
        <v>1.1203147605750243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3.4106051316484809E-13</v>
      </c>
      <c r="BZ203" s="14">
        <f>BY203*VLOOKUP('Données projet'!$B$12,Paramètres!$A$1:$I$89,3,0)*VLOOKUP('Données projet'!$B$12,Paramètres!$A$1:$I$89,5,0)</f>
        <v>1.9508661353029313E-13</v>
      </c>
      <c r="CA203" s="14">
        <f t="shared" si="170"/>
        <v>2.711421636700695E-12</v>
      </c>
      <c r="CB203" s="22">
        <f t="shared" si="171"/>
        <v>5.0621685358189711E-12</v>
      </c>
      <c r="CC203" s="62">
        <f t="shared" si="195"/>
        <v>293.33333333333837</v>
      </c>
      <c r="CD203" s="62">
        <f ca="1">AVERAGE(OFFSET($CC$3,0,0,'Données projet'!$E$12+1,1))-AVERAGE(OFFSET($H$3,0,0,'Données projet'!$E$12+1,1))</f>
        <v>177.71338645688661</v>
      </c>
      <c r="CE203" s="62">
        <f t="shared" si="207"/>
        <v>153.65872713651345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1.5942808209176249E-2</v>
      </c>
      <c r="CM203" s="23">
        <f>EXP(-LN(2)/2)*CM202+(1-EXP(-LN(2)/2))/(LN(2)/2)*CG203*CJ203*VLOOKUP('Données projet'!$B$12,Paramètres!$A$1:$I$89,3,0)*0.475*44/12</f>
        <v>1.7756534020712713E-26</v>
      </c>
      <c r="CN203" s="24">
        <f t="shared" si="172"/>
        <v>1.5942808209176249E-2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-7.4487616075202823E-14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118.65321241325523</v>
      </c>
      <c r="CZ203" s="62">
        <f t="shared" si="208"/>
        <v>140.55041555757327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-5.1159076974727213E-13</v>
      </c>
      <c r="DP203" s="18">
        <f>DO203*VLOOKUP('Données projet'!$B$14,Paramètres!$A$1:$I$89,3,0)*VLOOKUP('Données projet'!$B$14,Paramètres!$A$1:$I$89,5,0)</f>
        <v>-5.1875304052373401E-13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328.70784159273131</v>
      </c>
      <c r="DU203" s="62">
        <f t="shared" si="209"/>
        <v>193.18009444354601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1.335141362540313</v>
      </c>
      <c r="BA205" s="88">
        <f>EXP(LN('Données projet'!B88)/'Données projet'!A88)</f>
        <v>1.3822911730149987</v>
      </c>
      <c r="BV205" s="88">
        <f>EXP(LN('Données projet'!B114)/'Données projet'!A114)</f>
        <v>1.201293267214846</v>
      </c>
      <c r="CQ205" s="88">
        <f>EXP(LN('Données projet'!B140)/'Données projet'!A140)</f>
        <v>1.2516796742016716</v>
      </c>
      <c r="DL205" s="88">
        <f>EXP(LN('Données projet'!B166)/'Données projet'!A166)</f>
        <v>1.2054868146447177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25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6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25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7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7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6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25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6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L23" sqref="L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6" t="s">
        <v>271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0.36000000000000004</v>
      </c>
      <c r="C6" s="156">
        <f ca="1">IF(OR('Données projet'!B9="",'Données projet'!C9="",'Données projet'!C9=0%),0,Calculateur!S3)</f>
        <v>177.70053246230015</v>
      </c>
      <c r="D6" s="156">
        <f>IF(OR('Données projet'!B9="",'Données projet'!C9="",'Données projet'!C9=0%),0,Calculateur!T3)</f>
        <v>85.631326020763254</v>
      </c>
      <c r="E6" s="156">
        <f ca="1">MIN(C6,D6)</f>
        <v>85.631326020763254</v>
      </c>
      <c r="F6" s="156">
        <f ca="1">E6*B6</f>
        <v>30.827277367474775</v>
      </c>
      <c r="G6" s="156">
        <f ca="1">F6*(100%-'Données projet'!$C$24)*(100%-'Données projet'!$C$25)*(100%-'Données projet'!$C$26)*(100%-'Données projet'!$C$27)</f>
        <v>24.970094667654571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24.970094667654571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rouge d'Amérique</v>
      </c>
      <c r="B7" s="163">
        <f>'Données projet'!D10</f>
        <v>0.19800000000000001</v>
      </c>
      <c r="C7" s="156">
        <f ca="1">IF(OR('Données projet'!B10="",'Données projet'!C10="",'Données projet'!C10=0%),0,Calculateur!AN3)</f>
        <v>212.11273590951606</v>
      </c>
      <c r="D7" s="156">
        <f>IF(OR('Données projet'!B10="",'Données projet'!C10="",'Données projet'!C10=0%),0,Calculateur!AO3)</f>
        <v>240.9595690943346</v>
      </c>
      <c r="E7" s="156">
        <f t="shared" ref="E7:E15" ca="1" si="0">MIN(C7,D7)</f>
        <v>212.11273590951606</v>
      </c>
      <c r="F7" s="156">
        <f t="shared" ref="F7:F15" ca="1" si="1">E7*B7</f>
        <v>41.998321710084184</v>
      </c>
      <c r="G7" s="156">
        <f ca="1">F7*(100%-'Données projet'!$C$24)*(100%-'Données projet'!$C$25)*(100%-'Données projet'!$C$26)*(100%-'Données projet'!$C$27)</f>
        <v>34.018640585168193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3.3660000000000001</v>
      </c>
      <c r="K7" s="160">
        <f>J7*(100%-'Données projet'!$C$24)*(100%-'Données projet'!$C$25)*(100%-'Données projet'!$C$26)*(100%-'Données projet'!$C$27)</f>
        <v>2.7264600000000003</v>
      </c>
      <c r="L7" s="161">
        <f t="shared" ref="L7:L15" ca="1" si="2">G7+I7+K7</f>
        <v>36.745100585168196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maritime</v>
      </c>
      <c r="B8" s="163">
        <f>'Données projet'!D11</f>
        <v>0.441</v>
      </c>
      <c r="C8" s="156">
        <f ca="1">IF(OR('Données projet'!B11="",'Données projet'!C11="",'Données projet'!C11=0%),0,Calculateur!BI3)</f>
        <v>172.49153247238672</v>
      </c>
      <c r="D8" s="156">
        <f>IF(OR('Données projet'!B11="",'Données projet'!C11="",'Données projet'!C11=0%),0,Calculateur!BJ3)</f>
        <v>301.94982606323254</v>
      </c>
      <c r="E8" s="156">
        <f t="shared" ca="1" si="0"/>
        <v>172.49153247238672</v>
      </c>
      <c r="F8" s="156">
        <f t="shared" ca="1" si="1"/>
        <v>76.06876582032254</v>
      </c>
      <c r="G8" s="156">
        <f ca="1">F8*(100%-'Données projet'!$C$24)*(100%-'Données projet'!$C$25)*(100%-'Données projet'!$C$26)*(100%-'Données projet'!$C$27)</f>
        <v>61.615700314461257</v>
      </c>
      <c r="H8" s="164">
        <f>IF(OR('Données projet'!B11="",'Données projet'!C11="",'Données projet'!C11=0%),0,AVERAGE(Calculateur!$BS$3:$BS$33)*B8)</f>
        <v>4.631201902115758</v>
      </c>
      <c r="I8" s="158">
        <f>H8*(100%-'Données projet'!$C$24)*(100%-'Données projet'!$C$25)*(100%-'Données projet'!$C$26)*(100%-'Données projet'!$C$27)</f>
        <v>3.7512735407137643</v>
      </c>
      <c r="J8" s="159">
        <f>IF(OR('Données projet'!B11="",'Données projet'!C11="",'Données projet'!C11=0%),0,SUM(Calculateur!$BL$3:$BL$33)*VLOOKUP('Données projet'!$B$11,Paramètres!$A$1:$I$89,9,0)*B8)</f>
        <v>45.455192999999994</v>
      </c>
      <c r="K8" s="160">
        <f>J8*(100%-'Données projet'!$C$24)*(100%-'Données projet'!$C$25)*(100%-'Données projet'!$C$26)*(100%-'Données projet'!$C$27)</f>
        <v>36.818706329999998</v>
      </c>
      <c r="L8" s="161">
        <f t="shared" ca="1" si="2"/>
        <v>102.18568018517502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Pin sylvestre</v>
      </c>
      <c r="B9" s="163">
        <f>'Données projet'!D12</f>
        <v>0.441</v>
      </c>
      <c r="C9" s="156">
        <f ca="1">IF(OR('Données projet'!B12="",'Données projet'!C12="",'Données projet'!C12=0%),0,Calculateur!CD3)</f>
        <v>177.71338645688661</v>
      </c>
      <c r="D9" s="156">
        <f>IF(OR('Données projet'!B12="",'Données projet'!C12="",'Données projet'!C12=0%),0,Calculateur!CE3)</f>
        <v>153.65872713651345</v>
      </c>
      <c r="E9" s="156">
        <f t="shared" ca="1" si="0"/>
        <v>153.65872713651345</v>
      </c>
      <c r="F9" s="156">
        <f t="shared" ca="1" si="1"/>
        <v>67.763498667202427</v>
      </c>
      <c r="G9" s="156">
        <f ca="1">F9*(100%-'Données projet'!$C$24)*(100%-'Données projet'!$C$25)*(100%-'Données projet'!$C$26)*(100%-'Données projet'!$C$27)</f>
        <v>54.888433920433968</v>
      </c>
      <c r="H9" s="164">
        <f>IF(OR('Données projet'!B12="",'Données projet'!C12="",'Données projet'!C12=0%),0,AVERAGE(Calculateur!$CN$3:$CN$33)*B9)</f>
        <v>0.32784202331159101</v>
      </c>
      <c r="I9" s="158">
        <f>H9*(100%-'Données projet'!$C$24)*(100%-'Données projet'!$C$25)*(100%-'Données projet'!$C$26)*(100%-'Données projet'!$C$27)</f>
        <v>0.26555203888238876</v>
      </c>
      <c r="J9" s="159">
        <f>IF(OR('Données projet'!B12="",'Données projet'!C12="",'Données projet'!C12=0%),0,SUM(Calculateur!$CG$3:$CG$33)*VLOOKUP('Données projet'!$B$12,Paramètres!$A$1:$I$89,9,0)*B9)</f>
        <v>6.6370499999999995</v>
      </c>
      <c r="K9" s="160">
        <f>J9*(100%-'Données projet'!$C$24)*(100%-'Données projet'!$C$25)*(100%-'Données projet'!$C$26)*(100%-'Données projet'!$C$27)</f>
        <v>5.3760104999999996</v>
      </c>
      <c r="L9" s="161">
        <f t="shared" ca="1" si="2"/>
        <v>60.529996459316358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Aulne glutineux</v>
      </c>
      <c r="B10" s="163">
        <f>'Données projet'!D13</f>
        <v>0.14400000000000002</v>
      </c>
      <c r="C10" s="156">
        <f ca="1">IF(OR('Données projet'!B13="",'Données projet'!C13="",'Données projet'!C13=0%),0,Calculateur!CY3)</f>
        <v>118.65321241325523</v>
      </c>
      <c r="D10" s="156">
        <f>IF(OR('Données projet'!B13="",'Données projet'!C13="",'Données projet'!C13=0%),0,Calculateur!CZ3)</f>
        <v>140.55041555757327</v>
      </c>
      <c r="E10" s="156">
        <f t="shared" ca="1" si="0"/>
        <v>118.65321241325523</v>
      </c>
      <c r="F10" s="156">
        <f t="shared" ca="1" si="1"/>
        <v>17.086062587508756</v>
      </c>
      <c r="G10" s="156">
        <f ca="1">F10*(100%-'Données projet'!$C$24)*(100%-'Données projet'!$C$25)*(100%-'Données projet'!$C$26)*(100%-'Données projet'!$C$27)</f>
        <v>13.839710695882093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0.8640000000000001</v>
      </c>
      <c r="K10" s="160">
        <f>J10*(100%-'Données projet'!$C$24)*(100%-'Données projet'!$C$25)*(100%-'Données projet'!$C$26)*(100%-'Données projet'!$C$27)</f>
        <v>0.69984000000000013</v>
      </c>
      <c r="L10" s="161">
        <f t="shared" ca="1" si="2"/>
        <v>14.539550695882093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Chêne pubescent</v>
      </c>
      <c r="B11" s="163">
        <f>'Données projet'!D14</f>
        <v>0.216</v>
      </c>
      <c r="C11" s="156">
        <f ca="1">IF(OR('Données projet'!B14="",'Données projet'!C14="",'Données projet'!C14=0%),0,Calculateur!DT3)</f>
        <v>328.70784159273131</v>
      </c>
      <c r="D11" s="156">
        <f>IF(OR('Données projet'!B14="",'Données projet'!C14="",'Données projet'!C14=0%),0,Calculateur!DU3)</f>
        <v>193.18009444354601</v>
      </c>
      <c r="E11" s="156">
        <f t="shared" ca="1" si="0"/>
        <v>193.18009444354601</v>
      </c>
      <c r="F11" s="156">
        <f t="shared" ca="1" si="1"/>
        <v>41.726900399805935</v>
      </c>
      <c r="G11" s="156">
        <f ca="1">F11*(100%-'Données projet'!$C$24)*(100%-'Données projet'!$C$25)*(100%-'Données projet'!$C$26)*(100%-'Données projet'!$C$27)</f>
        <v>33.798789323842804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0.432</v>
      </c>
      <c r="K11" s="160">
        <f>J11*(100%-'Données projet'!$C$24)*(100%-'Données projet'!$C$25)*(100%-'Données projet'!$C$26)*(100%-'Données projet'!$C$27)</f>
        <v>0.34992000000000001</v>
      </c>
      <c r="L11" s="161">
        <f t="shared" ca="1" si="2"/>
        <v>34.148709323842802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275.47082655239859</v>
      </c>
      <c r="G16" s="175">
        <f t="shared" ca="1" si="3"/>
        <v>223.13136950744291</v>
      </c>
      <c r="H16" s="176">
        <f t="shared" si="3"/>
        <v>4.9590439254273493</v>
      </c>
      <c r="I16" s="176">
        <f t="shared" si="3"/>
        <v>4.0168255795961532</v>
      </c>
      <c r="J16" s="177">
        <f t="shared" si="3"/>
        <v>56.754242999999995</v>
      </c>
      <c r="K16" s="177">
        <f t="shared" si="3"/>
        <v>45.970936829999999</v>
      </c>
      <c r="L16" s="178">
        <f t="shared" ca="1" si="3"/>
        <v>273.11913191703906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8" t="s">
        <v>246</v>
      </c>
      <c r="G17" s="329"/>
      <c r="H17" s="329"/>
      <c r="I17" s="329"/>
      <c r="J17" s="329"/>
      <c r="K17" s="329"/>
      <c r="L17" s="32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30"/>
      <c r="G18" s="330"/>
      <c r="H18" s="330"/>
      <c r="I18" s="330"/>
      <c r="J18" s="330"/>
      <c r="K18" s="330"/>
      <c r="L18" s="33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Pin sylvestre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Aulne glutineux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Chêne pubescent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M10" zoomScaleNormal="100" workbookViewId="0">
      <selection activeCell="P33" sqref="P3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6" t="s">
        <v>272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4" t="s">
        <v>315</v>
      </c>
      <c r="I4" s="334"/>
      <c r="K4" s="331" t="s">
        <v>253</v>
      </c>
      <c r="L4" s="332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42" t="s">
        <v>310</v>
      </c>
      <c r="S7" s="343"/>
      <c r="T7" s="343"/>
      <c r="U7" s="343"/>
      <c r="V7" s="344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253.18401277363645</v>
      </c>
      <c r="U10" s="190">
        <f>'Données projet'!D9</f>
        <v>0.36000000000000004</v>
      </c>
      <c r="V10" s="189">
        <f>U10*T10</f>
        <v>91.146244598509128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1055.5876105712341</v>
      </c>
      <c r="U11" s="190">
        <f>'Données projet'!D10</f>
        <v>0.19800000000000001</v>
      </c>
      <c r="V11" s="189">
        <f t="shared" ref="V11" si="0">U11*T11</f>
        <v>209.00634689310436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3713.6855552109791</v>
      </c>
      <c r="U12" s="190">
        <f>'Données projet'!D11</f>
        <v>0.441</v>
      </c>
      <c r="V12" s="189">
        <f t="shared" ref="V12:V19" si="1">U12*T12</f>
        <v>1637.7353298480418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sylvestre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1208.0669717652302</v>
      </c>
      <c r="U13" s="190">
        <f>'Données projet'!D12</f>
        <v>0.441</v>
      </c>
      <c r="V13" s="189">
        <f t="shared" si="1"/>
        <v>532.75753454846654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Aulne glutineux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457.44785637408052</v>
      </c>
      <c r="U14" s="190">
        <f>'Données projet'!D13</f>
        <v>0.14400000000000002</v>
      </c>
      <c r="V14" s="189">
        <f t="shared" si="1"/>
        <v>65.872491317867599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35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pubescent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710.18625850194076</v>
      </c>
      <c r="U15" s="190">
        <f>'Données projet'!D14</f>
        <v>0.216</v>
      </c>
      <c r="V15" s="189">
        <f t="shared" si="1"/>
        <v>153.40023183641921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35"/>
      <c r="H16" s="203"/>
      <c r="I16" s="204"/>
      <c r="J16" s="216"/>
      <c r="K16" s="225"/>
      <c r="L16" s="331" t="s">
        <v>254</v>
      </c>
      <c r="M16" s="332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35"/>
      <c r="J17" s="216"/>
      <c r="K17" s="225"/>
      <c r="L17" s="302" t="s">
        <v>289</v>
      </c>
      <c r="M17" s="304"/>
      <c r="N17" s="187">
        <f>VLOOKUP(N16,Calculateur!$A$2:$H$153,3,0)/VLOOKUP('Scénario référence'!$G$15,Paramètres!A1:I89,3,0)/VLOOKUP('Scénario référence'!$G$15,Paramètres!A1:I89,5,0)</f>
        <v>100.00000000000016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35"/>
      <c r="J18" s="216"/>
      <c r="K18" s="225"/>
      <c r="L18" s="302" t="s">
        <v>255</v>
      </c>
      <c r="M18" s="304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35"/>
      <c r="H19" s="232" t="s">
        <v>178</v>
      </c>
      <c r="I19" s="232" t="s">
        <v>287</v>
      </c>
      <c r="J19" s="260"/>
      <c r="K19" s="183"/>
      <c r="L19" s="331" t="s">
        <v>288</v>
      </c>
      <c r="M19" s="332"/>
      <c r="N19" s="191">
        <f>N17*N18</f>
        <v>3000.0000000000045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35"/>
      <c r="H20" s="203">
        <v>0</v>
      </c>
      <c r="I20" s="204">
        <v>8500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3" t="s">
        <v>260</v>
      </c>
      <c r="M23" s="333"/>
      <c r="N23" s="333"/>
      <c r="O23" s="25"/>
      <c r="P23" s="25"/>
      <c r="Q23" s="265"/>
      <c r="R23" s="25"/>
      <c r="S23" s="185" t="s">
        <v>264</v>
      </c>
      <c r="T23" s="34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-12610.081820957592</v>
      </c>
      <c r="U23" s="347"/>
      <c r="V23" s="34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8">
        <f ca="1">'Scénario référence'!$B$8*$M$30*'Données projet'!$C$5+('Scénario référence'!B9+'Scénario référence'!B10+'Scénario référence'!F8+'Scénario référence'!F9)*$N$19/(1+M4)^N16*'Données projet'!$C$5</f>
        <v>66.185783615793127</v>
      </c>
      <c r="U24" s="348"/>
      <c r="V24" s="34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35</v>
      </c>
      <c r="B25" s="193">
        <f>'Données projet'!D38</f>
        <v>13</v>
      </c>
      <c r="C25" s="206">
        <v>10</v>
      </c>
      <c r="D25" s="194">
        <f t="shared" si="2"/>
        <v>130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9">
        <f ca="1">T23-T24</f>
        <v>-12676.267604573384</v>
      </c>
      <c r="U25" s="349"/>
      <c r="V25" s="34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36" t="s">
        <v>258</v>
      </c>
      <c r="M26" s="337"/>
      <c r="N26" s="337"/>
      <c r="O26" s="337"/>
      <c r="P26" s="338"/>
      <c r="Q26" s="265"/>
      <c r="R26" s="25"/>
      <c r="S26" s="198" t="s">
        <v>265</v>
      </c>
      <c r="T26" s="346" t="str">
        <f ca="1">IF(T25&lt;0,"Votre projet est additionnel","Votre projet n'est pas additionnel")</f>
        <v>Votre projet est additionnel</v>
      </c>
      <c r="U26" s="346"/>
      <c r="V26" s="34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45</v>
      </c>
      <c r="B27" s="193">
        <f>'Données projet'!D40</f>
        <v>28</v>
      </c>
      <c r="C27" s="206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39"/>
      <c r="M27" s="340"/>
      <c r="N27" s="340"/>
      <c r="O27" s="340"/>
      <c r="P27" s="341"/>
      <c r="Q27" s="265"/>
      <c r="R27" s="25"/>
      <c r="S27" s="345" t="s">
        <v>267</v>
      </c>
      <c r="T27" s="345"/>
      <c r="U27" s="345"/>
      <c r="V27" s="34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50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55</v>
      </c>
      <c r="B29" s="193">
        <f>'Données projet'!D42</f>
        <v>28</v>
      </c>
      <c r="C29" s="206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60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65</v>
      </c>
      <c r="B31" s="193">
        <f>'Données projet'!D44</f>
        <v>28</v>
      </c>
      <c r="C31" s="206">
        <v>20</v>
      </c>
      <c r="D31" s="194">
        <f t="shared" si="2"/>
        <v>560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70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75</v>
      </c>
      <c r="B33" s="193">
        <f>'Données projet'!D46</f>
        <v>28</v>
      </c>
      <c r="C33" s="206">
        <v>30</v>
      </c>
      <c r="D33" s="194">
        <f t="shared" si="2"/>
        <v>840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80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28</v>
      </c>
      <c r="C35" s="206">
        <v>40</v>
      </c>
      <c r="D35" s="194">
        <f t="shared" si="2"/>
        <v>1120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95</v>
      </c>
      <c r="B36" s="193">
        <f>'Données projet'!D49</f>
        <v>28</v>
      </c>
      <c r="C36" s="206">
        <v>40</v>
      </c>
      <c r="D36" s="194">
        <f t="shared" si="2"/>
        <v>1120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105</v>
      </c>
      <c r="B37" s="193">
        <f>'Données projet'!D50</f>
        <v>28</v>
      </c>
      <c r="C37" s="206">
        <v>40</v>
      </c>
      <c r="D37" s="194">
        <f t="shared" si="2"/>
        <v>1120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115</v>
      </c>
      <c r="B38" s="193">
        <f>'Données projet'!D51</f>
        <v>26</v>
      </c>
      <c r="C38" s="206">
        <v>40</v>
      </c>
      <c r="D38" s="194">
        <f t="shared" si="2"/>
        <v>1040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125</v>
      </c>
      <c r="B39" s="193">
        <f>'Données projet'!D52</f>
        <v>23</v>
      </c>
      <c r="C39" s="206">
        <v>40</v>
      </c>
      <c r="D39" s="194">
        <f t="shared" si="2"/>
        <v>920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135</v>
      </c>
      <c r="B40" s="193">
        <f>'Données projet'!D53</f>
        <v>19</v>
      </c>
      <c r="C40" s="206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145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232</v>
      </c>
      <c r="C42" s="206">
        <v>60</v>
      </c>
      <c r="D42" s="194">
        <f t="shared" si="2"/>
        <v>13920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10</v>
      </c>
      <c r="B54" s="193">
        <f>'Données projet'!D62</f>
        <v>0</v>
      </c>
      <c r="C54" s="204">
        <v>10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20</v>
      </c>
      <c r="B56" s="193">
        <f>'Données projet'!D64</f>
        <v>29</v>
      </c>
      <c r="C56" s="204">
        <v>10</v>
      </c>
      <c r="D56" s="191">
        <f t="shared" si="4"/>
        <v>290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25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30</v>
      </c>
      <c r="B58" s="193">
        <f>'Données projet'!D66</f>
        <v>39</v>
      </c>
      <c r="C58" s="204">
        <v>15</v>
      </c>
      <c r="D58" s="191">
        <f t="shared" si="4"/>
        <v>585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35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40</v>
      </c>
      <c r="B60" s="193">
        <f>'Données projet'!D68</f>
        <v>40</v>
      </c>
      <c r="C60" s="204">
        <v>20</v>
      </c>
      <c r="D60" s="191">
        <f t="shared" si="4"/>
        <v>800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45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50</v>
      </c>
      <c r="B62" s="193">
        <f>'Données projet'!D70</f>
        <v>37</v>
      </c>
      <c r="C62" s="204">
        <v>30</v>
      </c>
      <c r="D62" s="191">
        <f t="shared" si="4"/>
        <v>1110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55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60</v>
      </c>
      <c r="B64" s="193">
        <f>'Données projet'!D72</f>
        <v>33</v>
      </c>
      <c r="C64" s="204">
        <v>40</v>
      </c>
      <c r="D64" s="191">
        <f t="shared" si="4"/>
        <v>1320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65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70</v>
      </c>
      <c r="B66" s="193">
        <f>'Données projet'!D74</f>
        <v>29</v>
      </c>
      <c r="C66" s="204">
        <v>50</v>
      </c>
      <c r="D66" s="191">
        <f t="shared" si="4"/>
        <v>1450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75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80</v>
      </c>
      <c r="B68" s="193">
        <f>'Données projet'!D76</f>
        <v>23</v>
      </c>
      <c r="C68" s="204">
        <v>60</v>
      </c>
      <c r="D68" s="191">
        <f t="shared" si="4"/>
        <v>1380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85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90</v>
      </c>
      <c r="B70" s="193">
        <f>'Données projet'!D78</f>
        <v>20</v>
      </c>
      <c r="C70" s="204">
        <v>80</v>
      </c>
      <c r="D70" s="191">
        <f t="shared" si="4"/>
        <v>1600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95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100</v>
      </c>
      <c r="B72" s="193">
        <f>'Données projet'!D80</f>
        <v>234</v>
      </c>
      <c r="C72" s="204">
        <v>100</v>
      </c>
      <c r="D72" s="191">
        <f t="shared" si="4"/>
        <v>23400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str">
        <f>IF(O75+1&lt;=MIN('Données projet'!$E$9:$E$18),O75+1,"STOP")</f>
        <v>STOP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12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13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14</v>
      </c>
      <c r="B87" s="193">
        <f>'Données projet'!D90</f>
        <v>22.2</v>
      </c>
      <c r="C87" s="204">
        <v>15</v>
      </c>
      <c r="D87" s="191">
        <f t="shared" si="6"/>
        <v>333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15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16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17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18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19</v>
      </c>
      <c r="B92" s="193">
        <f>'Données projet'!D95</f>
        <v>34.9</v>
      </c>
      <c r="C92" s="204">
        <v>20</v>
      </c>
      <c r="D92" s="191">
        <f t="shared" si="6"/>
        <v>698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20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21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22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23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24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25</v>
      </c>
      <c r="B98" s="193">
        <f>'Données projet'!D101</f>
        <v>54</v>
      </c>
      <c r="C98" s="204">
        <v>25</v>
      </c>
      <c r="D98" s="191">
        <f t="shared" si="6"/>
        <v>1350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26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27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28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29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30</v>
      </c>
      <c r="B103" s="193">
        <f>'Données projet'!D106</f>
        <v>63.6</v>
      </c>
      <c r="C103" s="204">
        <v>30</v>
      </c>
      <c r="D103" s="191">
        <f t="shared" si="6"/>
        <v>1908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42</v>
      </c>
      <c r="B104" s="193">
        <f>'Données projet'!D107</f>
        <v>360.9</v>
      </c>
      <c r="C104" s="204">
        <v>40</v>
      </c>
      <c r="D104" s="191">
        <f t="shared" si="6"/>
        <v>14436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Pin sylvestre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25</v>
      </c>
      <c r="B116" s="193">
        <f>'Données projet'!D114</f>
        <v>12</v>
      </c>
      <c r="C116" s="204">
        <v>10</v>
      </c>
      <c r="D116" s="191">
        <f>B116*C116</f>
        <v>120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23</v>
      </c>
      <c r="C117" s="204">
        <v>15</v>
      </c>
      <c r="D117" s="191">
        <f t="shared" ref="D117:D135" si="8">B117*C117</f>
        <v>345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35</v>
      </c>
      <c r="B118" s="193">
        <f>'Données projet'!D116</f>
        <v>28</v>
      </c>
      <c r="C118" s="204">
        <v>15</v>
      </c>
      <c r="D118" s="191">
        <f t="shared" si="8"/>
        <v>420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40</v>
      </c>
      <c r="B119" s="193">
        <f>'Données projet'!D117</f>
        <v>37</v>
      </c>
      <c r="C119" s="204">
        <v>20</v>
      </c>
      <c r="D119" s="191">
        <f t="shared" si="8"/>
        <v>740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50</v>
      </c>
      <c r="B120" s="193">
        <f>'Données projet'!D118</f>
        <v>65</v>
      </c>
      <c r="C120" s="204">
        <v>25</v>
      </c>
      <c r="D120" s="191">
        <f t="shared" si="8"/>
        <v>1625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60</v>
      </c>
      <c r="B121" s="193">
        <f>'Données projet'!D119</f>
        <v>60</v>
      </c>
      <c r="C121" s="204">
        <v>30</v>
      </c>
      <c r="D121" s="191">
        <f t="shared" si="8"/>
        <v>1800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70</v>
      </c>
      <c r="B122" s="193">
        <f>'Données projet'!D120</f>
        <v>52</v>
      </c>
      <c r="C122" s="204">
        <v>35</v>
      </c>
      <c r="D122" s="191">
        <f t="shared" si="8"/>
        <v>1820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80</v>
      </c>
      <c r="B123" s="193">
        <f>'Données projet'!D121</f>
        <v>395</v>
      </c>
      <c r="C123" s="204">
        <v>40</v>
      </c>
      <c r="D123" s="191">
        <f t="shared" si="8"/>
        <v>15800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Aulne glutineux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7">
        <f>'Données projet'!D142</f>
        <v>24</v>
      </c>
      <c r="C149" s="204">
        <v>10</v>
      </c>
      <c r="D149" s="194">
        <f t="shared" si="10"/>
        <v>240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7">
        <f>'Données projet'!D144</f>
        <v>35</v>
      </c>
      <c r="C151" s="204">
        <v>10</v>
      </c>
      <c r="D151" s="194">
        <f t="shared" si="10"/>
        <v>350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7">
        <f>'Données projet'!D146</f>
        <v>38</v>
      </c>
      <c r="C153" s="204">
        <v>15</v>
      </c>
      <c r="D153" s="194">
        <f t="shared" si="10"/>
        <v>570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7">
        <f>'Données projet'!D148</f>
        <v>35</v>
      </c>
      <c r="C155" s="204">
        <v>15</v>
      </c>
      <c r="D155" s="194">
        <f t="shared" si="10"/>
        <v>525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7">
        <f>'Données projet'!D150</f>
        <v>33</v>
      </c>
      <c r="C157" s="204">
        <v>20</v>
      </c>
      <c r="D157" s="194">
        <f t="shared" si="10"/>
        <v>660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7">
        <f>'Données projet'!D152</f>
        <v>29</v>
      </c>
      <c r="C159" s="204">
        <v>20</v>
      </c>
      <c r="D159" s="194">
        <f t="shared" si="10"/>
        <v>580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85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90</v>
      </c>
      <c r="B162" s="187">
        <f>'Données projet'!D155</f>
        <v>207</v>
      </c>
      <c r="C162" s="204">
        <v>30</v>
      </c>
      <c r="D162" s="194">
        <f t="shared" si="10"/>
        <v>6210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Chêne pubescent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25</v>
      </c>
      <c r="B179" s="193">
        <f>'Données projet'!D167</f>
        <v>8</v>
      </c>
      <c r="C179" s="206">
        <v>10</v>
      </c>
      <c r="D179" s="191">
        <f t="shared" ref="D179:D197" si="11">B179*C179</f>
        <v>80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30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35</v>
      </c>
      <c r="B181" s="193">
        <f>'Données projet'!D169</f>
        <v>42</v>
      </c>
      <c r="C181" s="206">
        <v>15</v>
      </c>
      <c r="D181" s="191">
        <f t="shared" si="11"/>
        <v>630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40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45</v>
      </c>
      <c r="B183" s="193">
        <f>'Données projet'!D171</f>
        <v>42</v>
      </c>
      <c r="C183" s="206">
        <v>20</v>
      </c>
      <c r="D183" s="191">
        <f t="shared" si="11"/>
        <v>840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55</v>
      </c>
      <c r="B185" s="193">
        <f>'Données projet'!D173</f>
        <v>42</v>
      </c>
      <c r="C185" s="206">
        <v>25</v>
      </c>
      <c r="D185" s="191">
        <f t="shared" si="11"/>
        <v>1050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65</v>
      </c>
      <c r="B187" s="193">
        <f>'Données projet'!D175</f>
        <v>42</v>
      </c>
      <c r="C187" s="206">
        <v>30</v>
      </c>
      <c r="D187" s="191">
        <f t="shared" si="11"/>
        <v>1260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70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75</v>
      </c>
      <c r="B189" s="193">
        <f>'Données projet'!D177</f>
        <v>42</v>
      </c>
      <c r="C189" s="206">
        <v>35</v>
      </c>
      <c r="D189" s="191">
        <f t="shared" si="11"/>
        <v>1470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85</v>
      </c>
      <c r="B190" s="193">
        <f>'Données projet'!D178</f>
        <v>42</v>
      </c>
      <c r="C190" s="206">
        <v>40</v>
      </c>
      <c r="D190" s="191">
        <f t="shared" si="11"/>
        <v>1680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95</v>
      </c>
      <c r="B191" s="193">
        <f>'Données projet'!D179</f>
        <v>42</v>
      </c>
      <c r="C191" s="206">
        <v>50</v>
      </c>
      <c r="D191" s="191">
        <f t="shared" si="11"/>
        <v>2100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105</v>
      </c>
      <c r="B192" s="193">
        <f>'Données projet'!D180</f>
        <v>41</v>
      </c>
      <c r="C192" s="206">
        <v>60</v>
      </c>
      <c r="D192" s="191">
        <f t="shared" si="11"/>
        <v>2460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115</v>
      </c>
      <c r="B193" s="193">
        <f>'Données projet'!D181</f>
        <v>37</v>
      </c>
      <c r="C193" s="206">
        <v>70</v>
      </c>
      <c r="D193" s="191">
        <f t="shared" si="11"/>
        <v>2590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125</v>
      </c>
      <c r="B194" s="193">
        <f>'Données projet'!D182</f>
        <v>33</v>
      </c>
      <c r="C194" s="206">
        <v>80</v>
      </c>
      <c r="D194" s="191">
        <f t="shared" si="11"/>
        <v>2640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135</v>
      </c>
      <c r="B195" s="193">
        <f>'Données projet'!D183</f>
        <v>29</v>
      </c>
      <c r="C195" s="206">
        <v>90</v>
      </c>
      <c r="D195" s="191">
        <f t="shared" si="11"/>
        <v>2610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145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150</v>
      </c>
      <c r="B197" s="193">
        <f>'Données projet'!D185</f>
        <v>306</v>
      </c>
      <c r="C197" s="206">
        <v>200</v>
      </c>
      <c r="D197" s="191">
        <f t="shared" si="11"/>
        <v>61200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Oceane.CORNU</cp:lastModifiedBy>
  <dcterms:created xsi:type="dcterms:W3CDTF">2021-02-01T08:22:39Z</dcterms:created>
  <dcterms:modified xsi:type="dcterms:W3CDTF">2023-03-13T09:10:15Z</dcterms:modified>
</cp:coreProperties>
</file>