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\2022-2023\NEAUFLES AUVERGNY (27) - M PASTEL Jacky -BEL\Doc fin\"/>
    </mc:Choice>
  </mc:AlternateContent>
  <xr:revisionPtr revIDLastSave="0" documentId="13_ncr:1_{CA9CC442-623A-4F3B-BCB3-41A8C60A2C73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62" i="2" l="1" a="1"/>
  <c r="AH62" i="2" s="1"/>
  <c r="AH90" i="2" a="1"/>
  <c r="AH90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<sst xmlns="http://schemas.openxmlformats.org/spreadsheetml/2006/main" count="1171" uniqueCount="324">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</sst>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2.1235768107516506</c:v>
                </c:pt>
                <c:pt idx="2">
                  <c:v>3.1747774382906919</c:v>
                </c:pt>
                <c:pt idx="3">
                  <c:v>4.7487335057765518</c:v>
                </c:pt>
                <c:pt idx="4">
                  <c:v>7.1065266585855369</c:v>
                </c:pt>
                <c:pt idx="5">
                  <c:v>10.64015134219788</c:v>
                </c:pt>
                <c:pt idx="6">
                  <c:v>15.938398260732454</c:v>
                </c:pt>
                <c:pt idx="7">
                  <c:v>23.886005345963287</c:v>
                </c:pt>
                <c:pt idx="8">
                  <c:v>35.812925399151389</c:v>
                </c:pt>
                <c:pt idx="9">
                  <c:v>53.719116545060238</c:v>
                </c:pt>
                <c:pt idx="10">
                  <c:v>80.613174971542193</c:v>
                </c:pt>
                <c:pt idx="11">
                  <c:v>81.819481103992061</c:v>
                </c:pt>
                <c:pt idx="12">
                  <c:v>104.66135602287243</c:v>
                </c:pt>
                <c:pt idx="13">
                  <c:v>127.37953432582198</c:v>
                </c:pt>
                <c:pt idx="14">
                  <c:v>149.99929195346508</c:v>
                </c:pt>
                <c:pt idx="15">
                  <c:v>172.53759735059677</c:v>
                </c:pt>
                <c:pt idx="16">
                  <c:v>147.62234714684953</c:v>
                </c:pt>
                <c:pt idx="17">
                  <c:v>171.35318959873044</c:v>
                </c:pt>
                <c:pt idx="18">
                  <c:v>195.00660139274046</c:v>
                </c:pt>
                <c:pt idx="19">
                  <c:v>218.59330254631723</c:v>
                </c:pt>
                <c:pt idx="20">
                  <c:v>242.12150514745778</c:v>
                </c:pt>
                <c:pt idx="21">
                  <c:v>207.98697030718017</c:v>
                </c:pt>
                <c:pt idx="22">
                  <c:v>229.18781162828358</c:v>
                </c:pt>
                <c:pt idx="23">
                  <c:v>250.3437966497514</c:v>
                </c:pt>
                <c:pt idx="24">
                  <c:v>271.45924852820451</c:v>
                </c:pt>
                <c:pt idx="25">
                  <c:v>292.53776259751828</c:v>
                </c:pt>
                <c:pt idx="26">
                  <c:v>257.85595699105767</c:v>
                </c:pt>
                <c:pt idx="27">
                  <c:v>274.74047191396772</c:v>
                </c:pt>
                <c:pt idx="28">
                  <c:v>291.60168035874665</c:v>
                </c:pt>
                <c:pt idx="29">
                  <c:v>308.44111949657531</c:v>
                </c:pt>
                <c:pt idx="30">
                  <c:v>325.26014493454312</c:v>
                </c:pt>
                <c:pt idx="31">
                  <c:v>294.87767605242158</c:v>
                </c:pt>
                <c:pt idx="32">
                  <c:v>307.73989261056744</c:v>
                </c:pt>
                <c:pt idx="33">
                  <c:v>320.59016923293353</c:v>
                </c:pt>
                <c:pt idx="34">
                  <c:v>333.42905204366167</c:v>
                </c:pt>
                <c:pt idx="35">
                  <c:v>346.25704166537025</c:v>
                </c:pt>
                <c:pt idx="36">
                  <c:v>321.99131895367555</c:v>
                </c:pt>
                <c:pt idx="37">
                  <c:v>331.56226659313359</c:v>
                </c:pt>
                <c:pt idx="38">
                  <c:v>341.12712268545346</c:v>
                </c:pt>
                <c:pt idx="39">
                  <c:v>350.68608221443066</c:v>
                </c:pt>
                <c:pt idx="40">
                  <c:v>360.23932866053048</c:v>
                </c:pt>
                <c:pt idx="41">
                  <c:v>341.59354866525337</c:v>
                </c:pt>
                <c:pt idx="42">
                  <c:v>348.58826964633084</c:v>
                </c:pt>
                <c:pt idx="43">
                  <c:v>355.57991102673355</c:v>
                </c:pt>
                <c:pt idx="44">
                  <c:v>362.56854195764782</c:v>
                </c:pt>
                <c:pt idx="45">
                  <c:v>369.55422870449621</c:v>
                </c:pt>
                <c:pt idx="46">
                  <c:v>355.81291351737855</c:v>
                </c:pt>
                <c:pt idx="47">
                  <c:v>360.70519760433893</c:v>
                </c:pt>
                <c:pt idx="48">
                  <c:v>365.59603057312398</c:v>
                </c:pt>
                <c:pt idx="49">
                  <c:v>370.48543459961485</c:v>
                </c:pt>
                <c:pt idx="50">
                  <c:v>375.3734312259034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1" zoomScale="90" zoomScaleNormal="90" workbookViewId="0">
      <selection activeCell="G73" sqref="G7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1.75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18</v>
      </c>
      <c r="C9" s="35">
        <v>0.7</v>
      </c>
      <c r="D9" s="36">
        <f t="shared" ref="D9:D18" si="0">C9*$C$5</f>
        <v>1.2249999999999999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81</v>
      </c>
      <c r="C10" s="35">
        <v>0.3</v>
      </c>
      <c r="D10" s="36">
        <f t="shared" si="0"/>
        <v>0.52500000000000002</v>
      </c>
      <c r="E10" s="37">
        <v>50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1.75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19</v>
      </c>
      <c r="B36" s="63">
        <v>162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8.526315789473685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335</v>
      </c>
      <c r="C37" s="63">
        <v>2</v>
      </c>
      <c r="D37" s="63">
        <v>54</v>
      </c>
      <c r="E37" s="54"/>
      <c r="F37" s="54"/>
      <c r="G37" s="54">
        <v>1</v>
      </c>
      <c r="H37" s="54"/>
      <c r="I37" s="56">
        <f t="shared" ref="I37:I55" si="1">IF(A37&lt;&gt;0,(B37-(B36-D36))/(A37-A36),"")</f>
        <v>28.833333333333332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421</v>
      </c>
      <c r="C38" s="63">
        <v>3</v>
      </c>
      <c r="D38" s="63">
        <v>54</v>
      </c>
      <c r="E38" s="54"/>
      <c r="F38" s="54">
        <v>0.2</v>
      </c>
      <c r="G38" s="54">
        <v>0.8</v>
      </c>
      <c r="H38" s="54"/>
      <c r="I38" s="56">
        <f t="shared" si="1"/>
        <v>28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505</v>
      </c>
      <c r="C39" s="63">
        <v>4</v>
      </c>
      <c r="D39" s="63">
        <v>69</v>
      </c>
      <c r="E39" s="54"/>
      <c r="F39" s="54"/>
      <c r="G39" s="54"/>
      <c r="H39" s="54"/>
      <c r="I39" s="52">
        <f t="shared" si="1"/>
        <v>27.6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564</v>
      </c>
      <c r="C40" s="63">
        <v>5</v>
      </c>
      <c r="D40" s="63">
        <v>72</v>
      </c>
      <c r="E40" s="54"/>
      <c r="F40" s="54"/>
      <c r="G40" s="54"/>
      <c r="H40" s="54"/>
      <c r="I40" s="52">
        <f t="shared" si="1"/>
        <v>25.6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606</v>
      </c>
      <c r="C41" s="63">
        <v>6</v>
      </c>
      <c r="D41" s="63">
        <v>66</v>
      </c>
      <c r="E41" s="54"/>
      <c r="F41" s="54"/>
      <c r="G41" s="54"/>
      <c r="H41" s="54"/>
      <c r="I41" s="56">
        <f t="shared" si="1"/>
        <v>22.8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629</v>
      </c>
      <c r="C42" s="63">
        <v>7</v>
      </c>
      <c r="D42" s="63">
        <v>48</v>
      </c>
      <c r="E42" s="54"/>
      <c r="F42" s="54"/>
      <c r="G42" s="54"/>
      <c r="H42" s="54"/>
      <c r="I42" s="56">
        <f t="shared" si="1"/>
        <v>17.8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v>650</v>
      </c>
      <c r="C43" s="63">
        <v>8</v>
      </c>
      <c r="D43" s="63">
        <v>35</v>
      </c>
      <c r="E43" s="54"/>
      <c r="F43" s="54"/>
      <c r="G43" s="54"/>
      <c r="H43" s="54"/>
      <c r="I43" s="52">
        <f t="shared" si="1"/>
        <v>13.8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666</v>
      </c>
      <c r="C44" s="63">
        <v>9</v>
      </c>
      <c r="D44" s="63">
        <v>666</v>
      </c>
      <c r="E44" s="54"/>
      <c r="F44" s="54"/>
      <c r="G44" s="54"/>
      <c r="H44" s="54"/>
      <c r="I44" s="52">
        <f t="shared" si="1"/>
        <v>10.199999999999999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Mélèze hybride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10</v>
      </c>
      <c r="B62" s="63">
        <v>65</v>
      </c>
      <c r="C62" s="63">
        <v>1</v>
      </c>
      <c r="D62" s="63">
        <v>18</v>
      </c>
      <c r="E62" s="54"/>
      <c r="F62" s="54"/>
      <c r="G62" s="54">
        <v>1</v>
      </c>
      <c r="H62" s="54"/>
      <c r="I62" s="56">
        <f>IFERROR(B62/A62,"")</f>
        <v>6.5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15</v>
      </c>
      <c r="B63" s="63">
        <v>142</v>
      </c>
      <c r="C63" s="63">
        <v>2</v>
      </c>
      <c r="D63" s="63">
        <v>41</v>
      </c>
      <c r="E63" s="54"/>
      <c r="F63" s="54">
        <v>1</v>
      </c>
      <c r="G63" s="54"/>
      <c r="H63" s="54"/>
      <c r="I63" s="52">
        <f>IF(A63&lt;&gt;0,(B63-(B62-D62))/(A63-A62),"")</f>
        <v>19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20</v>
      </c>
      <c r="B64" s="63">
        <v>201</v>
      </c>
      <c r="C64" s="63">
        <v>3</v>
      </c>
      <c r="D64" s="63">
        <v>47</v>
      </c>
      <c r="E64" s="54">
        <v>0.2</v>
      </c>
      <c r="F64" s="54">
        <v>0.8</v>
      </c>
      <c r="G64" s="54"/>
      <c r="H64" s="54"/>
      <c r="I64" s="52">
        <f>IF(A64&lt;&gt;0,(B64-(B63-D63))/(A64-A63),"")</f>
        <v>20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25</v>
      </c>
      <c r="B65" s="63">
        <v>244</v>
      </c>
      <c r="C65" s="63">
        <v>4</v>
      </c>
      <c r="D65" s="63">
        <v>44</v>
      </c>
      <c r="E65" s="54">
        <v>0.3</v>
      </c>
      <c r="F65" s="54">
        <v>0.7</v>
      </c>
      <c r="G65" s="54"/>
      <c r="H65" s="54"/>
      <c r="I65" s="52">
        <f>IF(A65&lt;&gt;0,(B65-(B64-D64))/(A65-A64),"")</f>
        <v>18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30</v>
      </c>
      <c r="B66" s="63">
        <v>272</v>
      </c>
      <c r="C66" s="63">
        <v>5</v>
      </c>
      <c r="D66" s="63">
        <v>37</v>
      </c>
      <c r="E66" s="54"/>
      <c r="F66" s="54"/>
      <c r="G66" s="54"/>
      <c r="H66" s="54"/>
      <c r="I66" s="52">
        <f t="shared" ref="I66:I81" si="2">IF(A66&lt;&gt;0,(B66-(B65-D65))/(A66-A65),"")</f>
        <v>14.4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35</v>
      </c>
      <c r="B67" s="63">
        <v>290</v>
      </c>
      <c r="C67" s="63">
        <v>6</v>
      </c>
      <c r="D67" s="63">
        <v>29</v>
      </c>
      <c r="E67" s="54"/>
      <c r="F67" s="54"/>
      <c r="G67" s="54"/>
      <c r="H67" s="54"/>
      <c r="I67" s="52">
        <f t="shared" si="2"/>
        <v>11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40</v>
      </c>
      <c r="B68" s="63">
        <v>302</v>
      </c>
      <c r="C68" s="63">
        <v>7</v>
      </c>
      <c r="D68" s="63">
        <v>22</v>
      </c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45</v>
      </c>
      <c r="B69" s="53">
        <v>310</v>
      </c>
      <c r="C69" s="53">
        <v>8</v>
      </c>
      <c r="D69" s="53">
        <v>16</v>
      </c>
      <c r="E69" s="54"/>
      <c r="F69" s="54"/>
      <c r="G69" s="54"/>
      <c r="H69" s="54"/>
      <c r="I69" s="52">
        <f t="shared" si="2"/>
        <v>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50</v>
      </c>
      <c r="B70" s="53">
        <v>315</v>
      </c>
      <c r="C70" s="53">
        <v>9</v>
      </c>
      <c r="D70" s="53">
        <v>315</v>
      </c>
      <c r="E70" s="54"/>
      <c r="F70" s="54"/>
      <c r="G70" s="54"/>
      <c r="H70" s="54"/>
      <c r="I70" s="52">
        <f t="shared" si="2"/>
        <v>4.2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E29" sqref="E2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138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Douglas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Mélèze hybride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443.34220761968419</v>
      </c>
      <c r="T3" s="62">
        <f>IF('Données projet'!E9&gt;30,$R$33-$H$33,LOOKUP('Données projet'!$E$9,$A$3:$A$203,R3:R203)-LOOKUP('Données projet'!$E$9,$A$3:$A$203,$H$3:$H$203))</f>
        <v>546.58234447298014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250.47640551318432</v>
      </c>
      <c r="AO3" s="62">
        <f>IF('Données projet'!E10&gt;30,$AM$33-$H$33,LOOKUP('Données projet'!$E$10,$A$3:$A$203,AM3:AM203)-LOOKUP('Données projet'!$E$10,$A$3:$A$203,$H$3:$H$203))</f>
        <v>361.92681160120975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8.526315789473685</v>
      </c>
      <c r="N4" s="14">
        <f>IF('Données projet'!$A$36&gt;35,N3+M4-V3,IF(A4&lt;'Données projet'!$A$36,$K$205^A4,IF(A4='Données projet'!$A$36,'Données projet'!$B$36,N3+M4-V3)))</f>
        <v>1.3070441688874561</v>
      </c>
      <c r="O4" s="14">
        <f>N4*VLOOKUP('Données projet'!$B$9,Paramètres!$A$1:$I$89,3,0)*VLOOKUP('Données projet'!$B$9,Paramètres!$A$1:$I$89,5,0)</f>
        <v>0.73063769040808801</v>
      </c>
      <c r="P4" s="14">
        <f>EXP(-1.0587+0.8836*LN(O4)+0.284)</f>
        <v>0.34923616900555043</v>
      </c>
      <c r="Q4" s="22">
        <f t="shared" ref="Q4:Q34" si="2">(O4+P4)*0.475*44/12</f>
        <v>1.8807803051454206</v>
      </c>
      <c r="R4" s="62">
        <f t="shared" si="0"/>
        <v>259.76966919403429</v>
      </c>
      <c r="S4" s="62">
        <f ca="1">AVERAGE(OFFSET($R$3,0,0,'Données projet'!$E$9+1,1))-AVERAGE(OFFSET($H$3,0,0,'Données projet'!$E$9+1,1))</f>
        <v>443.34220761968419</v>
      </c>
      <c r="T4" s="62">
        <f>$T$3</f>
        <v>546.58234447298014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6.5</v>
      </c>
      <c r="AI4" s="14">
        <f>IF('Données projet'!$A$62&gt;35,AI3+AH4-AQ3,IF(A4&lt;'Données projet'!$A$62,$AF$205^A4,IF(A4='Données projet'!$A$62,'Données projet'!$B$62,AI3+AH4-AQ3)))</f>
        <v>1.5180683844287584</v>
      </c>
      <c r="AJ4" s="14">
        <f>AI4*VLOOKUP('Données projet'!$B$10,Paramètres!$A$1:$I$89,3,0)*VLOOKUP('Données projet'!$B$10,Paramètres!$A$1:$I$89,5,0)</f>
        <v>0.82886533789810213</v>
      </c>
      <c r="AK4" s="14">
        <f>EXP(-1.0587+0.8836*LN(AJ4)+0.284)</f>
        <v>0.39041321372963989</v>
      </c>
      <c r="AL4" s="22">
        <f t="shared" ref="AL4:AL67" si="4">(AJ4+AK4)*0.475*44/12</f>
        <v>2.1235768107516506</v>
      </c>
      <c r="AM4" s="62">
        <f t="shared" ref="AM4:AM67" si="5">AL4+(AD4+AE4)*44/12</f>
        <v>260.01246569964053</v>
      </c>
      <c r="AN4" s="62">
        <f ca="1">AVERAGE(OFFSET($AM$3,0,0,'Données projet'!$E$10+1,1))-AVERAGE(OFFSET($H$3,0,0,'Données projet'!$E$10+1,1))</f>
        <v>250.47640551318432</v>
      </c>
      <c r="AO4" s="62">
        <f>$AO$3</f>
        <v>361.92681160120975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8.526315789473685</v>
      </c>
      <c r="N5" s="14">
        <f>IF('Données projet'!$A$36&gt;35,N4+M5-V4,IF(A5&lt;'Données projet'!$A$36,$K$205^A5,IF(A5='Données projet'!$A$36,'Données projet'!$B$36,N4+M5-V4)))</f>
        <v>1.708364459422701</v>
      </c>
      <c r="O5" s="14">
        <f>N5*VLOOKUP('Données projet'!$B$9,Paramètres!$A$1:$I$89,3,0)*VLOOKUP('Données projet'!$B$9,Paramètres!$A$1:$I$89,5,0)</f>
        <v>0.95497573281728976</v>
      </c>
      <c r="P5" s="14">
        <f t="shared" ref="P5:P68" si="33">EXP(-1.0587+0.8836*LN(O5)+0.284)</f>
        <v>0.44245926414263009</v>
      </c>
      <c r="Q5" s="22">
        <f t="shared" si="2"/>
        <v>2.4338659530385267</v>
      </c>
      <c r="R5" s="62">
        <f t="shared" si="0"/>
        <v>261.54497706414969</v>
      </c>
      <c r="S5" s="62">
        <f ca="1">AVERAGE(OFFSET($R$3,0,0,'Données projet'!$E$9+1,1))-AVERAGE(OFFSET($H$3,0,0,'Données projet'!$E$9+1,1))</f>
        <v>443.34220761968419</v>
      </c>
      <c r="T5" s="62">
        <f t="shared" ref="T5:T68" si="34">$T$3</f>
        <v>546.58234447298014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6.5</v>
      </c>
      <c r="AI5" s="14">
        <f>IF('Données projet'!$A$62&gt;35,AI4+AH5-AQ4,IF(A5&lt;'Données projet'!$A$62,$AF$205^A5,IF(A5='Données projet'!$A$62,'Données projet'!$B$62,AI4+AH5-AQ4)))</f>
        <v>2.3045316198021406</v>
      </c>
      <c r="AJ5" s="14">
        <f>AI5*VLOOKUP('Données projet'!$B$10,Paramètres!$A$1:$I$89,3,0)*VLOOKUP('Données projet'!$B$10,Paramètres!$A$1:$I$89,5,0)</f>
        <v>1.2582742644119687</v>
      </c>
      <c r="AK5" s="14">
        <f t="shared" ref="AK5:AK68" si="35">EXP(-1.0587+0.8836*LN(AJ5)+0.284)</f>
        <v>0.564564456137711</v>
      </c>
      <c r="AL5" s="22">
        <f t="shared" si="4"/>
        <v>3.1747774382906919</v>
      </c>
      <c r="AM5" s="62">
        <f t="shared" si="5"/>
        <v>262.28588854940182</v>
      </c>
      <c r="AN5" s="62">
        <f ca="1">AVERAGE(OFFSET($AM$3,0,0,'Données projet'!$E$10+1,1))-AVERAGE(OFFSET($H$3,0,0,'Données projet'!$E$10+1,1))</f>
        <v>250.47640551318432</v>
      </c>
      <c r="AO5" s="62">
        <f t="shared" ref="AO5:AO68" si="36">$AO$3</f>
        <v>361.92681160120975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8.526315789473685</v>
      </c>
      <c r="N6" s="14">
        <f>IF('Données projet'!$A$36&gt;35,N5+M6-V5,IF(A6&lt;'Données projet'!$A$36,$K$205^A6,IF(A6='Données projet'!$A$36,'Données projet'!$B$36,N5+M6-V5)))</f>
        <v>2.2329078050230127</v>
      </c>
      <c r="O6" s="14">
        <f>N6*VLOOKUP('Données projet'!$B$9,Paramètres!$A$1:$I$89,3,0)*VLOOKUP('Données projet'!$B$9,Paramètres!$A$1:$I$89,5,0)</f>
        <v>1.248195463007864</v>
      </c>
      <c r="P6" s="14">
        <f t="shared" si="33"/>
        <v>0.56056679634040518</v>
      </c>
      <c r="Q6" s="22">
        <f t="shared" si="2"/>
        <v>3.1502609350315693</v>
      </c>
      <c r="R6" s="62">
        <f t="shared" si="0"/>
        <v>263.48359426836487</v>
      </c>
      <c r="S6" s="62">
        <f ca="1">AVERAGE(OFFSET($R$3,0,0,'Données projet'!$E$9+1,1))-AVERAGE(OFFSET($H$3,0,0,'Données projet'!$E$9+1,1))</f>
        <v>443.34220761968419</v>
      </c>
      <c r="T6" s="62">
        <f t="shared" si="34"/>
        <v>546.58234447298014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6.5</v>
      </c>
      <c r="AI6" s="14">
        <f>IF('Données projet'!$A$62&gt;35,AI5+AH6-AQ5,IF(A6&lt;'Données projet'!$A$62,$AF$205^A6,IF(A6='Données projet'!$A$62,'Données projet'!$B$62,AI5+AH6-AQ5)))</f>
        <v>3.4984365929380252</v>
      </c>
      <c r="AJ6" s="14">
        <f>AI6*VLOOKUP('Données projet'!$B$10,Paramètres!$A$1:$I$89,3,0)*VLOOKUP('Données projet'!$B$10,Paramètres!$A$1:$I$89,5,0)</f>
        <v>1.9101463797441618</v>
      </c>
      <c r="AK6" s="14">
        <f t="shared" si="35"/>
        <v>0.8163991738117532</v>
      </c>
      <c r="AL6" s="22">
        <f t="shared" si="4"/>
        <v>4.7487335057765518</v>
      </c>
      <c r="AM6" s="62">
        <f t="shared" si="5"/>
        <v>265.08206683910987</v>
      </c>
      <c r="AN6" s="62">
        <f ca="1">AVERAGE(OFFSET($AM$3,0,0,'Données projet'!$E$10+1,1))-AVERAGE(OFFSET($H$3,0,0,'Données projet'!$E$10+1,1))</f>
        <v>250.47640551318432</v>
      </c>
      <c r="AO6" s="62">
        <f t="shared" si="36"/>
        <v>361.92681160120975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8.526315789473685</v>
      </c>
      <c r="N7" s="14">
        <f>IF('Données projet'!$A$36&gt;35,N6+M7-V6,IF(A7&lt;'Données projet'!$A$36,$K$205^A7,IF(A7='Données projet'!$A$36,'Données projet'!$B$36,N6+M7-V6)))</f>
        <v>2.9185091262186176</v>
      </c>
      <c r="O7" s="14">
        <f>N7*VLOOKUP('Données projet'!$B$9,Paramètres!$A$1:$I$89,3,0)*VLOOKUP('Données projet'!$B$9,Paramètres!$A$1:$I$89,5,0)</f>
        <v>1.6314466015562072</v>
      </c>
      <c r="P7" s="14">
        <f t="shared" si="33"/>
        <v>0.71020127416305878</v>
      </c>
      <c r="Q7" s="22">
        <f t="shared" si="2"/>
        <v>4.0783700502110554</v>
      </c>
      <c r="R7" s="62">
        <f t="shared" si="0"/>
        <v>265.63392560576659</v>
      </c>
      <c r="S7" s="62">
        <f ca="1">AVERAGE(OFFSET($R$3,0,0,'Données projet'!$E$9+1,1))-AVERAGE(OFFSET($H$3,0,0,'Données projet'!$E$9+1,1))</f>
        <v>443.34220761968419</v>
      </c>
      <c r="T7" s="62">
        <f t="shared" si="34"/>
        <v>546.58234447298014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6.5</v>
      </c>
      <c r="AI7" s="14">
        <f>IF('Données projet'!$A$62&gt;35,AI6+AH7-AQ6,IF(A7&lt;'Données projet'!$A$62,$AF$205^A7,IF(A7='Données projet'!$A$62,'Données projet'!$B$62,AI6+AH7-AQ6)))</f>
        <v>5.3108659866678778</v>
      </c>
      <c r="AJ7" s="14">
        <f>AI7*VLOOKUP('Données projet'!$B$10,Paramètres!$A$1:$I$89,3,0)*VLOOKUP('Données projet'!$B$10,Paramètres!$A$1:$I$89,5,0)</f>
        <v>2.8997328287206612</v>
      </c>
      <c r="AK7" s="14">
        <f t="shared" si="35"/>
        <v>1.1805695589839535</v>
      </c>
      <c r="AL7" s="22">
        <f t="shared" si="4"/>
        <v>7.1065266585855369</v>
      </c>
      <c r="AM7" s="62">
        <f t="shared" si="5"/>
        <v>268.66208221414109</v>
      </c>
      <c r="AN7" s="62">
        <f ca="1">AVERAGE(OFFSET($AM$3,0,0,'Données projet'!$E$10+1,1))-AVERAGE(OFFSET($H$3,0,0,'Données projet'!$E$10+1,1))</f>
        <v>250.47640551318432</v>
      </c>
      <c r="AO7" s="62">
        <f t="shared" si="36"/>
        <v>361.92681160120975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8.526315789473685</v>
      </c>
      <c r="N8" s="14">
        <f>IF('Données projet'!$A$36&gt;35,N7+M8-V7,IF(A8&lt;'Données projet'!$A$36,$K$205^A8,IF(A8='Données projet'!$A$36,'Données projet'!$B$36,N7+M8-V7)))</f>
        <v>3.8146203352688688</v>
      </c>
      <c r="O8" s="14">
        <f>N8*VLOOKUP('Données projet'!$B$9,Paramètres!$A$1:$I$89,3,0)*VLOOKUP('Données projet'!$B$9,Paramètres!$A$1:$I$89,5,0)</f>
        <v>2.1323727674152977</v>
      </c>
      <c r="P8" s="14">
        <f t="shared" si="33"/>
        <v>0.89977831922200224</v>
      </c>
      <c r="Q8" s="22">
        <f t="shared" si="2"/>
        <v>5.2809964758932972</v>
      </c>
      <c r="R8" s="62">
        <f t="shared" si="0"/>
        <v>268.05877425367106</v>
      </c>
      <c r="S8" s="62">
        <f ca="1">AVERAGE(OFFSET($R$3,0,0,'Données projet'!$E$9+1,1))-AVERAGE(OFFSET($H$3,0,0,'Données projet'!$E$9+1,1))</f>
        <v>443.34220761968419</v>
      </c>
      <c r="T8" s="62">
        <f t="shared" si="34"/>
        <v>546.58234447298014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6.5</v>
      </c>
      <c r="AI8" s="14">
        <f>IF('Données projet'!$A$62&gt;35,AI7+AH8-AQ7,IF(A8&lt;'Données projet'!$A$62,$AF$205^A8,IF(A8='Données projet'!$A$62,'Données projet'!$B$62,AI7+AH8-AQ7)))</f>
        <v>8.0622577482985491</v>
      </c>
      <c r="AJ8" s="14">
        <f>AI8*VLOOKUP('Données projet'!$B$10,Paramètres!$A$1:$I$89,3,0)*VLOOKUP('Données projet'!$B$10,Paramètres!$A$1:$I$89,5,0)</f>
        <v>4.401992730571008</v>
      </c>
      <c r="AK8" s="14">
        <f t="shared" si="35"/>
        <v>1.7071850735617471</v>
      </c>
      <c r="AL8" s="22">
        <f t="shared" si="4"/>
        <v>10.64015134219788</v>
      </c>
      <c r="AM8" s="62">
        <f t="shared" si="5"/>
        <v>273.41792911997567</v>
      </c>
      <c r="AN8" s="62">
        <f ca="1">AVERAGE(OFFSET($AM$3,0,0,'Données projet'!$E$10+1,1))-AVERAGE(OFFSET($H$3,0,0,'Données projet'!$E$10+1,1))</f>
        <v>250.47640551318432</v>
      </c>
      <c r="AO8" s="62">
        <f t="shared" si="36"/>
        <v>361.92681160120975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8.526315789473685</v>
      </c>
      <c r="N9" s="14">
        <f>IF('Données projet'!$A$36&gt;35,N8+M9-V8,IF(A9&lt;'Données projet'!$A$36,$K$205^A9,IF(A9='Données projet'!$A$36,'Données projet'!$B$36,N8+M9-V8)))</f>
        <v>4.9858772657326877</v>
      </c>
      <c r="O9" s="14">
        <f>N9*VLOOKUP('Données projet'!$B$9,Paramètres!$A$1:$I$89,3,0)*VLOOKUP('Données projet'!$B$9,Paramètres!$A$1:$I$89,5,0)</f>
        <v>2.7871053915445723</v>
      </c>
      <c r="P9" s="14">
        <f t="shared" si="33"/>
        <v>1.1399599707787778</v>
      </c>
      <c r="Q9" s="22">
        <f t="shared" si="2"/>
        <v>6.839638839379834</v>
      </c>
      <c r="R9" s="62">
        <f t="shared" si="0"/>
        <v>270.83963883937986</v>
      </c>
      <c r="S9" s="62">
        <f ca="1">AVERAGE(OFFSET($R$3,0,0,'Données projet'!$E$9+1,1))-AVERAGE(OFFSET($H$3,0,0,'Données projet'!$E$9+1,1))</f>
        <v>443.34220761968419</v>
      </c>
      <c r="T9" s="62">
        <f t="shared" si="34"/>
        <v>546.58234447298014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6.5</v>
      </c>
      <c r="AI9" s="14">
        <f>IF('Données projet'!$A$62&gt;35,AI8+AH9-AQ8,IF(A9&lt;'Données projet'!$A$62,$AF$205^A9,IF(A9='Données projet'!$A$62,'Données projet'!$B$62,AI8+AH9-AQ8)))</f>
        <v>12.239058594807817</v>
      </c>
      <c r="AJ9" s="14">
        <f>AI9*VLOOKUP('Données projet'!$B$10,Paramètres!$A$1:$I$89,3,0)*VLOOKUP('Données projet'!$B$10,Paramètres!$A$1:$I$89,5,0)</f>
        <v>6.6825259927650684</v>
      </c>
      <c r="AK9" s="14">
        <f t="shared" si="35"/>
        <v>2.4687074583731836</v>
      </c>
      <c r="AL9" s="22">
        <f t="shared" si="4"/>
        <v>15.938398260732454</v>
      </c>
      <c r="AM9" s="62">
        <f t="shared" si="5"/>
        <v>279.93839826073247</v>
      </c>
      <c r="AN9" s="62">
        <f ca="1">AVERAGE(OFFSET($AM$3,0,0,'Données projet'!$E$10+1,1))-AVERAGE(OFFSET($H$3,0,0,'Données projet'!$E$10+1,1))</f>
        <v>250.47640551318432</v>
      </c>
      <c r="AO9" s="62">
        <f t="shared" si="36"/>
        <v>361.92681160120975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8.526315789473685</v>
      </c>
      <c r="N10" s="14">
        <f>IF('Données projet'!$A$36&gt;35,N9+M10-V9,IF(A10&lt;'Données projet'!$A$36,$K$205^A10,IF(A10='Données projet'!$A$36,'Données projet'!$B$36,N9+M10-V9)))</f>
        <v>6.5167618069644444</v>
      </c>
      <c r="O10" s="14">
        <f>N10*VLOOKUP('Données projet'!$B$9,Paramètres!$A$1:$I$89,3,0)*VLOOKUP('Données projet'!$B$9,Paramètres!$A$1:$I$89,5,0)</f>
        <v>3.6428698500931249</v>
      </c>
      <c r="P10" s="14">
        <f t="shared" si="33"/>
        <v>1.4442543315575544</v>
      </c>
      <c r="Q10" s="22">
        <f t="shared" si="2"/>
        <v>8.8600746163749324</v>
      </c>
      <c r="R10" s="62">
        <f t="shared" si="0"/>
        <v>274.08229683859719</v>
      </c>
      <c r="S10" s="62">
        <f ca="1">AVERAGE(OFFSET($R$3,0,0,'Données projet'!$E$9+1,1))-AVERAGE(OFFSET($H$3,0,0,'Données projet'!$E$9+1,1))</f>
        <v>443.34220761968419</v>
      </c>
      <c r="T10" s="62">
        <f t="shared" si="34"/>
        <v>546.58234447298014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6.5</v>
      </c>
      <c r="AI10" s="14">
        <f>IF('Données projet'!$A$62&gt;35,AI9+AH10-AQ9,IF(A10&lt;'Données projet'!$A$62,$AF$205^A10,IF(A10='Données projet'!$A$62,'Données projet'!$B$62,AI9+AH10-AQ9)))</f>
        <v>18.579727907948815</v>
      </c>
      <c r="AJ10" s="14">
        <f>AI10*VLOOKUP('Données projet'!$B$10,Paramètres!$A$1:$I$89,3,0)*VLOOKUP('Données projet'!$B$10,Paramètres!$A$1:$I$89,5,0)</f>
        <v>10.144531437740053</v>
      </c>
      <c r="AK10" s="14">
        <f t="shared" si="35"/>
        <v>3.5699213924781037</v>
      </c>
      <c r="AL10" s="22">
        <f t="shared" si="4"/>
        <v>23.886005345963287</v>
      </c>
      <c r="AM10" s="62">
        <f t="shared" si="5"/>
        <v>289.1082275681855</v>
      </c>
      <c r="AN10" s="62">
        <f ca="1">AVERAGE(OFFSET($AM$3,0,0,'Données projet'!$E$10+1,1))-AVERAGE(OFFSET($H$3,0,0,'Données projet'!$E$10+1,1))</f>
        <v>250.47640551318432</v>
      </c>
      <c r="AO10" s="62">
        <f t="shared" si="36"/>
        <v>361.92681160120975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8.526315789473685</v>
      </c>
      <c r="N11" s="14">
        <f>IF('Données projet'!$A$36&gt;35,N10+M11-V10,IF(A11&lt;'Données projet'!$A$36,$K$205^A11,IF(A11='Données projet'!$A$36,'Données projet'!$B$36,N10+M11-V10)))</f>
        <v>8.5176955198213591</v>
      </c>
      <c r="O11" s="14">
        <f>N11*VLOOKUP('Données projet'!$B$9,Paramètres!$A$1:$I$89,3,0)*VLOOKUP('Données projet'!$B$9,Paramètres!$A$1:$I$89,5,0)</f>
        <v>4.7613917955801393</v>
      </c>
      <c r="P11" s="14">
        <f t="shared" si="33"/>
        <v>1.8297752795633417</v>
      </c>
      <c r="Q11" s="22">
        <f t="shared" si="2"/>
        <v>11.479615989208229</v>
      </c>
      <c r="R11" s="62">
        <f t="shared" si="0"/>
        <v>277.9240604336527</v>
      </c>
      <c r="S11" s="62">
        <f ca="1">AVERAGE(OFFSET($R$3,0,0,'Données projet'!$E$9+1,1))-AVERAGE(OFFSET($H$3,0,0,'Données projet'!$E$9+1,1))</f>
        <v>443.34220761968419</v>
      </c>
      <c r="T11" s="62">
        <f t="shared" si="34"/>
        <v>546.58234447298014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6.5</v>
      </c>
      <c r="AI11" s="14">
        <f>IF('Données projet'!$A$62&gt;35,AI10+AH11-AQ10,IF(A11&lt;'Données projet'!$A$62,$AF$205^A11,IF(A11='Données projet'!$A$62,'Données projet'!$B$62,AI10+AH11-AQ10)))</f>
        <v>28.205297528345771</v>
      </c>
      <c r="AJ11" s="14">
        <f>AI11*VLOOKUP('Données projet'!$B$10,Paramètres!$A$1:$I$89,3,0)*VLOOKUP('Données projet'!$B$10,Paramètres!$A$1:$I$89,5,0)</f>
        <v>15.400092450476791</v>
      </c>
      <c r="AK11" s="14">
        <f t="shared" si="35"/>
        <v>5.1623527547775945</v>
      </c>
      <c r="AL11" s="22">
        <f t="shared" si="4"/>
        <v>35.812925399151389</v>
      </c>
      <c r="AM11" s="62">
        <f t="shared" si="5"/>
        <v>302.25736984359582</v>
      </c>
      <c r="AN11" s="62">
        <f ca="1">AVERAGE(OFFSET($AM$3,0,0,'Données projet'!$E$10+1,1))-AVERAGE(OFFSET($H$3,0,0,'Données projet'!$E$10+1,1))</f>
        <v>250.47640551318432</v>
      </c>
      <c r="AO11" s="62">
        <f t="shared" si="36"/>
        <v>361.92681160120975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8.526315789473685</v>
      </c>
      <c r="N12" s="14">
        <f>IF('Données projet'!$A$36&gt;35,N11+M12-V11,IF(A12&lt;'Données projet'!$A$36,$K$205^A12,IF(A12='Données projet'!$A$36,'Données projet'!$B$36,N11+M12-V11)))</f>
        <v>11.133004261541316</v>
      </c>
      <c r="O12" s="14">
        <f>N12*VLOOKUP('Données projet'!$B$9,Paramètres!$A$1:$I$89,3,0)*VLOOKUP('Données projet'!$B$9,Paramètres!$A$1:$I$89,5,0)</f>
        <v>6.2233493822015964</v>
      </c>
      <c r="P12" s="14">
        <f t="shared" si="33"/>
        <v>2.3182049730052579</v>
      </c>
      <c r="Q12" s="22">
        <f t="shared" si="2"/>
        <v>14.87654050198527</v>
      </c>
      <c r="R12" s="62">
        <f t="shared" si="0"/>
        <v>282.54320716865197</v>
      </c>
      <c r="S12" s="62">
        <f ca="1">AVERAGE(OFFSET($R$3,0,0,'Données projet'!$E$9+1,1))-AVERAGE(OFFSET($H$3,0,0,'Données projet'!$E$9+1,1))</f>
        <v>443.34220761968419</v>
      </c>
      <c r="T12" s="62">
        <f t="shared" si="34"/>
        <v>546.58234447298014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6.5</v>
      </c>
      <c r="AI12" s="14">
        <f>IF('Données projet'!$A$62&gt;35,AI11+AH12-AQ11,IF(A12&lt;'Données projet'!$A$62,$AF$205^A12,IF(A12='Données projet'!$A$62,'Données projet'!$B$62,AI11+AH12-AQ11)))</f>
        <v>42.817570451188317</v>
      </c>
      <c r="AJ12" s="14">
        <f>AI12*VLOOKUP('Données projet'!$B$10,Paramètres!$A$1:$I$89,3,0)*VLOOKUP('Données projet'!$B$10,Paramètres!$A$1:$I$89,5,0)</f>
        <v>23.378393466348818</v>
      </c>
      <c r="AK12" s="14">
        <f t="shared" si="35"/>
        <v>7.4651184255517995</v>
      </c>
      <c r="AL12" s="22">
        <f t="shared" si="4"/>
        <v>53.719116545060238</v>
      </c>
      <c r="AM12" s="62">
        <f t="shared" si="5"/>
        <v>321.3857832117269</v>
      </c>
      <c r="AN12" s="62">
        <f ca="1">AVERAGE(OFFSET($AM$3,0,0,'Données projet'!$E$10+1,1))-AVERAGE(OFFSET($H$3,0,0,'Données projet'!$E$10+1,1))</f>
        <v>250.47640551318432</v>
      </c>
      <c r="AO12" s="62">
        <f t="shared" si="36"/>
        <v>361.92681160120975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8.526315789473685</v>
      </c>
      <c r="N13" s="14">
        <f>IF('Données projet'!$A$36&gt;35,N12+M13-V12,IF(A13&lt;'Données projet'!$A$36,$K$205^A13,IF(A13='Données projet'!$A$36,'Données projet'!$B$36,N12+M13-V12)))</f>
        <v>14.551328302246779</v>
      </c>
      <c r="O13" s="14">
        <f>N13*VLOOKUP('Données projet'!$B$9,Paramètres!$A$1:$I$89,3,0)*VLOOKUP('Données projet'!$B$9,Paramètres!$A$1:$I$89,5,0)</f>
        <v>8.1341925209559491</v>
      </c>
      <c r="P13" s="14">
        <f t="shared" si="33"/>
        <v>2.9370132807503975</v>
      </c>
      <c r="Q13" s="22">
        <f t="shared" si="2"/>
        <v>19.282350104638549</v>
      </c>
      <c r="R13" s="62">
        <f t="shared" si="0"/>
        <v>288.17123899352742</v>
      </c>
      <c r="S13" s="62">
        <f ca="1">AVERAGE(OFFSET($R$3,0,0,'Données projet'!$E$9+1,1))-AVERAGE(OFFSET($H$3,0,0,'Données projet'!$E$9+1,1))</f>
        <v>443.34220761968419</v>
      </c>
      <c r="T13" s="62">
        <f t="shared" si="34"/>
        <v>546.58234447298014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65</v>
      </c>
      <c r="AG13" s="13">
        <f>VLOOKUP(A13,'Données projet'!$A$61:$I$81,9,0)</f>
        <v>6.5</v>
      </c>
      <c r="AH13" s="13">
        <f t="array" ref="AH13">INDEX(AG:AG,MIN(IF(ISNUMBER(AG13:AG209),ROW(AG13:AG209),"")))</f>
        <v>6.5</v>
      </c>
      <c r="AI13" s="14">
        <f>IF('Données projet'!$A$62&gt;35,AI12+AH13-AQ12,IF(A13&lt;'Données projet'!$A$62,$AF$205^A13,IF(A13='Données projet'!$A$62,'Données projet'!$B$62,AI12+AH13-AQ12)))</f>
        <v>65</v>
      </c>
      <c r="AJ13" s="14">
        <f>AI13*VLOOKUP('Données projet'!$B$10,Paramètres!$A$1:$I$89,3,0)*VLOOKUP('Données projet'!$B$10,Paramètres!$A$1:$I$89,5,0)</f>
        <v>35.49</v>
      </c>
      <c r="AK13" s="14">
        <f t="shared" si="35"/>
        <v>10.79507653868451</v>
      </c>
      <c r="AL13" s="22">
        <f t="shared" si="4"/>
        <v>80.613174971542193</v>
      </c>
      <c r="AM13" s="62">
        <f t="shared" si="5"/>
        <v>349.50206386043106</v>
      </c>
      <c r="AN13" s="62">
        <f ca="1">AVERAGE(OFFSET($AM$3,0,0,'Données projet'!$E$10+1,1))-AVERAGE(OFFSET($H$3,0,0,'Données projet'!$E$10+1,1))</f>
        <v>250.47640551318432</v>
      </c>
      <c r="AO13" s="62">
        <f t="shared" si="36"/>
        <v>361.92681160120975</v>
      </c>
      <c r="AP13" s="16">
        <f>IF(ISNA(VLOOKUP(A13,'Données projet'!$A$61:$I$81,3,0)),0,VLOOKUP(A13,'Données projet'!$A$61:$I$81,3,0))</f>
        <v>1</v>
      </c>
      <c r="AQ13" s="16">
        <f>IF(ISNA(VLOOKUP(A13,'Données projet'!$A$61:$I$81,4,0)),0,VLOOKUP(A13,'Données projet'!$A$61:$I$81,4,0))</f>
        <v>18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1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11.127579020090105</v>
      </c>
      <c r="AX13" s="23">
        <f t="shared" si="6"/>
        <v>11.127579020090105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8.526315789473685</v>
      </c>
      <c r="N14" s="14">
        <f>IF('Données projet'!$A$36&gt;35,N13+M14-V13,IF(A14&lt;'Données projet'!$A$36,$K$205^A14,IF(A14='Données projet'!$A$36,'Données projet'!$B$36,N13+M14-V13)))</f>
        <v>19.01922880701866</v>
      </c>
      <c r="O14" s="14">
        <f>N14*VLOOKUP('Données projet'!$B$9,Paramètres!$A$1:$I$89,3,0)*VLOOKUP('Données projet'!$B$9,Paramètres!$A$1:$I$89,5,0)</f>
        <v>10.631748903123432</v>
      </c>
      <c r="P14" s="14">
        <f t="shared" si="33"/>
        <v>3.7210027205323613</v>
      </c>
      <c r="Q14" s="22">
        <f t="shared" si="2"/>
        <v>24.997709077867171</v>
      </c>
      <c r="R14" s="62">
        <f t="shared" si="0"/>
        <v>295.10882018897831</v>
      </c>
      <c r="S14" s="62">
        <f ca="1">AVERAGE(OFFSET($R$3,0,0,'Données projet'!$E$9+1,1))-AVERAGE(OFFSET($H$3,0,0,'Données projet'!$E$9+1,1))</f>
        <v>443.34220761968419</v>
      </c>
      <c r="T14" s="62">
        <f t="shared" si="34"/>
        <v>546.58234447298014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19</v>
      </c>
      <c r="AI14" s="14">
        <f>IF('Données projet'!$A$62&gt;35,AI13+AH14-AQ13,IF(A14&lt;'Données projet'!$A$62,$AF$205^A14,IF(A14='Données projet'!$A$62,'Données projet'!$B$62,AI13+AH14-AQ13)))</f>
        <v>66</v>
      </c>
      <c r="AJ14" s="14">
        <f>AI14*VLOOKUP('Données projet'!$B$10,Paramètres!$A$1:$I$89,3,0)*VLOOKUP('Données projet'!$B$10,Paramètres!$A$1:$I$89,5,0)</f>
        <v>36.036000000000001</v>
      </c>
      <c r="AK14" s="14">
        <f t="shared" si="35"/>
        <v>10.941692499899743</v>
      </c>
      <c r="AL14" s="22">
        <f t="shared" si="4"/>
        <v>81.819481103992061</v>
      </c>
      <c r="AM14" s="62">
        <f t="shared" si="5"/>
        <v>351.93059221510322</v>
      </c>
      <c r="AN14" s="62">
        <f ca="1">AVERAGE(OFFSET($AM$3,0,0,'Données projet'!$E$10+1,1))-AVERAGE(OFFSET($H$3,0,0,'Données projet'!$E$10+1,1))</f>
        <v>250.47640551318432</v>
      </c>
      <c r="AO14" s="62">
        <f t="shared" si="36"/>
        <v>361.92681160120975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7.8683865832948712</v>
      </c>
      <c r="AX14" s="23">
        <f t="shared" si="6"/>
        <v>7.8683865832948712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8.526315789473685</v>
      </c>
      <c r="N15" s="14">
        <f>IF('Données projet'!$A$36&gt;35,N14+M15-V14,IF(A15&lt;'Données projet'!$A$36,$K$205^A15,IF(A15='Données projet'!$A$36,'Données projet'!$B$36,N14+M15-V14)))</f>
        <v>24.85897210895007</v>
      </c>
      <c r="O15" s="14">
        <f>N15*VLOOKUP('Données projet'!$B$9,Paramètres!$A$1:$I$89,3,0)*VLOOKUP('Données projet'!$B$9,Paramètres!$A$1:$I$89,5,0)</f>
        <v>13.896165408903089</v>
      </c>
      <c r="P15" s="14">
        <f t="shared" si="33"/>
        <v>4.7142657940830492</v>
      </c>
      <c r="Q15" s="22">
        <f t="shared" si="2"/>
        <v>32.413167678534187</v>
      </c>
      <c r="R15" s="62">
        <f t="shared" si="0"/>
        <v>303.74650101186751</v>
      </c>
      <c r="S15" s="62">
        <f ca="1">AVERAGE(OFFSET($R$3,0,0,'Données projet'!$E$9+1,1))-AVERAGE(OFFSET($H$3,0,0,'Données projet'!$E$9+1,1))</f>
        <v>443.34220761968419</v>
      </c>
      <c r="T15" s="62">
        <f t="shared" si="34"/>
        <v>546.58234447298014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19</v>
      </c>
      <c r="AI15" s="14">
        <f>IF('Données projet'!$A$62&gt;35,AI14+AH15-AQ14,IF(A15&lt;'Données projet'!$A$62,$AF$205^A15,IF(A15='Données projet'!$A$62,'Données projet'!$B$62,AI14+AH15-AQ14)))</f>
        <v>85</v>
      </c>
      <c r="AJ15" s="14">
        <f>AI15*VLOOKUP('Données projet'!$B$10,Paramètres!$A$1:$I$89,3,0)*VLOOKUP('Données projet'!$B$10,Paramètres!$A$1:$I$89,5,0)</f>
        <v>46.41</v>
      </c>
      <c r="AK15" s="14">
        <f t="shared" si="35"/>
        <v>13.682644606433925</v>
      </c>
      <c r="AL15" s="22">
        <f t="shared" si="4"/>
        <v>104.66135602287243</v>
      </c>
      <c r="AM15" s="62">
        <f t="shared" si="5"/>
        <v>375.99468935620575</v>
      </c>
      <c r="AN15" s="62">
        <f ca="1">AVERAGE(OFFSET($AM$3,0,0,'Données projet'!$E$10+1,1))-AVERAGE(OFFSET($H$3,0,0,'Données projet'!$E$10+1,1))</f>
        <v>250.47640551318432</v>
      </c>
      <c r="AO15" s="62">
        <f t="shared" si="36"/>
        <v>361.92681160120975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5.5637895100450532</v>
      </c>
      <c r="AX15" s="23">
        <f t="shared" si="6"/>
        <v>5.5637895100450532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8.526315789473685</v>
      </c>
      <c r="N16" s="14">
        <f>IF('Données projet'!$A$36&gt;35,N15+M16-V15,IF(A16&lt;'Données projet'!$A$36,$K$205^A16,IF(A16='Données projet'!$A$36,'Données projet'!$B$36,N15+M16-V15)))</f>
        <v>32.491774539539094</v>
      </c>
      <c r="O16" s="14">
        <f>N16*VLOOKUP('Données projet'!$B$9,Paramètres!$A$1:$I$89,3,0)*VLOOKUP('Données projet'!$B$9,Paramètres!$A$1:$I$89,5,0)</f>
        <v>18.162901967602355</v>
      </c>
      <c r="P16" s="14">
        <f t="shared" si="33"/>
        <v>5.9726648020514927</v>
      </c>
      <c r="Q16" s="22">
        <f t="shared" si="2"/>
        <v>42.036112123813787</v>
      </c>
      <c r="R16" s="62">
        <f t="shared" si="0"/>
        <v>314.59166767936932</v>
      </c>
      <c r="S16" s="62">
        <f ca="1">AVERAGE(OFFSET($R$3,0,0,'Données projet'!$E$9+1,1))-AVERAGE(OFFSET($H$3,0,0,'Données projet'!$E$9+1,1))</f>
        <v>443.34220761968419</v>
      </c>
      <c r="T16" s="62">
        <f t="shared" si="34"/>
        <v>546.58234447298014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19</v>
      </c>
      <c r="AI16" s="14">
        <f>IF('Données projet'!$A$62&gt;35,AI15+AH16-AQ15,IF(A16&lt;'Données projet'!$A$62,$AF$205^A16,IF(A16='Données projet'!$A$62,'Données projet'!$B$62,AI15+AH16-AQ15)))</f>
        <v>104</v>
      </c>
      <c r="AJ16" s="14">
        <f>AI16*VLOOKUP('Données projet'!$B$10,Paramètres!$A$1:$I$89,3,0)*VLOOKUP('Données projet'!$B$10,Paramètres!$A$1:$I$89,5,0)</f>
        <v>56.783999999999999</v>
      </c>
      <c r="AK16" s="14">
        <f t="shared" si="35"/>
        <v>16.352574732529362</v>
      </c>
      <c r="AL16" s="22">
        <f t="shared" si="4"/>
        <v>127.37953432582198</v>
      </c>
      <c r="AM16" s="62">
        <f t="shared" si="5"/>
        <v>399.93508988137751</v>
      </c>
      <c r="AN16" s="62">
        <f ca="1">AVERAGE(OFFSET($AM$3,0,0,'Données projet'!$E$10+1,1))-AVERAGE(OFFSET($H$3,0,0,'Données projet'!$E$10+1,1))</f>
        <v>250.47640551318432</v>
      </c>
      <c r="AO16" s="62">
        <f t="shared" si="36"/>
        <v>361.92681160120975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3.934193291647436</v>
      </c>
      <c r="AX16" s="23">
        <f t="shared" si="6"/>
        <v>3.934193291647436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8.526315789473685</v>
      </c>
      <c r="N17" s="14">
        <f>IF('Données projet'!$A$36&gt;35,N16+M17-V16,IF(A17&lt;'Données projet'!$A$36,$K$205^A17,IF(A17='Données projet'!$A$36,'Données projet'!$B$36,N16+M17-V16)))</f>
        <v>42.468184448710481</v>
      </c>
      <c r="O17" s="14">
        <f>N17*VLOOKUP('Données projet'!$B$9,Paramètres!$A$1:$I$89,3,0)*VLOOKUP('Données projet'!$B$9,Paramètres!$A$1:$I$89,5,0)</f>
        <v>23.739715106829159</v>
      </c>
      <c r="P17" s="14">
        <f t="shared" si="33"/>
        <v>7.5669736064602473</v>
      </c>
      <c r="Q17" s="22">
        <f t="shared" si="2"/>
        <v>54.525816175645708</v>
      </c>
      <c r="R17" s="62">
        <f t="shared" si="0"/>
        <v>328.3035939534235</v>
      </c>
      <c r="S17" s="62">
        <f ca="1">AVERAGE(OFFSET($R$3,0,0,'Données projet'!$E$9+1,1))-AVERAGE(OFFSET($H$3,0,0,'Données projet'!$E$9+1,1))</f>
        <v>443.34220761968419</v>
      </c>
      <c r="T17" s="62">
        <f t="shared" si="34"/>
        <v>546.58234447298014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19</v>
      </c>
      <c r="AI17" s="14">
        <f>IF('Données projet'!$A$62&gt;35,AI16+AH17-AQ16,IF(A17&lt;'Données projet'!$A$62,$AF$205^A17,IF(A17='Données projet'!$A$62,'Données projet'!$B$62,AI16+AH17-AQ16)))</f>
        <v>123</v>
      </c>
      <c r="AJ17" s="14">
        <f>AI17*VLOOKUP('Données projet'!$B$10,Paramètres!$A$1:$I$89,3,0)*VLOOKUP('Données projet'!$B$10,Paramètres!$A$1:$I$89,5,0)</f>
        <v>67.158000000000001</v>
      </c>
      <c r="AK17" s="14">
        <f t="shared" si="35"/>
        <v>18.965995379979955</v>
      </c>
      <c r="AL17" s="22">
        <f t="shared" si="4"/>
        <v>149.99929195346508</v>
      </c>
      <c r="AM17" s="62">
        <f t="shared" si="5"/>
        <v>423.77706973124282</v>
      </c>
      <c r="AN17" s="62">
        <f ca="1">AVERAGE(OFFSET($AM$3,0,0,'Données projet'!$E$10+1,1))-AVERAGE(OFFSET($H$3,0,0,'Données projet'!$E$10+1,1))</f>
        <v>250.47640551318432</v>
      </c>
      <c r="AO17" s="62">
        <f t="shared" si="36"/>
        <v>361.92681160120975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2.781894755022527</v>
      </c>
      <c r="AX17" s="23">
        <f t="shared" si="6"/>
        <v>2.781894755022527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8.526315789473685</v>
      </c>
      <c r="N18" s="14">
        <f>IF('Données projet'!$A$36&gt;35,N17+M18-V17,IF(A18&lt;'Données projet'!$A$36,$K$205^A18,IF(A18='Données projet'!$A$36,'Données projet'!$B$36,N17+M18-V17)))</f>
        <v>55.507792846923991</v>
      </c>
      <c r="O18" s="14">
        <f>N18*VLOOKUP('Données projet'!$B$9,Paramètres!$A$1:$I$89,3,0)*VLOOKUP('Données projet'!$B$9,Paramètres!$A$1:$I$89,5,0)</f>
        <v>31.028856201430514</v>
      </c>
      <c r="P18" s="14">
        <f t="shared" si="33"/>
        <v>9.5868580371693835</v>
      </c>
      <c r="Q18" s="22">
        <f t="shared" si="2"/>
        <v>70.739035632228152</v>
      </c>
      <c r="R18" s="62">
        <f t="shared" si="0"/>
        <v>345.73903563222814</v>
      </c>
      <c r="S18" s="62">
        <f ca="1">AVERAGE(OFFSET($R$3,0,0,'Données projet'!$E$9+1,1))-AVERAGE(OFFSET($H$3,0,0,'Données projet'!$E$9+1,1))</f>
        <v>443.34220761968419</v>
      </c>
      <c r="T18" s="62">
        <f t="shared" si="34"/>
        <v>546.58234447298014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142</v>
      </c>
      <c r="AG18" s="13">
        <f>VLOOKUP(A18,'Données projet'!$A$61:$I$81,9,0)</f>
        <v>19</v>
      </c>
      <c r="AH18" s="13">
        <f t="array" ref="AH18">INDEX(AG:AG,MIN(IF(ISNUMBER(AG18:AG214),ROW(AG18:AG214),"")))</f>
        <v>19</v>
      </c>
      <c r="AI18" s="14">
        <f>IF('Données projet'!$A$62&gt;35,AI17+AH18-AQ17,IF(A18&lt;'Données projet'!$A$62,$AF$205^A18,IF(A18='Données projet'!$A$62,'Données projet'!$B$62,AI17+AH18-AQ17)))</f>
        <v>142</v>
      </c>
      <c r="AJ18" s="14">
        <f>AI18*VLOOKUP('Données projet'!$B$10,Paramètres!$A$1:$I$89,3,0)*VLOOKUP('Données projet'!$B$10,Paramètres!$A$1:$I$89,5,0)</f>
        <v>77.531999999999996</v>
      </c>
      <c r="AK18" s="14">
        <f t="shared" si="35"/>
        <v>21.532649196514885</v>
      </c>
      <c r="AL18" s="22">
        <f t="shared" si="4"/>
        <v>172.53759735059677</v>
      </c>
      <c r="AM18" s="62">
        <f t="shared" si="5"/>
        <v>447.5375973505968</v>
      </c>
      <c r="AN18" s="62">
        <f ca="1">AVERAGE(OFFSET($AM$3,0,0,'Données projet'!$E$10+1,1))-AVERAGE(OFFSET($H$3,0,0,'Données projet'!$E$10+1,1))</f>
        <v>250.47640551318432</v>
      </c>
      <c r="AO18" s="62">
        <f t="shared" si="36"/>
        <v>361.92681160120975</v>
      </c>
      <c r="AP18" s="16">
        <f>IF(ISNA(VLOOKUP(A18,'Données projet'!$A$61:$I$81,3,0)),0,VLOOKUP(A18,'Données projet'!$A$61:$I$81,3,0))</f>
        <v>2</v>
      </c>
      <c r="AQ18" s="16">
        <f>IF(ISNA(VLOOKUP(A18,'Données projet'!$A$61:$I$81,4,0)),0,VLOOKUP(A18,'Données projet'!$A$61:$I$81,4,0))</f>
        <v>41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0.6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17.747727344615061</v>
      </c>
      <c r="AW18" s="23">
        <f>EXP(-LN(2)/2)*AW17+(1-EXP(-LN(2)/2))/(LN(2)/2)*AQ18*AT18*VLOOKUP('Données projet'!$B$10,Paramètres!$A$1:$I$89,3,0)*0.475*44/12</f>
        <v>1.9670966458237185</v>
      </c>
      <c r="AX18" s="23">
        <f t="shared" si="6"/>
        <v>19.714823990438781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8.526315789473685</v>
      </c>
      <c r="N19" s="14">
        <f>IF('Données projet'!$A$36&gt;35,N18+M19-V18,IF(A19&lt;'Données projet'!$A$36,$K$205^A19,IF(A19='Données projet'!$A$36,'Données projet'!$B$36,N18+M19-V18)))</f>
        <v>72.551136968384853</v>
      </c>
      <c r="O19" s="14">
        <f>N19*VLOOKUP('Données projet'!$B$9,Paramètres!$A$1:$I$89,3,0)*VLOOKUP('Données projet'!$B$9,Paramètres!$A$1:$I$89,5,0)</f>
        <v>40.55608556532713</v>
      </c>
      <c r="P19" s="14">
        <f t="shared" si="33"/>
        <v>12.145918805157919</v>
      </c>
      <c r="Q19" s="22">
        <f t="shared" si="2"/>
        <v>91.78932427859479</v>
      </c>
      <c r="R19" s="62">
        <f t="shared" si="0"/>
        <v>368.01154650081702</v>
      </c>
      <c r="S19" s="62">
        <f ca="1">AVERAGE(OFFSET($R$3,0,0,'Données projet'!$E$9+1,1))-AVERAGE(OFFSET($H$3,0,0,'Données projet'!$E$9+1,1))</f>
        <v>443.34220761968419</v>
      </c>
      <c r="T19" s="62">
        <f t="shared" si="34"/>
        <v>546.58234447298014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20</v>
      </c>
      <c r="AI19" s="14">
        <f>IF('Données projet'!$A$62&gt;35,AI18+AH19-AQ18,IF(A19&lt;'Données projet'!$A$62,$AF$205^A19,IF(A19='Données projet'!$A$62,'Données projet'!$B$62,AI18+AH19-AQ18)))</f>
        <v>121</v>
      </c>
      <c r="AJ19" s="14">
        <f>AI19*VLOOKUP('Données projet'!$B$10,Paramètres!$A$1:$I$89,3,0)*VLOOKUP('Données projet'!$B$10,Paramètres!$A$1:$I$89,5,0)</f>
        <v>66.066000000000003</v>
      </c>
      <c r="AK19" s="14">
        <f t="shared" si="35"/>
        <v>18.69324238096624</v>
      </c>
      <c r="AL19" s="22">
        <f t="shared" si="4"/>
        <v>147.62234714684953</v>
      </c>
      <c r="AM19" s="62">
        <f t="shared" si="5"/>
        <v>423.84456936907179</v>
      </c>
      <c r="AN19" s="62">
        <f ca="1">AVERAGE(OFFSET($AM$3,0,0,'Données projet'!$E$10+1,1))-AVERAGE(OFFSET($H$3,0,0,'Données projet'!$E$10+1,1))</f>
        <v>250.47640551318432</v>
      </c>
      <c r="AO19" s="62">
        <f t="shared" si="36"/>
        <v>361.92681160120975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17.262414807064143</v>
      </c>
      <c r="AW19" s="23">
        <f>EXP(-LN(2)/2)*AW18+(1-EXP(-LN(2)/2))/(LN(2)/2)*AQ19*AT19*VLOOKUP('Données projet'!$B$10,Paramètres!$A$1:$I$89,3,0)*0.475*44/12</f>
        <v>1.3909473775112637</v>
      </c>
      <c r="AX19" s="23">
        <f t="shared" si="6"/>
        <v>18.653362184575407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8.526315789473685</v>
      </c>
      <c r="N20" s="14">
        <f>IF('Données projet'!$A$36&gt;35,N19+M20-V19,IF(A20&lt;'Données projet'!$A$36,$K$205^A20,IF(A20='Données projet'!$A$36,'Données projet'!$B$36,N19+M20-V19)))</f>
        <v>94.827540520682575</v>
      </c>
      <c r="O20" s="14">
        <f>N20*VLOOKUP('Données projet'!$B$9,Paramètres!$A$1:$I$89,3,0)*VLOOKUP('Données projet'!$B$9,Paramètres!$A$1:$I$89,5,0)</f>
        <v>53.008595151061563</v>
      </c>
      <c r="P20" s="14">
        <f t="shared" si="33"/>
        <v>15.388080542084102</v>
      </c>
      <c r="Q20" s="22">
        <f t="shared" si="2"/>
        <v>119.12421016556203</v>
      </c>
      <c r="R20" s="62">
        <f t="shared" si="0"/>
        <v>396.56865461000649</v>
      </c>
      <c r="S20" s="62">
        <f ca="1">AVERAGE(OFFSET($R$3,0,0,'Données projet'!$E$9+1,1))-AVERAGE(OFFSET($H$3,0,0,'Données projet'!$E$9+1,1))</f>
        <v>443.34220761968419</v>
      </c>
      <c r="T20" s="62">
        <f t="shared" si="34"/>
        <v>546.58234447298014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20</v>
      </c>
      <c r="AI20" s="14">
        <f>IF('Données projet'!$A$62&gt;35,AI19+AH20-AQ19,IF(A20&lt;'Données projet'!$A$62,$AF$205^A20,IF(A20='Données projet'!$A$62,'Données projet'!$B$62,AI19+AH20-AQ19)))</f>
        <v>141</v>
      </c>
      <c r="AJ20" s="14">
        <f>AI20*VLOOKUP('Données projet'!$B$10,Paramètres!$A$1:$I$89,3,0)*VLOOKUP('Données projet'!$B$10,Paramètres!$A$1:$I$89,5,0)</f>
        <v>76.986000000000004</v>
      </c>
      <c r="AK20" s="14">
        <f t="shared" si="35"/>
        <v>21.398606468170591</v>
      </c>
      <c r="AL20" s="22">
        <f t="shared" si="4"/>
        <v>171.35318959873044</v>
      </c>
      <c r="AM20" s="62">
        <f t="shared" si="5"/>
        <v>448.79763404317487</v>
      </c>
      <c r="AN20" s="62">
        <f ca="1">AVERAGE(OFFSET($AM$3,0,0,'Données projet'!$E$10+1,1))-AVERAGE(OFFSET($H$3,0,0,'Données projet'!$E$10+1,1))</f>
        <v>250.47640551318432</v>
      </c>
      <c r="AO20" s="62">
        <f t="shared" si="36"/>
        <v>361.92681160120975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16.790373166374032</v>
      </c>
      <c r="AW20" s="23">
        <f>EXP(-LN(2)/2)*AW19+(1-EXP(-LN(2)/2))/(LN(2)/2)*AQ20*AT20*VLOOKUP('Données projet'!$B$10,Paramètres!$A$1:$I$89,3,0)*0.475*44/12</f>
        <v>0.98354832291185934</v>
      </c>
      <c r="AX20" s="23">
        <f t="shared" si="6"/>
        <v>17.77392148928589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8.526315789473685</v>
      </c>
      <c r="N21" s="14">
        <f>IF('Données projet'!$A$36&gt;35,N20+M21-V20,IF(A21&lt;'Données projet'!$A$36,$K$205^A21,IF(A21='Données projet'!$A$36,'Données projet'!$B$36,N20+M21-V20)))</f>
        <v>123.94378388749713</v>
      </c>
      <c r="O21" s="14">
        <f>N21*VLOOKUP('Données projet'!$B$9,Paramètres!$A$1:$I$89,3,0)*VLOOKUP('Données projet'!$B$9,Paramètres!$A$1:$I$89,5,0)</f>
        <v>69.284575193110896</v>
      </c>
      <c r="P21" s="14">
        <f t="shared" si="33"/>
        <v>19.495686293334202</v>
      </c>
      <c r="Q21" s="22">
        <f t="shared" si="2"/>
        <v>154.62562208889187</v>
      </c>
      <c r="R21" s="62">
        <f t="shared" si="0"/>
        <v>433.29228875555856</v>
      </c>
      <c r="S21" s="62">
        <f ca="1">AVERAGE(OFFSET($R$3,0,0,'Données projet'!$E$9+1,1))-AVERAGE(OFFSET($H$3,0,0,'Données projet'!$E$9+1,1))</f>
        <v>443.34220761968419</v>
      </c>
      <c r="T21" s="62">
        <f t="shared" si="34"/>
        <v>546.58234447298014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20</v>
      </c>
      <c r="AI21" s="14">
        <f>IF('Données projet'!$A$62&gt;35,AI20+AH21-AQ20,IF(A21&lt;'Données projet'!$A$62,$AF$205^A21,IF(A21='Données projet'!$A$62,'Données projet'!$B$62,AI20+AH21-AQ20)))</f>
        <v>161</v>
      </c>
      <c r="AJ21" s="14">
        <f>AI21*VLOOKUP('Données projet'!$B$10,Paramètres!$A$1:$I$89,3,0)*VLOOKUP('Données projet'!$B$10,Paramètres!$A$1:$I$89,5,0)</f>
        <v>87.906000000000006</v>
      </c>
      <c r="AK21" s="14">
        <f t="shared" si="35"/>
        <v>24.059512761382098</v>
      </c>
      <c r="AL21" s="22">
        <f t="shared" si="4"/>
        <v>195.00660139274046</v>
      </c>
      <c r="AM21" s="62">
        <f t="shared" si="5"/>
        <v>473.67326805940718</v>
      </c>
      <c r="AN21" s="62">
        <f ca="1">AVERAGE(OFFSET($AM$3,0,0,'Données projet'!$E$10+1,1))-AVERAGE(OFFSET($H$3,0,0,'Données projet'!$E$10+1,1))</f>
        <v>250.47640551318432</v>
      </c>
      <c r="AO21" s="62">
        <f t="shared" si="36"/>
        <v>361.92681160120975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16.331239529172183</v>
      </c>
      <c r="AW21" s="23">
        <f>EXP(-LN(2)/2)*AW20+(1-EXP(-LN(2)/2))/(LN(2)/2)*AQ21*AT21*VLOOKUP('Données projet'!$B$10,Paramètres!$A$1:$I$89,3,0)*0.475*44/12</f>
        <v>0.69547368875563198</v>
      </c>
      <c r="AX21" s="23">
        <f t="shared" si="6"/>
        <v>17.026713217927817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>
        <f>VLOOKUP(A22,'Données projet'!$A$35:$I$55,2,0)</f>
        <v>162</v>
      </c>
      <c r="L22" s="13">
        <f>VLOOKUP(A22,'Données projet'!$A$35:$I$55,9,0)</f>
        <v>8.526315789473685</v>
      </c>
      <c r="M22" s="13">
        <f t="array" ref="M22">INDEX(L:L,MIN(IF(ISNUMBER(L22:L218),ROW(L22:L218),"")))</f>
        <v>8.526315789473685</v>
      </c>
      <c r="N22" s="14">
        <f>IF('Données projet'!$A$36&gt;35,N21+M22-V21,IF(A22&lt;'Données projet'!$A$36,$K$205^A22,IF(A22='Données projet'!$A$36,'Données projet'!$B$36,N21+M22-V21)))</f>
        <v>162</v>
      </c>
      <c r="O22" s="14">
        <f>N22*VLOOKUP('Données projet'!$B$9,Paramètres!$A$1:$I$89,3,0)*VLOOKUP('Données projet'!$B$9,Paramètres!$A$1:$I$89,5,0)</f>
        <v>90.557999999999993</v>
      </c>
      <c r="P22" s="14">
        <f t="shared" si="33"/>
        <v>24.699752708509138</v>
      </c>
      <c r="Q22" s="22">
        <f t="shared" si="2"/>
        <v>200.74058596732007</v>
      </c>
      <c r="R22" s="62">
        <f t="shared" si="0"/>
        <v>480.62947485620896</v>
      </c>
      <c r="S22" s="62">
        <f ca="1">AVERAGE(OFFSET($R$3,0,0,'Données projet'!$E$9+1,1))-AVERAGE(OFFSET($H$3,0,0,'Données projet'!$E$9+1,1))</f>
        <v>443.34220761968419</v>
      </c>
      <c r="T22" s="62">
        <f t="shared" si="34"/>
        <v>546.58234447298014</v>
      </c>
      <c r="U22" s="16">
        <f>IF(ISNA(VLOOKUP(A22,'Données projet'!$A$35:$I$55,3,0)),0,VLOOKUP(A22,'Données projet'!$A$35:$I$55,3,0))</f>
        <v>1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20</v>
      </c>
      <c r="AI22" s="14">
        <f>IF('Données projet'!$A$62&gt;35,AI21+AH22-AQ21,IF(A22&lt;'Données projet'!$A$62,$AF$205^A22,IF(A22='Données projet'!$A$62,'Données projet'!$B$62,AI21+AH22-AQ21)))</f>
        <v>181</v>
      </c>
      <c r="AJ22" s="14">
        <f>AI22*VLOOKUP('Données projet'!$B$10,Paramètres!$A$1:$I$89,3,0)*VLOOKUP('Données projet'!$B$10,Paramètres!$A$1:$I$89,5,0)</f>
        <v>98.825999999999993</v>
      </c>
      <c r="AK22" s="14">
        <f t="shared" si="35"/>
        <v>26.682116294536247</v>
      </c>
      <c r="AL22" s="22">
        <f t="shared" si="4"/>
        <v>218.59330254631723</v>
      </c>
      <c r="AM22" s="62">
        <f t="shared" si="5"/>
        <v>498.48219143520612</v>
      </c>
      <c r="AN22" s="62">
        <f ca="1">AVERAGE(OFFSET($AM$3,0,0,'Données projet'!$E$10+1,1))-AVERAGE(OFFSET($H$3,0,0,'Données projet'!$E$10+1,1))</f>
        <v>250.47640551318432</v>
      </c>
      <c r="AO22" s="62">
        <f t="shared" si="36"/>
        <v>361.92681160120975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15.884660925424409</v>
      </c>
      <c r="AW22" s="23">
        <f>EXP(-LN(2)/2)*AW21+(1-EXP(-LN(2)/2))/(LN(2)/2)*AQ22*AT22*VLOOKUP('Données projet'!$B$10,Paramètres!$A$1:$I$89,3,0)*0.475*44/12</f>
        <v>0.49177416145592978</v>
      </c>
      <c r="AX22" s="23">
        <f t="shared" si="6"/>
        <v>16.376435086880338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28.833333333333332</v>
      </c>
      <c r="N23" s="14">
        <f>IF('Données projet'!$A$36&gt;35,N22+M23-V22,IF(A23&lt;'Données projet'!$A$36,$K$205^A23,IF(A23='Données projet'!$A$36,'Données projet'!$B$36,N22+M23-V22)))</f>
        <v>190.83333333333334</v>
      </c>
      <c r="O23" s="14">
        <f>N23*VLOOKUP('Données projet'!$B$9,Paramètres!$A$1:$I$89,3,0)*VLOOKUP('Données projet'!$B$9,Paramètres!$A$1:$I$89,5,0)</f>
        <v>106.67583333333334</v>
      </c>
      <c r="P23" s="14">
        <f t="shared" si="33"/>
        <v>28.546391754319739</v>
      </c>
      <c r="Q23" s="22">
        <f t="shared" si="2"/>
        <v>235.51204202766243</v>
      </c>
      <c r="R23" s="62">
        <f t="shared" si="0"/>
        <v>516.62315313877355</v>
      </c>
      <c r="S23" s="62">
        <f ca="1">AVERAGE(OFFSET($R$3,0,0,'Données projet'!$E$9+1,1))-AVERAGE(OFFSET($H$3,0,0,'Données projet'!$E$9+1,1))</f>
        <v>443.34220761968419</v>
      </c>
      <c r="T23" s="62">
        <f t="shared" si="34"/>
        <v>546.58234447298014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201</v>
      </c>
      <c r="AG23" s="13">
        <f>VLOOKUP(A23,'Données projet'!$A$61:$I$81,9,0)</f>
        <v>20</v>
      </c>
      <c r="AH23" s="13">
        <f t="array" ref="AH23">INDEX(AG:AG,MIN(IF(ISNUMBER(AG23:AG219),ROW(AG23:AG219),"")))</f>
        <v>20</v>
      </c>
      <c r="AI23" s="14">
        <f>IF('Données projet'!$A$62&gt;35,AI22+AH23-AQ22,IF(A23&lt;'Données projet'!$A$62,$AF$205^A23,IF(A23='Données projet'!$A$62,'Données projet'!$B$62,AI22+AH23-AQ22)))</f>
        <v>201</v>
      </c>
      <c r="AJ23" s="14">
        <f>AI23*VLOOKUP('Données projet'!$B$10,Paramètres!$A$1:$I$89,3,0)*VLOOKUP('Données projet'!$B$10,Paramètres!$A$1:$I$89,5,0)</f>
        <v>109.74600000000001</v>
      </c>
      <c r="AK23" s="14">
        <f t="shared" si="35"/>
        <v>29.271132142080997</v>
      </c>
      <c r="AL23" s="22">
        <f t="shared" si="4"/>
        <v>242.12150514745778</v>
      </c>
      <c r="AM23" s="62">
        <f t="shared" si="5"/>
        <v>523.2326162585689</v>
      </c>
      <c r="AN23" s="62">
        <f ca="1">AVERAGE(OFFSET($AM$3,0,0,'Données projet'!$E$10+1,1))-AVERAGE(OFFSET($H$3,0,0,'Données projet'!$E$10+1,1))</f>
        <v>250.47640551318432</v>
      </c>
      <c r="AO23" s="62">
        <f t="shared" si="36"/>
        <v>361.92681160120975</v>
      </c>
      <c r="AP23" s="16">
        <f>IF(ISNA(VLOOKUP(A23,'Données projet'!$A$61:$I$81,3,0)),0,VLOOKUP(A23,'Données projet'!$A$61:$I$81,3,0))</f>
        <v>3</v>
      </c>
      <c r="AQ23" s="16">
        <f>IF(ISNA(VLOOKUP(A23,'Données projet'!$A$61:$I$81,4,0)),0,VLOOKUP(A23,'Données projet'!$A$61:$I$81,4,0))</f>
        <v>47</v>
      </c>
      <c r="AR23" s="17">
        <f>IF(ISNA(VLOOKUP(A23,'Données projet'!$A$61:$I$81,5,0)),0%,VLOOKUP(A23,'Données projet'!$A$61:$I$81,5,0)*VLOOKUP('Données projet'!$B$10,Paramètres!$A$1:$I$89,7,0))</f>
        <v>0.12</v>
      </c>
      <c r="AS23" s="17">
        <f>IF(ISNA(VLOOKUP(A23,'Données projet'!$A$61:$I$81,6,0)),0%,VLOOKUP(A23,'Données projet'!$A$61:$I$81,6,0)*VLOOKUP('Données projet'!$B$10,Paramètres!$A$1:$I$89,7,0))</f>
        <v>0.48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4.085075646658737</v>
      </c>
      <c r="AV23" s="23">
        <f>EXP(-LN(2)/25)*AV22+(1-EXP(-LN(2)/25))/(LN(2)/25)*Calculateur!AQ23*Calculateur!AS23*VLOOKUP('Données projet'!$B$10,Paramètres!$A$1:$I$89,3,0)*0.475*44/12</f>
        <v>31.726258626288626</v>
      </c>
      <c r="AW23" s="23">
        <f>EXP(-LN(2)/2)*AW22+(1-EXP(-LN(2)/2))/(LN(2)/2)*AQ23*AT23*VLOOKUP('Données projet'!$B$10,Paramètres!$A$1:$I$89,3,0)*0.475*44/12</f>
        <v>0.34773684437781605</v>
      </c>
      <c r="AX23" s="23">
        <f t="shared" si="6"/>
        <v>36.159071117325176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28.833333333333332</v>
      </c>
      <c r="N24" s="14">
        <f>IF('Données projet'!$A$36&gt;35,N23+M24-V23,IF(A24&lt;'Données projet'!$A$36,$K$205^A24,IF(A24='Données projet'!$A$36,'Données projet'!$B$36,N23+M24-V23)))</f>
        <v>219.66666666666669</v>
      </c>
      <c r="O24" s="14">
        <f>N24*VLOOKUP('Données projet'!$B$9,Paramètres!$A$1:$I$89,3,0)*VLOOKUP('Données projet'!$B$9,Paramètres!$A$1:$I$89,5,0)</f>
        <v>122.79366666666668</v>
      </c>
      <c r="P24" s="14">
        <f t="shared" si="33"/>
        <v>32.32570088253398</v>
      </c>
      <c r="Q24" s="22">
        <f t="shared" si="2"/>
        <v>270.16623181485778</v>
      </c>
      <c r="R24" s="62">
        <f t="shared" si="0"/>
        <v>552.4995651481911</v>
      </c>
      <c r="S24" s="62">
        <f ca="1">AVERAGE(OFFSET($R$3,0,0,'Données projet'!$E$9+1,1))-AVERAGE(OFFSET($H$3,0,0,'Données projet'!$E$9+1,1))</f>
        <v>443.34220761968419</v>
      </c>
      <c r="T24" s="62">
        <f t="shared" si="34"/>
        <v>546.58234447298014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18</v>
      </c>
      <c r="AI24" s="14">
        <f>IF('Données projet'!$A$62&gt;35,AI23+AH24-AQ23,IF(A24&lt;'Données projet'!$A$62,$AF$205^A24,IF(A24='Données projet'!$A$62,'Données projet'!$B$62,AI23+AH24-AQ23)))</f>
        <v>172</v>
      </c>
      <c r="AJ24" s="14">
        <f>AI24*VLOOKUP('Données projet'!$B$10,Paramètres!$A$1:$I$89,3,0)*VLOOKUP('Données projet'!$B$10,Paramètres!$A$1:$I$89,5,0)</f>
        <v>93.911999999999992</v>
      </c>
      <c r="AK24" s="14">
        <f t="shared" si="35"/>
        <v>25.506356157232645</v>
      </c>
      <c r="AL24" s="22">
        <f t="shared" si="4"/>
        <v>207.98697030718017</v>
      </c>
      <c r="AM24" s="62">
        <f t="shared" si="5"/>
        <v>490.32030364051349</v>
      </c>
      <c r="AN24" s="62">
        <f ca="1">AVERAGE(OFFSET($AM$3,0,0,'Données projet'!$E$10+1,1))-AVERAGE(OFFSET($H$3,0,0,'Données projet'!$E$10+1,1))</f>
        <v>250.47640551318432</v>
      </c>
      <c r="AO24" s="62">
        <f t="shared" si="36"/>
        <v>361.92681160120975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4.0049698048778737</v>
      </c>
      <c r="AV24" s="23">
        <f>EXP(-LN(2)/25)*AV23+(1-EXP(-LN(2)/25))/(LN(2)/25)*Calculateur!AQ24*Calculateur!AS24*VLOOKUP('Données projet'!$B$10,Paramètres!$A$1:$I$89,3,0)*0.475*44/12</f>
        <v>30.858702415741334</v>
      </c>
      <c r="AW24" s="23">
        <f>EXP(-LN(2)/2)*AW23+(1-EXP(-LN(2)/2))/(LN(2)/2)*AQ24*AT24*VLOOKUP('Données projet'!$B$10,Paramètres!$A$1:$I$89,3,0)*0.475*44/12</f>
        <v>0.24588708072796492</v>
      </c>
      <c r="AX24" s="23">
        <f t="shared" si="6"/>
        <v>35.109559301347176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28.833333333333332</v>
      </c>
      <c r="N25" s="14">
        <f>IF('Données projet'!$A$36&gt;35,N24+M25-V24,IF(A25&lt;'Données projet'!$A$36,$K$205^A25,IF(A25='Données projet'!$A$36,'Données projet'!$B$36,N24+M25-V24)))</f>
        <v>248.50000000000003</v>
      </c>
      <c r="O25" s="14">
        <f>N25*VLOOKUP('Données projet'!$B$9,Paramètres!$A$1:$I$89,3,0)*VLOOKUP('Données projet'!$B$9,Paramètres!$A$1:$I$89,5,0)</f>
        <v>138.91150000000002</v>
      </c>
      <c r="P25" s="14">
        <f t="shared" si="33"/>
        <v>36.047532265727178</v>
      </c>
      <c r="Q25" s="22">
        <f t="shared" si="2"/>
        <v>304.72031452947482</v>
      </c>
      <c r="R25" s="62">
        <f t="shared" si="0"/>
        <v>588.27587008503042</v>
      </c>
      <c r="S25" s="62">
        <f ca="1">AVERAGE(OFFSET($R$3,0,0,'Données projet'!$E$9+1,1))-AVERAGE(OFFSET($H$3,0,0,'Données projet'!$E$9+1,1))</f>
        <v>443.34220761968419</v>
      </c>
      <c r="T25" s="62">
        <f t="shared" si="34"/>
        <v>546.58234447298014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18</v>
      </c>
      <c r="AI25" s="14">
        <f>IF('Données projet'!$A$62&gt;35,AI24+AH25-AQ24,IF(A25&lt;'Données projet'!$A$62,$AF$205^A25,IF(A25='Données projet'!$A$62,'Données projet'!$B$62,AI24+AH25-AQ24)))</f>
        <v>190</v>
      </c>
      <c r="AJ25" s="14">
        <f>AI25*VLOOKUP('Données projet'!$B$10,Paramètres!$A$1:$I$89,3,0)*VLOOKUP('Données projet'!$B$10,Paramètres!$A$1:$I$89,5,0)</f>
        <v>103.74</v>
      </c>
      <c r="AK25" s="14">
        <f t="shared" si="35"/>
        <v>27.851088016239377</v>
      </c>
      <c r="AL25" s="22">
        <f t="shared" si="4"/>
        <v>229.18781162828358</v>
      </c>
      <c r="AM25" s="62">
        <f t="shared" si="5"/>
        <v>512.74336718383915</v>
      </c>
      <c r="AN25" s="62">
        <f ca="1">AVERAGE(OFFSET($AM$3,0,0,'Données projet'!$E$10+1,1))-AVERAGE(OFFSET($H$3,0,0,'Données projet'!$E$10+1,1))</f>
        <v>250.47640551318432</v>
      </c>
      <c r="AO25" s="62">
        <f t="shared" si="36"/>
        <v>361.92681160120975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3.9264347897945941</v>
      </c>
      <c r="AV25" s="23">
        <f>EXP(-LN(2)/25)*AV24+(1-EXP(-LN(2)/25))/(LN(2)/25)*Calculateur!AQ25*Calculateur!AS25*VLOOKUP('Données projet'!$B$10,Paramètres!$A$1:$I$89,3,0)*0.475*44/12</f>
        <v>30.014869575394254</v>
      </c>
      <c r="AW25" s="23">
        <f>EXP(-LN(2)/2)*AW24+(1-EXP(-LN(2)/2))/(LN(2)/2)*AQ25*AT25*VLOOKUP('Données projet'!$B$10,Paramètres!$A$1:$I$89,3,0)*0.475*44/12</f>
        <v>0.17386842218890805</v>
      </c>
      <c r="AX25" s="23">
        <f t="shared" si="6"/>
        <v>34.115172787377759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28.833333333333332</v>
      </c>
      <c r="N26" s="14">
        <f>IF('Données projet'!$A$36&gt;35,N25+M26-V25,IF(A26&lt;'Données projet'!$A$36,$K$205^A26,IF(A26='Données projet'!$A$36,'Données projet'!$B$36,N25+M26-V25)))</f>
        <v>277.33333333333337</v>
      </c>
      <c r="O26" s="14">
        <f>N26*VLOOKUP('Données projet'!$B$9,Paramètres!$A$1:$I$89,3,0)*VLOOKUP('Données projet'!$B$9,Paramètres!$A$1:$I$89,5,0)</f>
        <v>155.02933333333334</v>
      </c>
      <c r="P26" s="14">
        <f t="shared" si="33"/>
        <v>39.719316712120367</v>
      </c>
      <c r="Q26" s="22">
        <f t="shared" si="2"/>
        <v>339.1872321624985</v>
      </c>
      <c r="R26" s="62">
        <f t="shared" si="0"/>
        <v>623.96500994027633</v>
      </c>
      <c r="S26" s="62">
        <f ca="1">AVERAGE(OFFSET($R$3,0,0,'Données projet'!$E$9+1,1))-AVERAGE(OFFSET($H$3,0,0,'Données projet'!$E$9+1,1))</f>
        <v>443.34220761968419</v>
      </c>
      <c r="T26" s="62">
        <f t="shared" si="34"/>
        <v>546.58234447298014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18</v>
      </c>
      <c r="AI26" s="14">
        <f>IF('Données projet'!$A$62&gt;35,AI25+AH26-AQ25,IF(A26&lt;'Données projet'!$A$62,$AF$205^A26,IF(A26='Données projet'!$A$62,'Données projet'!$B$62,AI25+AH26-AQ25)))</f>
        <v>208</v>
      </c>
      <c r="AJ26" s="14">
        <f>AI26*VLOOKUP('Données projet'!$B$10,Paramètres!$A$1:$I$89,3,0)*VLOOKUP('Données projet'!$B$10,Paramètres!$A$1:$I$89,5,0)</f>
        <v>113.568</v>
      </c>
      <c r="AK26" s="14">
        <f t="shared" si="35"/>
        <v>30.17006506205821</v>
      </c>
      <c r="AL26" s="22">
        <f t="shared" si="4"/>
        <v>250.3437966497514</v>
      </c>
      <c r="AM26" s="62">
        <f t="shared" si="5"/>
        <v>535.12157442752914</v>
      </c>
      <c r="AN26" s="62">
        <f ca="1">AVERAGE(OFFSET($AM$3,0,0,'Données projet'!$E$10+1,1))-AVERAGE(OFFSET($H$3,0,0,'Données projet'!$E$10+1,1))</f>
        <v>250.47640551318432</v>
      </c>
      <c r="AO26" s="62">
        <f t="shared" si="36"/>
        <v>361.92681160120975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3.8494397984554682</v>
      </c>
      <c r="AV26" s="23">
        <f>EXP(-LN(2)/25)*AV25+(1-EXP(-LN(2)/25))/(LN(2)/25)*Calculateur!AQ26*Calculateur!AS26*VLOOKUP('Données projet'!$B$10,Paramètres!$A$1:$I$89,3,0)*0.475*44/12</f>
        <v>29.194111388441708</v>
      </c>
      <c r="AW26" s="23">
        <f>EXP(-LN(2)/2)*AW25+(1-EXP(-LN(2)/2))/(LN(2)/2)*AQ26*AT26*VLOOKUP('Données projet'!$B$10,Paramètres!$A$1:$I$89,3,0)*0.475*44/12</f>
        <v>0.12294354036398247</v>
      </c>
      <c r="AX26" s="23">
        <f t="shared" si="6"/>
        <v>33.16649472726116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28.833333333333332</v>
      </c>
      <c r="N27" s="14">
        <f>IF('Données projet'!$A$36&gt;35,N26+M27-V26,IF(A27&lt;'Données projet'!$A$36,$K$205^A27,IF(A27='Données projet'!$A$36,'Données projet'!$B$36,N26+M27-V26)))</f>
        <v>306.16666666666669</v>
      </c>
      <c r="O27" s="14">
        <f>N27*VLOOKUP('Données projet'!$B$9,Paramètres!$A$1:$I$89,3,0)*VLOOKUP('Données projet'!$B$9,Paramètres!$A$1:$I$89,5,0)</f>
        <v>171.14716666666669</v>
      </c>
      <c r="P27" s="14">
        <f t="shared" si="33"/>
        <v>43.346850105371793</v>
      </c>
      <c r="Q27" s="22">
        <f t="shared" si="2"/>
        <v>373.57707921130037</v>
      </c>
      <c r="R27" s="62">
        <f t="shared" si="0"/>
        <v>659.57707921130032</v>
      </c>
      <c r="S27" s="62">
        <f ca="1">AVERAGE(OFFSET($R$3,0,0,'Données projet'!$E$9+1,1))-AVERAGE(OFFSET($H$3,0,0,'Données projet'!$E$9+1,1))</f>
        <v>443.34220761968419</v>
      </c>
      <c r="T27" s="62">
        <f t="shared" si="34"/>
        <v>546.58234447298014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18</v>
      </c>
      <c r="AI27" s="14">
        <f>IF('Données projet'!$A$62&gt;35,AI26+AH27-AQ26,IF(A27&lt;'Données projet'!$A$62,$AF$205^A27,IF(A27='Données projet'!$A$62,'Données projet'!$B$62,AI26+AH27-AQ26)))</f>
        <v>226</v>
      </c>
      <c r="AJ27" s="14">
        <f>AI27*VLOOKUP('Données projet'!$B$10,Paramètres!$A$1:$I$89,3,0)*VLOOKUP('Données projet'!$B$10,Paramètres!$A$1:$I$89,5,0)</f>
        <v>123.396</v>
      </c>
      <c r="AK27" s="14">
        <f t="shared" si="35"/>
        <v>32.465769489878191</v>
      </c>
      <c r="AL27" s="22">
        <f t="shared" si="4"/>
        <v>271.45924852820451</v>
      </c>
      <c r="AM27" s="62">
        <f t="shared" si="5"/>
        <v>557.45924852820451</v>
      </c>
      <c r="AN27" s="62">
        <f ca="1">AVERAGE(OFFSET($AM$3,0,0,'Données projet'!$E$10+1,1))-AVERAGE(OFFSET($H$3,0,0,'Données projet'!$E$10+1,1))</f>
        <v>250.47640551318432</v>
      </c>
      <c r="AO27" s="62">
        <f t="shared" si="36"/>
        <v>361.92681160120975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3.773954631934195</v>
      </c>
      <c r="AV27" s="23">
        <f>EXP(-LN(2)/25)*AV26+(1-EXP(-LN(2)/25))/(LN(2)/25)*Calculateur!AQ27*Calculateur!AS27*VLOOKUP('Données projet'!$B$10,Paramètres!$A$1:$I$89,3,0)*0.475*44/12</f>
        <v>28.395796877273177</v>
      </c>
      <c r="AW27" s="23">
        <f>EXP(-LN(2)/2)*AW26+(1-EXP(-LN(2)/2))/(LN(2)/2)*AQ27*AT27*VLOOKUP('Données projet'!$B$10,Paramètres!$A$1:$I$89,3,0)*0.475*44/12</f>
        <v>8.6934211094454039E-2</v>
      </c>
      <c r="AX27" s="23">
        <f t="shared" si="6"/>
        <v>32.256685720301824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335</v>
      </c>
      <c r="L28" s="13">
        <f>VLOOKUP(A28,'Données projet'!$A$35:$I$55,9,0)</f>
        <v>28.833333333333332</v>
      </c>
      <c r="M28" s="13">
        <f t="array" ref="M28">INDEX(L:L,MIN(IF(ISNUMBER(L28:L224),ROW(L28:L224),"")))</f>
        <v>28.833333333333332</v>
      </c>
      <c r="N28" s="14">
        <f>IF('Données projet'!$A$36&gt;35,N27+M28-V27,IF(A28&lt;'Données projet'!$A$36,$K$205^A28,IF(A28='Données projet'!$A$36,'Données projet'!$B$36,N27+M28-V27)))</f>
        <v>335</v>
      </c>
      <c r="O28" s="14">
        <f>N28*VLOOKUP('Données projet'!$B$9,Paramètres!$A$1:$I$89,3,0)*VLOOKUP('Données projet'!$B$9,Paramètres!$A$1:$I$89,5,0)</f>
        <v>187.26500000000001</v>
      </c>
      <c r="P28" s="14">
        <f t="shared" si="33"/>
        <v>46.934773872544483</v>
      </c>
      <c r="Q28" s="22">
        <f t="shared" si="2"/>
        <v>407.89793949468162</v>
      </c>
      <c r="R28" s="62">
        <f t="shared" si="0"/>
        <v>695.12016171690379</v>
      </c>
      <c r="S28" s="62">
        <f ca="1">AVERAGE(OFFSET($R$3,0,0,'Données projet'!$E$9+1,1))-AVERAGE(OFFSET($H$3,0,0,'Données projet'!$E$9+1,1))</f>
        <v>443.34220761968419</v>
      </c>
      <c r="T28" s="62">
        <f t="shared" si="34"/>
        <v>546.58234447298014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1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34.177564133133899</v>
      </c>
      <c r="AC28" s="24">
        <f t="shared" si="3"/>
        <v>34.177564133133899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244</v>
      </c>
      <c r="AG28" s="13">
        <f>VLOOKUP(A28,'Données projet'!$A$61:$I$81,9,0)</f>
        <v>18</v>
      </c>
      <c r="AH28" s="13">
        <f t="array" ref="AH28">INDEX(AG:AG,MIN(IF(ISNUMBER(AG28:AG224),ROW(AG28:AG224),"")))</f>
        <v>18</v>
      </c>
      <c r="AI28" s="14">
        <f>IF('Données projet'!$A$62&gt;35,AI27+AH28-AQ27,IF(A28&lt;'Données projet'!$A$62,$AF$205^A28,IF(A28='Données projet'!$A$62,'Données projet'!$B$62,AI27+AH28-AQ27)))</f>
        <v>244</v>
      </c>
      <c r="AJ28" s="14">
        <f>AI28*VLOOKUP('Données projet'!$B$10,Paramètres!$A$1:$I$89,3,0)*VLOOKUP('Données projet'!$B$10,Paramètres!$A$1:$I$89,5,0)</f>
        <v>133.22399999999999</v>
      </c>
      <c r="AK28" s="14">
        <f t="shared" si="35"/>
        <v>34.740265606230608</v>
      </c>
      <c r="AL28" s="22">
        <f t="shared" si="4"/>
        <v>292.53776259751828</v>
      </c>
      <c r="AM28" s="62">
        <f t="shared" si="5"/>
        <v>579.75998481974057</v>
      </c>
      <c r="AN28" s="62">
        <f ca="1">AVERAGE(OFFSET($AM$3,0,0,'Données projet'!$E$10+1,1))-AVERAGE(OFFSET($H$3,0,0,'Données projet'!$E$10+1,1))</f>
        <v>250.47640551318432</v>
      </c>
      <c r="AO28" s="62">
        <f t="shared" si="36"/>
        <v>361.92681160120975</v>
      </c>
      <c r="AP28" s="16">
        <f>IF(ISNA(VLOOKUP(A28,'Données projet'!$A$61:$I$81,3,0)),0,VLOOKUP(A28,'Données projet'!$A$61:$I$81,3,0))</f>
        <v>4</v>
      </c>
      <c r="AQ28" s="16">
        <f>IF(ISNA(VLOOKUP(A28,'Données projet'!$A$61:$I$81,4,0)),0,VLOOKUP(A28,'Données projet'!$A$61:$I$81,4,0))</f>
        <v>44</v>
      </c>
      <c r="AR28" s="17">
        <f>IF(ISNA(VLOOKUP(A28,'Données projet'!$A$61:$I$81,5,0)),0%,VLOOKUP(A28,'Données projet'!$A$61:$I$81,5,0)*VLOOKUP('Données projet'!$B$10,Paramètres!$A$1:$I$89,7,0))</f>
        <v>0.18</v>
      </c>
      <c r="AS28" s="17">
        <f>IF(ISNA(VLOOKUP(A28,'Données projet'!$A$61:$I$81,6,0)),0%,VLOOKUP(A28,'Données projet'!$A$61:$I$81,6,0)*VLOOKUP('Données projet'!$B$10,Paramètres!$A$1:$I$89,7,0))</f>
        <v>0.42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9.4364388894333118</v>
      </c>
      <c r="AV28" s="23">
        <f>EXP(-LN(2)/25)*AV27+(1-EXP(-LN(2)/25))/(LN(2)/25)*Calculateur!AQ28*Calculateur!AS28*VLOOKUP('Données projet'!$B$10,Paramètres!$A$1:$I$89,3,0)*0.475*44/12</f>
        <v>40.951751396787841</v>
      </c>
      <c r="AW28" s="23">
        <f>EXP(-LN(2)/2)*AW27+(1-EXP(-LN(2)/2))/(LN(2)/2)*AQ28*AT28*VLOOKUP('Données projet'!$B$10,Paramètres!$A$1:$I$89,3,0)*0.475*44/12</f>
        <v>6.147177018199125E-2</v>
      </c>
      <c r="AX28" s="23">
        <f t="shared" si="6"/>
        <v>50.449662056403142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28</v>
      </c>
      <c r="N29" s="14">
        <f>IF('Données projet'!$A$36&gt;35,N28+M29-V28,IF(A29&lt;'Données projet'!$A$36,$K$205^A29,IF(A29='Données projet'!$A$36,'Données projet'!$B$36,N28+M29-V28)))</f>
        <v>309</v>
      </c>
      <c r="O29" s="14">
        <f>N29*VLOOKUP('Données projet'!$B$9,Paramètres!$A$1:$I$89,3,0)*VLOOKUP('Données projet'!$B$9,Paramètres!$A$1:$I$89,5,0)</f>
        <v>172.73100000000002</v>
      </c>
      <c r="P29" s="14">
        <f t="shared" si="33"/>
        <v>43.701108252019125</v>
      </c>
      <c r="Q29" s="22">
        <f t="shared" si="2"/>
        <v>376.9525885389333</v>
      </c>
      <c r="R29" s="62">
        <f t="shared" si="0"/>
        <v>665.39703298337781</v>
      </c>
      <c r="S29" s="62">
        <f ca="1">AVERAGE(OFFSET($R$3,0,0,'Données projet'!$E$9+1,1))-AVERAGE(OFFSET($H$3,0,0,'Données projet'!$E$9+1,1))</f>
        <v>443.34220761968419</v>
      </c>
      <c r="T29" s="62">
        <f t="shared" si="34"/>
        <v>546.58234447298014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24.16718736297711</v>
      </c>
      <c r="AC29" s="24">
        <f t="shared" si="3"/>
        <v>24.16718736297711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14.4</v>
      </c>
      <c r="AI29" s="14">
        <f>IF('Données projet'!$A$62&gt;35,AI28+AH29-AQ28,IF(A29&lt;'Données projet'!$A$62,$AF$205^A29,IF(A29='Données projet'!$A$62,'Données projet'!$B$62,AI28+AH29-AQ28)))</f>
        <v>214.39999999999998</v>
      </c>
      <c r="AJ29" s="14">
        <f>AI29*VLOOKUP('Données projet'!$B$10,Paramètres!$A$1:$I$89,3,0)*VLOOKUP('Données projet'!$B$10,Paramètres!$A$1:$I$89,5,0)</f>
        <v>117.06239999999998</v>
      </c>
      <c r="AK29" s="14">
        <f t="shared" si="35"/>
        <v>30.988867171899152</v>
      </c>
      <c r="AL29" s="22">
        <f t="shared" si="4"/>
        <v>257.85595699105767</v>
      </c>
      <c r="AM29" s="62">
        <f t="shared" si="5"/>
        <v>546.30040143550218</v>
      </c>
      <c r="AN29" s="62">
        <f ca="1">AVERAGE(OFFSET($AM$3,0,0,'Données projet'!$E$10+1,1))-AVERAGE(OFFSET($H$3,0,0,'Données projet'!$E$10+1,1))</f>
        <v>250.47640551318432</v>
      </c>
      <c r="AO29" s="62">
        <f t="shared" si="36"/>
        <v>361.92681160120975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9.2513960784709237</v>
      </c>
      <c r="AV29" s="23">
        <f>EXP(-LN(2)/25)*AV28+(1-EXP(-LN(2)/25))/(LN(2)/25)*Calculateur!AQ29*Calculateur!AS29*VLOOKUP('Données projet'!$B$10,Paramètres!$A$1:$I$89,3,0)*0.475*44/12</f>
        <v>39.83192360128367</v>
      </c>
      <c r="AW29" s="23">
        <f>EXP(-LN(2)/2)*AW28+(1-EXP(-LN(2)/2))/(LN(2)/2)*AQ29*AT29*VLOOKUP('Données projet'!$B$10,Paramètres!$A$1:$I$89,3,0)*0.475*44/12</f>
        <v>4.3467105547227027E-2</v>
      </c>
      <c r="AX29" s="23">
        <f t="shared" si="6"/>
        <v>49.126786785301825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28</v>
      </c>
      <c r="N30" s="14">
        <f>IF('Données projet'!$A$36&gt;35,N29+M30-V29,IF(A30&lt;'Données projet'!$A$36,$K$205^A30,IF(A30='Données projet'!$A$36,'Données projet'!$B$36,N29+M30-V29)))</f>
        <v>337</v>
      </c>
      <c r="O30" s="14">
        <f>N30*VLOOKUP('Données projet'!$B$9,Paramètres!$A$1:$I$89,3,0)*VLOOKUP('Données projet'!$B$9,Paramètres!$A$1:$I$89,5,0)</f>
        <v>188.38300000000001</v>
      </c>
      <c r="P30" s="14">
        <f t="shared" si="33"/>
        <v>47.182279474248382</v>
      </c>
      <c r="Q30" s="22">
        <f t="shared" si="2"/>
        <v>410.27619508431599</v>
      </c>
      <c r="R30" s="62">
        <f t="shared" si="0"/>
        <v>699.94286175098273</v>
      </c>
      <c r="S30" s="62">
        <f ca="1">AVERAGE(OFFSET($R$3,0,0,'Données projet'!$E$9+1,1))-AVERAGE(OFFSET($H$3,0,0,'Données projet'!$E$9+1,1))</f>
        <v>443.34220761968419</v>
      </c>
      <c r="T30" s="62">
        <f t="shared" si="34"/>
        <v>546.58234447298014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17.088782066566953</v>
      </c>
      <c r="AC30" s="24">
        <f t="shared" si="3"/>
        <v>17.088782066566953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14.4</v>
      </c>
      <c r="AI30" s="14">
        <f>IF('Données projet'!$A$62&gt;35,AI29+AH30-AQ29,IF(A30&lt;'Données projet'!$A$62,$AF$205^A30,IF(A30='Données projet'!$A$62,'Données projet'!$B$62,AI29+AH30-AQ29)))</f>
        <v>228.79999999999998</v>
      </c>
      <c r="AJ30" s="14">
        <f>AI30*VLOOKUP('Données projet'!$B$10,Paramètres!$A$1:$I$89,3,0)*VLOOKUP('Données projet'!$B$10,Paramètres!$A$1:$I$89,5,0)</f>
        <v>124.92479999999999</v>
      </c>
      <c r="AK30" s="14">
        <f t="shared" si="35"/>
        <v>32.820925500842712</v>
      </c>
      <c r="AL30" s="22">
        <f t="shared" si="4"/>
        <v>274.74047191396772</v>
      </c>
      <c r="AM30" s="62">
        <f t="shared" si="5"/>
        <v>564.40713858063441</v>
      </c>
      <c r="AN30" s="62">
        <f ca="1">AVERAGE(OFFSET($AM$3,0,0,'Données projet'!$E$10+1,1))-AVERAGE(OFFSET($H$3,0,0,'Données projet'!$E$10+1,1))</f>
        <v>250.47640551318432</v>
      </c>
      <c r="AO30" s="62">
        <f t="shared" si="36"/>
        <v>361.92681160120975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9.0699818441665379</v>
      </c>
      <c r="AV30" s="23">
        <f>EXP(-LN(2)/25)*AV29+(1-EXP(-LN(2)/25))/(LN(2)/25)*Calculateur!AQ30*Calculateur!AS30*VLOOKUP('Données projet'!$B$10,Paramètres!$A$1:$I$89,3,0)*0.475*44/12</f>
        <v>38.742717555736739</v>
      </c>
      <c r="AW30" s="23">
        <f>EXP(-LN(2)/2)*AW29+(1-EXP(-LN(2)/2))/(LN(2)/2)*AQ30*AT30*VLOOKUP('Données projet'!$B$10,Paramètres!$A$1:$I$89,3,0)*0.475*44/12</f>
        <v>3.0735885090995629E-2</v>
      </c>
      <c r="AX30" s="23">
        <f t="shared" si="6"/>
        <v>47.843435284994278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28</v>
      </c>
      <c r="N31" s="14">
        <f>IF('Données projet'!$A$36&gt;35,N30+M31-V30,IF(A31&lt;'Données projet'!$A$36,$K$205^A31,IF(A31='Données projet'!$A$36,'Données projet'!$B$36,N30+M31-V30)))</f>
        <v>365</v>
      </c>
      <c r="O31" s="14">
        <f>N31*VLOOKUP('Données projet'!$B$9,Paramètres!$A$1:$I$89,3,0)*VLOOKUP('Données projet'!$B$9,Paramètres!$A$1:$I$89,5,0)</f>
        <v>204.035</v>
      </c>
      <c r="P31" s="14">
        <f t="shared" si="33"/>
        <v>50.629905099971396</v>
      </c>
      <c r="Q31" s="22">
        <f t="shared" si="2"/>
        <v>443.54137638245015</v>
      </c>
      <c r="R31" s="62">
        <f t="shared" si="0"/>
        <v>734.43026527133907</v>
      </c>
      <c r="S31" s="62">
        <f ca="1">AVERAGE(OFFSET($R$3,0,0,'Données projet'!$E$9+1,1))-AVERAGE(OFFSET($H$3,0,0,'Données projet'!$E$9+1,1))</f>
        <v>443.34220761968419</v>
      </c>
      <c r="T31" s="62">
        <f t="shared" si="34"/>
        <v>546.58234447298014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12.083593681488557</v>
      </c>
      <c r="AC31" s="24">
        <f t="shared" si="3"/>
        <v>12.083593681488557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14.4</v>
      </c>
      <c r="AI31" s="14">
        <f>IF('Données projet'!$A$62&gt;35,AI30+AH31-AQ30,IF(A31&lt;'Données projet'!$A$62,$AF$205^A31,IF(A31='Données projet'!$A$62,'Données projet'!$B$62,AI30+AH31-AQ30)))</f>
        <v>243.2</v>
      </c>
      <c r="AJ31" s="14">
        <f>AI31*VLOOKUP('Données projet'!$B$10,Paramètres!$A$1:$I$89,3,0)*VLOOKUP('Données projet'!$B$10,Paramètres!$A$1:$I$89,5,0)</f>
        <v>132.78719999999998</v>
      </c>
      <c r="AK31" s="14">
        <f t="shared" si="35"/>
        <v>34.63960211985458</v>
      </c>
      <c r="AL31" s="22">
        <f t="shared" si="4"/>
        <v>291.60168035874665</v>
      </c>
      <c r="AM31" s="62">
        <f t="shared" si="5"/>
        <v>582.49056924763545</v>
      </c>
      <c r="AN31" s="62">
        <f ca="1">AVERAGE(OFFSET($AM$3,0,0,'Données projet'!$E$10+1,1))-AVERAGE(OFFSET($H$3,0,0,'Données projet'!$E$10+1,1))</f>
        <v>250.47640551318432</v>
      </c>
      <c r="AO31" s="62">
        <f t="shared" si="36"/>
        <v>361.92681160120975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8.8921250323451027</v>
      </c>
      <c r="AV31" s="23">
        <f>EXP(-LN(2)/25)*AV30+(1-EXP(-LN(2)/25))/(LN(2)/25)*Calculateur!AQ31*Calculateur!AS31*VLOOKUP('Données projet'!$B$10,Paramètres!$A$1:$I$89,3,0)*0.475*44/12</f>
        <v>37.683295906784153</v>
      </c>
      <c r="AW31" s="23">
        <f>EXP(-LN(2)/2)*AW30+(1-EXP(-LN(2)/2))/(LN(2)/2)*AQ31*AT31*VLOOKUP('Données projet'!$B$10,Paramètres!$A$1:$I$89,3,0)*0.475*44/12</f>
        <v>2.1733552773613517E-2</v>
      </c>
      <c r="AX31" s="23">
        <f t="shared" si="6"/>
        <v>46.59715449190287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28</v>
      </c>
      <c r="N32" s="14">
        <f>IF('Données projet'!$A$36&gt;35,N31+M32-V31,IF(A32&lt;'Données projet'!$A$36,$K$205^A32,IF(A32='Données projet'!$A$36,'Données projet'!$B$36,N31+M32-V31)))</f>
        <v>393</v>
      </c>
      <c r="O32" s="14">
        <f>N32*VLOOKUP('Données projet'!$B$9,Paramètres!$A$1:$I$89,3,0)*VLOOKUP('Données projet'!$B$9,Paramètres!$A$1:$I$89,5,0)</f>
        <v>219.68700000000001</v>
      </c>
      <c r="P32" s="14">
        <f t="shared" si="33"/>
        <v>54.046851081096591</v>
      </c>
      <c r="Q32" s="22">
        <f t="shared" si="2"/>
        <v>476.75312396624321</v>
      </c>
      <c r="R32" s="62">
        <f t="shared" si="0"/>
        <v>768.86423507735435</v>
      </c>
      <c r="S32" s="62">
        <f ca="1">AVERAGE(OFFSET($R$3,0,0,'Données projet'!$E$9+1,1))-AVERAGE(OFFSET($H$3,0,0,'Données projet'!$E$9+1,1))</f>
        <v>443.34220761968419</v>
      </c>
      <c r="T32" s="62">
        <f t="shared" si="34"/>
        <v>546.58234447298014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8.5443910332834783</v>
      </c>
      <c r="AC32" s="24">
        <f t="shared" si="3"/>
        <v>8.5443910332834783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14.4</v>
      </c>
      <c r="AI32" s="14">
        <f>IF('Données projet'!$A$62&gt;35,AI31+AH32-AQ31,IF(A32&lt;'Données projet'!$A$62,$AF$205^A32,IF(A32='Données projet'!$A$62,'Données projet'!$B$62,AI31+AH32-AQ31)))</f>
        <v>257.59999999999997</v>
      </c>
      <c r="AJ32" s="14">
        <f>AI32*VLOOKUP('Données projet'!$B$10,Paramètres!$A$1:$I$89,3,0)*VLOOKUP('Données projet'!$B$10,Paramètres!$A$1:$I$89,5,0)</f>
        <v>140.64959999999996</v>
      </c>
      <c r="AK32" s="14">
        <f t="shared" si="35"/>
        <v>36.445779615258601</v>
      </c>
      <c r="AL32" s="22">
        <f t="shared" si="4"/>
        <v>308.44111949657531</v>
      </c>
      <c r="AM32" s="62">
        <f t="shared" si="5"/>
        <v>600.5522306076864</v>
      </c>
      <c r="AN32" s="62">
        <f ca="1">AVERAGE(OFFSET($AM$3,0,0,'Données projet'!$E$10+1,1))-AVERAGE(OFFSET($H$3,0,0,'Données projet'!$E$10+1,1))</f>
        <v>250.47640551318432</v>
      </c>
      <c r="AO32" s="62">
        <f t="shared" si="36"/>
        <v>361.92681160120975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8.7177558841215426</v>
      </c>
      <c r="AV32" s="23">
        <f>EXP(-LN(2)/25)*AV31+(1-EXP(-LN(2)/25))/(LN(2)/25)*Calculateur!AQ32*Calculateur!AS32*VLOOKUP('Données projet'!$B$10,Paramètres!$A$1:$I$89,3,0)*0.475*44/12</f>
        <v>36.652844198534737</v>
      </c>
      <c r="AW32" s="23">
        <f>EXP(-LN(2)/2)*AW31+(1-EXP(-LN(2)/2))/(LN(2)/2)*AQ32*AT32*VLOOKUP('Données projet'!$B$10,Paramètres!$A$1:$I$89,3,0)*0.475*44/12</f>
        <v>1.5367942545497818E-2</v>
      </c>
      <c r="AX32" s="23">
        <f t="shared" si="6"/>
        <v>45.385968025201777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421</v>
      </c>
      <c r="L33" s="13">
        <f>VLOOKUP(A33,'Données projet'!$A$35:$I$55,9,0)</f>
        <v>28</v>
      </c>
      <c r="M33" s="13">
        <f t="array" ref="M33">INDEX(L:L,MIN(IF(ISNUMBER(L33:L229),ROW(L33:L229),"")))</f>
        <v>28</v>
      </c>
      <c r="N33" s="14">
        <f>IF('Données projet'!$A$36&gt;35,N32+M33-V32,IF(A33&lt;'Données projet'!$A$36,$K$205^A33,IF(A33='Données projet'!$A$36,'Données projet'!$B$36,N32+M33-V32)))</f>
        <v>421</v>
      </c>
      <c r="O33" s="14">
        <f>N33*VLOOKUP('Données projet'!$B$9,Paramètres!$A$1:$I$89,3,0)*VLOOKUP('Données projet'!$B$9,Paramètres!$A$1:$I$89,5,0)</f>
        <v>235.339</v>
      </c>
      <c r="P33" s="14">
        <f t="shared" si="33"/>
        <v>57.43555185051494</v>
      </c>
      <c r="Q33" s="22">
        <f t="shared" si="2"/>
        <v>509.91567780631357</v>
      </c>
      <c r="R33" s="62">
        <f t="shared" si="0"/>
        <v>803.24901113964688</v>
      </c>
      <c r="S33" s="62">
        <f ca="1">AVERAGE(OFFSET($R$3,0,0,'Données projet'!$E$9+1,1))-AVERAGE(OFFSET($H$3,0,0,'Données projet'!$E$9+1,1))</f>
        <v>443.34220761968419</v>
      </c>
      <c r="T33" s="62">
        <f t="shared" si="34"/>
        <v>546.58234447298014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54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0.11000000000000001</v>
      </c>
      <c r="Y33" s="17">
        <f>IF(ISNA(VLOOKUP(A33,'Données projet'!$A$35:$I$55,7,0)),0%,VLOOKUP(A33,'Données projet'!$A$35:$I$55,7,0))</f>
        <v>0.8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4.3874608191652928</v>
      </c>
      <c r="AB33" s="23">
        <f>EXP(-LN(2)/2)*AB32+(1-EXP(-LN(2)/2))/(LN(2)/2)*V33*Y33*VLOOKUP('Données projet'!$B$9,Paramètres!$A$1:$I$89,3,0)*0.475*44/12</f>
        <v>33.383848147251399</v>
      </c>
      <c r="AC33" s="24">
        <f t="shared" si="3"/>
        <v>37.77130896641669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272</v>
      </c>
      <c r="AG33" s="13">
        <f>VLOOKUP(A33,'Données projet'!$A$61:$I$81,9,0)</f>
        <v>14.4</v>
      </c>
      <c r="AH33" s="13">
        <f t="array" ref="AH33">INDEX(AG:AG,MIN(IF(ISNUMBER(AG33:AG229),ROW(AG33:AG229),"")))</f>
        <v>14.4</v>
      </c>
      <c r="AI33" s="14">
        <f>IF('Données projet'!$A$62&gt;35,AI32+AH33-AQ32,IF(A33&lt;'Données projet'!$A$62,$AF$205^A33,IF(A33='Données projet'!$A$62,'Données projet'!$B$62,AI32+AH33-AQ32)))</f>
        <v>271.99999999999994</v>
      </c>
      <c r="AJ33" s="14">
        <f>AI33*VLOOKUP('Données projet'!$B$10,Paramètres!$A$1:$I$89,3,0)*VLOOKUP('Données projet'!$B$10,Paramètres!$A$1:$I$89,5,0)</f>
        <v>148.51199999999997</v>
      </c>
      <c r="AK33" s="14">
        <f t="shared" si="35"/>
        <v>38.240236326053513</v>
      </c>
      <c r="AL33" s="22">
        <f t="shared" si="4"/>
        <v>325.26014493454312</v>
      </c>
      <c r="AM33" s="62">
        <f t="shared" si="5"/>
        <v>618.59347826787643</v>
      </c>
      <c r="AN33" s="62">
        <f ca="1">AVERAGE(OFFSET($AM$3,0,0,'Données projet'!$E$10+1,1))-AVERAGE(OFFSET($H$3,0,0,'Données projet'!$E$10+1,1))</f>
        <v>250.47640551318432</v>
      </c>
      <c r="AO33" s="62">
        <f t="shared" si="36"/>
        <v>361.92681160120975</v>
      </c>
      <c r="AP33" s="16">
        <f>IF(ISNA(VLOOKUP(A33,'Données projet'!$A$61:$I$81,3,0)),0,VLOOKUP(A33,'Données projet'!$A$61:$I$81,3,0))</f>
        <v>5</v>
      </c>
      <c r="AQ33" s="16">
        <f>IF(ISNA(VLOOKUP(A33,'Données projet'!$A$61:$I$81,4,0)),0,VLOOKUP(A33,'Données projet'!$A$61:$I$81,4,0))</f>
        <v>37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8.5468060085399689</v>
      </c>
      <c r="AV33" s="23">
        <f>EXP(-LN(2)/25)*AV32+(1-EXP(-LN(2)/25))/(LN(2)/25)*Calculateur!AQ33*Calculateur!AS33*VLOOKUP('Données projet'!$B$10,Paramètres!$A$1:$I$89,3,0)*0.475*44/12</f>
        <v>35.650570246436502</v>
      </c>
      <c r="AW33" s="23">
        <f>EXP(-LN(2)/2)*AW32+(1-EXP(-LN(2)/2))/(LN(2)/2)*AQ33*AT33*VLOOKUP('Données projet'!$B$10,Paramètres!$A$1:$I$89,3,0)*0.475*44/12</f>
        <v>1.086677638680676E-2</v>
      </c>
      <c r="AX33" s="23">
        <f t="shared" si="6"/>
        <v>44.208243031363274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27.6</v>
      </c>
      <c r="N34" s="14">
        <f>IF('Données projet'!$A$36&gt;35,N33+M34-V33,IF(A34&lt;'Données projet'!$A$36,$K$205^A34,IF(A34='Données projet'!$A$36,'Données projet'!$B$36,N33+M34-V33)))</f>
        <v>394.6</v>
      </c>
      <c r="O34" s="14">
        <f>N34*VLOOKUP('Données projet'!$B$9,Paramètres!$A$1:$I$89,3,0)*VLOOKUP('Données projet'!$B$9,Paramètres!$A$1:$I$89,5,0)</f>
        <v>220.5814</v>
      </c>
      <c r="P34" s="14">
        <f t="shared" si="33"/>
        <v>54.241230721401301</v>
      </c>
      <c r="Q34" s="22">
        <f t="shared" si="2"/>
        <v>478.64941517310723</v>
      </c>
      <c r="R34" s="62">
        <f t="shared" si="0"/>
        <v>771.98274850644054</v>
      </c>
      <c r="S34" s="62">
        <f ca="1">AVERAGE(OFFSET($R$3,0,0,'Données projet'!$E$9+1,1))-AVERAGE(OFFSET($H$3,0,0,'Données projet'!$E$9+1,1))</f>
        <v>443.34220761968419</v>
      </c>
      <c r="T34" s="62">
        <f t="shared" si="34"/>
        <v>546.58234447298014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4.2674854723386808</v>
      </c>
      <c r="AB34" s="23">
        <f>EXP(-LN(2)/2)*AB33+(1-EXP(-LN(2)/2))/(LN(2)/2)*V34*Y34*VLOOKUP('Données projet'!$B$9,Paramètres!$A$1:$I$89,3,0)*0.475*44/12</f>
        <v>23.605945407023427</v>
      </c>
      <c r="AC34" s="24">
        <f t="shared" si="3"/>
        <v>27.873430879362108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11</v>
      </c>
      <c r="AI34" s="14">
        <f>IF('Données projet'!$A$62&gt;35,AI33+AH34-AQ33,IF(A34&lt;'Données projet'!$A$62,$AF$205^A34,IF(A34='Données projet'!$A$62,'Données projet'!$B$62,AI33+AH34-AQ33)))</f>
        <v>245.99999999999994</v>
      </c>
      <c r="AJ34" s="14">
        <f>AI34*VLOOKUP('Données projet'!$B$10,Paramètres!$A$1:$I$89,3,0)*VLOOKUP('Données projet'!$B$10,Paramètres!$A$1:$I$89,5,0)</f>
        <v>134.31599999999997</v>
      </c>
      <c r="AK34" s="14">
        <f t="shared" si="35"/>
        <v>34.991756585122445</v>
      </c>
      <c r="AL34" s="22">
        <f t="shared" si="4"/>
        <v>294.87767605242158</v>
      </c>
      <c r="AM34" s="62">
        <f t="shared" si="5"/>
        <v>588.21100938575489</v>
      </c>
      <c r="AN34" s="62">
        <f ca="1">AVERAGE(OFFSET($AM$3,0,0,'Données projet'!$E$10+1,1))-AVERAGE(OFFSET($H$3,0,0,'Données projet'!$E$10+1,1))</f>
        <v>250.47640551318432</v>
      </c>
      <c r="AO34" s="62">
        <f t="shared" si="36"/>
        <v>361.92681160120975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8.3792083557494212</v>
      </c>
      <c r="AV34" s="23">
        <f>EXP(-LN(2)/25)*AV33+(1-EXP(-LN(2)/25))/(LN(2)/25)*Calculateur!AQ34*Calculateur!AS34*VLOOKUP('Données projet'!$B$10,Paramètres!$A$1:$I$89,3,0)*0.475*44/12</f>
        <v>34.675703528265686</v>
      </c>
      <c r="AW34" s="23">
        <f>EXP(-LN(2)/2)*AW33+(1-EXP(-LN(2)/2))/(LN(2)/2)*AQ34*AT34*VLOOKUP('Données projet'!$B$10,Paramètres!$A$1:$I$89,3,0)*0.475*44/12</f>
        <v>7.6839712727489098E-3</v>
      </c>
      <c r="AX34" s="23">
        <f t="shared" si="6"/>
        <v>43.062595855287853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27.6</v>
      </c>
      <c r="N35" s="14">
        <f>IF('Données projet'!$A$36&gt;35,N34+M35-V34,IF(A35&lt;'Données projet'!$A$36,$K$205^A35,IF(A35='Données projet'!$A$36,'Données projet'!$B$36,N34+M35-V34)))</f>
        <v>422.20000000000005</v>
      </c>
      <c r="O35" s="14">
        <f>N35*VLOOKUP('Données projet'!$B$9,Paramètres!$A$1:$I$89,3,0)*VLOOKUP('Données projet'!$B$9,Paramètres!$A$1:$I$89,5,0)</f>
        <v>236.00980000000004</v>
      </c>
      <c r="P35" s="14">
        <f t="shared" si="33"/>
        <v>57.580183613654185</v>
      </c>
      <c r="Q35" s="22">
        <f t="shared" ref="Q35:Q66" si="53">(O35+P35)*0.475*44/12</f>
        <v>511.3358881271144</v>
      </c>
      <c r="R35" s="62">
        <f t="shared" si="0"/>
        <v>804.66922146044772</v>
      </c>
      <c r="S35" s="62">
        <f ca="1">AVERAGE(OFFSET($R$3,0,0,'Données projet'!$E$9+1,1))-AVERAGE(OFFSET($H$3,0,0,'Données projet'!$E$9+1,1))</f>
        <v>443.34220761968419</v>
      </c>
      <c r="T35" s="62">
        <f t="shared" si="34"/>
        <v>546.58234447298014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4.1507908576802723</v>
      </c>
      <c r="AB35" s="23">
        <f>EXP(-LN(2)/2)*AB34+(1-EXP(-LN(2)/2))/(LN(2)/2)*V35*Y35*VLOOKUP('Données projet'!$B$9,Paramètres!$A$1:$I$89,3,0)*0.475*44/12</f>
        <v>16.691924073625703</v>
      </c>
      <c r="AC35" s="24">
        <f t="shared" si="3"/>
        <v>20.842714931305977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11</v>
      </c>
      <c r="AI35" s="14">
        <f>IF('Données projet'!$A$62&gt;35,AI34+AH35-AQ34,IF(A35&lt;'Données projet'!$A$62,$AF$205^A35,IF(A35='Données projet'!$A$62,'Données projet'!$B$62,AI34+AH35-AQ34)))</f>
        <v>256.99999999999994</v>
      </c>
      <c r="AJ35" s="14">
        <f>AI35*VLOOKUP('Données projet'!$B$10,Paramètres!$A$1:$I$89,3,0)*VLOOKUP('Données projet'!$B$10,Paramètres!$A$1:$I$89,5,0)</f>
        <v>140.32199999999997</v>
      </c>
      <c r="AK35" s="14">
        <f t="shared" si="35"/>
        <v>36.370761307502868</v>
      </c>
      <c r="AL35" s="22">
        <f t="shared" si="4"/>
        <v>307.73989261056744</v>
      </c>
      <c r="AM35" s="62">
        <f t="shared" si="5"/>
        <v>601.07322594390075</v>
      </c>
      <c r="AN35" s="62">
        <f ca="1">AVERAGE(OFFSET($AM$3,0,0,'Données projet'!$E$10+1,1))-AVERAGE(OFFSET($H$3,0,0,'Données projet'!$E$10+1,1))</f>
        <v>250.47640551318432</v>
      </c>
      <c r="AO35" s="62">
        <f t="shared" si="36"/>
        <v>361.92681160120975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8.2148971907056207</v>
      </c>
      <c r="AV35" s="23">
        <f>EXP(-LN(2)/25)*AV34+(1-EXP(-LN(2)/25))/(LN(2)/25)*Calculateur!AQ35*Calculateur!AS35*VLOOKUP('Données projet'!$B$10,Paramètres!$A$1:$I$89,3,0)*0.475*44/12</f>
        <v>33.727494591769265</v>
      </c>
      <c r="AW35" s="23">
        <f>EXP(-LN(2)/2)*AW34+(1-EXP(-LN(2)/2))/(LN(2)/2)*AQ35*AT35*VLOOKUP('Données projet'!$B$10,Paramètres!$A$1:$I$89,3,0)*0.475*44/12</f>
        <v>5.4333881934033809E-3</v>
      </c>
      <c r="AX35" s="23">
        <f t="shared" si="6"/>
        <v>41.947825170668288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27.6</v>
      </c>
      <c r="N36" s="14">
        <f>IF('Données projet'!$A$36&gt;35,N35+M36-V35,IF(A36&lt;'Données projet'!$A$36,$K$205^A36,IF(A36='Données projet'!$A$36,'Données projet'!$B$36,N35+M36-V35)))</f>
        <v>449.80000000000007</v>
      </c>
      <c r="O36" s="14">
        <f>N36*VLOOKUP('Données projet'!$B$9,Paramètres!$A$1:$I$89,3,0)*VLOOKUP('Données projet'!$B$9,Paramètres!$A$1:$I$89,5,0)</f>
        <v>251.43820000000002</v>
      </c>
      <c r="P36" s="14">
        <f t="shared" si="33"/>
        <v>60.893806844597648</v>
      </c>
      <c r="Q36" s="22">
        <f t="shared" si="53"/>
        <v>543.978245254341</v>
      </c>
      <c r="R36" s="62">
        <f t="shared" si="0"/>
        <v>837.31157858767438</v>
      </c>
      <c r="S36" s="62">
        <f ca="1">AVERAGE(OFFSET($R$3,0,0,'Données projet'!$E$9+1,1))-AVERAGE(OFFSET($H$3,0,0,'Données projet'!$E$9+1,1))</f>
        <v>443.34220761968419</v>
      </c>
      <c r="T36" s="62">
        <f t="shared" si="34"/>
        <v>546.58234447298014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4.0372872633964008</v>
      </c>
      <c r="AB36" s="23">
        <f>EXP(-LN(2)/2)*AB35+(1-EXP(-LN(2)/2))/(LN(2)/2)*V36*Y36*VLOOKUP('Données projet'!$B$9,Paramètres!$A$1:$I$89,3,0)*0.475*44/12</f>
        <v>11.802972703511715</v>
      </c>
      <c r="AC36" s="24">
        <f t="shared" si="3"/>
        <v>15.840259966908116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11</v>
      </c>
      <c r="AI36" s="14">
        <f>IF('Données projet'!$A$62&gt;35,AI35+AH36-AQ35,IF(A36&lt;'Données projet'!$A$62,$AF$205^A36,IF(A36='Données projet'!$A$62,'Données projet'!$B$62,AI35+AH36-AQ35)))</f>
        <v>267.99999999999994</v>
      </c>
      <c r="AJ36" s="14">
        <f>AI36*VLOOKUP('Données projet'!$B$10,Paramètres!$A$1:$I$89,3,0)*VLOOKUP('Données projet'!$B$10,Paramètres!$A$1:$I$89,5,0)</f>
        <v>146.32799999999997</v>
      </c>
      <c r="AK36" s="14">
        <f t="shared" si="35"/>
        <v>37.74291056436379</v>
      </c>
      <c r="AL36" s="22">
        <f t="shared" si="4"/>
        <v>320.59016923293353</v>
      </c>
      <c r="AM36" s="62">
        <f t="shared" si="5"/>
        <v>613.92350256626685</v>
      </c>
      <c r="AN36" s="62">
        <f ca="1">AVERAGE(OFFSET($AM$3,0,0,'Données projet'!$E$10+1,1))-AVERAGE(OFFSET($H$3,0,0,'Données projet'!$E$10+1,1))</f>
        <v>250.47640551318432</v>
      </c>
      <c r="AO36" s="62">
        <f t="shared" si="36"/>
        <v>361.92681160120975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8.0538080673884149</v>
      </c>
      <c r="AV36" s="23">
        <f>EXP(-LN(2)/25)*AV35+(1-EXP(-LN(2)/25))/(LN(2)/25)*Calculateur!AQ36*Calculateur!AS36*VLOOKUP('Données projet'!$B$10,Paramètres!$A$1:$I$89,3,0)*0.475*44/12</f>
        <v>32.805214478505476</v>
      </c>
      <c r="AW36" s="23">
        <f>EXP(-LN(2)/2)*AW35+(1-EXP(-LN(2)/2))/(LN(2)/2)*AQ36*AT36*VLOOKUP('Données projet'!$B$10,Paramètres!$A$1:$I$89,3,0)*0.475*44/12</f>
        <v>3.8419856363744553E-3</v>
      </c>
      <c r="AX36" s="23">
        <f t="shared" si="6"/>
        <v>40.862864531530271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27.6</v>
      </c>
      <c r="N37" s="14">
        <f>IF('Données projet'!$A$36&gt;35,N36+M37-V36,IF(A37&lt;'Données projet'!$A$36,$K$205^A37,IF(A37='Données projet'!$A$36,'Données projet'!$B$36,N36+M37-V36)))</f>
        <v>477.40000000000009</v>
      </c>
      <c r="O37" s="14">
        <f>N37*VLOOKUP('Données projet'!$B$9,Paramètres!$A$1:$I$89,3,0)*VLOOKUP('Données projet'!$B$9,Paramètres!$A$1:$I$89,5,0)</f>
        <v>266.86660000000006</v>
      </c>
      <c r="P37" s="14">
        <f t="shared" si="33"/>
        <v>64.183831628008477</v>
      </c>
      <c r="Q37" s="22">
        <f t="shared" si="53"/>
        <v>576.57950175211477</v>
      </c>
      <c r="R37" s="62">
        <f t="shared" si="0"/>
        <v>869.91283508544802</v>
      </c>
      <c r="S37" s="62">
        <f ca="1">AVERAGE(OFFSET($R$3,0,0,'Données projet'!$E$9+1,1))-AVERAGE(OFFSET($H$3,0,0,'Données projet'!$E$9+1,1))</f>
        <v>443.34220761968419</v>
      </c>
      <c r="T37" s="62">
        <f t="shared" si="34"/>
        <v>546.58234447298014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3.9268874308671164</v>
      </c>
      <c r="AB37" s="23">
        <f>EXP(-LN(2)/2)*AB36+(1-EXP(-LN(2)/2))/(LN(2)/2)*V37*Y37*VLOOKUP('Données projet'!$B$9,Paramètres!$A$1:$I$89,3,0)*0.475*44/12</f>
        <v>8.3459620368128515</v>
      </c>
      <c r="AC37" s="24">
        <f t="shared" si="3"/>
        <v>12.272849467679968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11</v>
      </c>
      <c r="AI37" s="14">
        <f>IF('Données projet'!$A$62&gt;35,AI36+AH37-AQ36,IF(A37&lt;'Données projet'!$A$62,$AF$205^A37,IF(A37='Données projet'!$A$62,'Données projet'!$B$62,AI36+AH37-AQ36)))</f>
        <v>278.99999999999994</v>
      </c>
      <c r="AJ37" s="14">
        <f>AI37*VLOOKUP('Données projet'!$B$10,Paramètres!$A$1:$I$89,3,0)*VLOOKUP('Données projet'!$B$10,Paramètres!$A$1:$I$89,5,0)</f>
        <v>152.33399999999997</v>
      </c>
      <c r="AK37" s="14">
        <f t="shared" si="35"/>
        <v>39.108517919805784</v>
      </c>
      <c r="AL37" s="22">
        <f t="shared" si="4"/>
        <v>333.42905204366167</v>
      </c>
      <c r="AM37" s="62">
        <f t="shared" si="5"/>
        <v>626.76238537699498</v>
      </c>
      <c r="AN37" s="62">
        <f ca="1">AVERAGE(OFFSET($AM$3,0,0,'Données projet'!$E$10+1,1))-AVERAGE(OFFSET($H$3,0,0,'Données projet'!$E$10+1,1))</f>
        <v>250.47640551318432</v>
      </c>
      <c r="AO37" s="62">
        <f t="shared" si="36"/>
        <v>361.92681160120975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7.8958778035247965</v>
      </c>
      <c r="AV37" s="23">
        <f>EXP(-LN(2)/25)*AV36+(1-EXP(-LN(2)/25))/(LN(2)/25)*Calculateur!AQ37*Calculateur!AS37*VLOOKUP('Données projet'!$B$10,Paramètres!$A$1:$I$89,3,0)*0.475*44/12</f>
        <v>31.908154163439491</v>
      </c>
      <c r="AW37" s="23">
        <f>EXP(-LN(2)/2)*AW36+(1-EXP(-LN(2)/2))/(LN(2)/2)*AQ37*AT37*VLOOKUP('Données projet'!$B$10,Paramètres!$A$1:$I$89,3,0)*0.475*44/12</f>
        <v>2.7166940967016909E-3</v>
      </c>
      <c r="AX37" s="23">
        <f t="shared" si="6"/>
        <v>39.806748661060993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505</v>
      </c>
      <c r="L38" s="13">
        <f>VLOOKUP(A38,'Données projet'!$A$35:$I$55,9,0)</f>
        <v>27.6</v>
      </c>
      <c r="M38" s="13">
        <f t="array" ref="M38">INDEX(L:L,MIN(IF(ISNUMBER(L38:L234),ROW(L38:L234),"")))</f>
        <v>27.6</v>
      </c>
      <c r="N38" s="14">
        <f>IF('Données projet'!$A$36&gt;35,N37+M38-V37,IF(A38&lt;'Données projet'!$A$36,$K$205^A38,IF(A38='Données projet'!$A$36,'Données projet'!$B$36,N37+M38-V37)))</f>
        <v>505.00000000000011</v>
      </c>
      <c r="O38" s="14">
        <f>N38*VLOOKUP('Données projet'!$B$9,Paramètres!$A$1:$I$89,3,0)*VLOOKUP('Données projet'!$B$9,Paramètres!$A$1:$I$89,5,0)</f>
        <v>282.29500000000007</v>
      </c>
      <c r="P38" s="14">
        <f t="shared" si="33"/>
        <v>67.451777696853824</v>
      </c>
      <c r="Q38" s="22">
        <f t="shared" si="53"/>
        <v>609.14230448868716</v>
      </c>
      <c r="R38" s="62">
        <f t="shared" si="0"/>
        <v>902.47563782202042</v>
      </c>
      <c r="S38" s="62">
        <f ca="1">AVERAGE(OFFSET($R$3,0,0,'Données projet'!$E$9+1,1))-AVERAGE(OFFSET($H$3,0,0,'Données projet'!$E$9+1,1))</f>
        <v>443.34220761968419</v>
      </c>
      <c r="T38" s="62">
        <f t="shared" si="34"/>
        <v>546.58234447298014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69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3.8195064875640203</v>
      </c>
      <c r="AB38" s="23">
        <f>EXP(-LN(2)/2)*AB37+(1-EXP(-LN(2)/2))/(LN(2)/2)*V38*Y38*VLOOKUP('Données projet'!$B$9,Paramètres!$A$1:$I$89,3,0)*0.475*44/12</f>
        <v>5.9014863517558576</v>
      </c>
      <c r="AC38" s="24">
        <f t="shared" si="3"/>
        <v>9.7209928393198783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290</v>
      </c>
      <c r="AG38" s="13">
        <f>VLOOKUP(A38,'Données projet'!$A$61:$I$81,9,0)</f>
        <v>11</v>
      </c>
      <c r="AH38" s="13">
        <f t="array" ref="AH38">INDEX(AG:AG,MIN(IF(ISNUMBER(AG38:AG234),ROW(AG38:AG234),"")))</f>
        <v>11</v>
      </c>
      <c r="AI38" s="14">
        <f>IF('Données projet'!$A$62&gt;35,AI37+AH38-AQ37,IF(A38&lt;'Données projet'!$A$62,$AF$205^A38,IF(A38='Données projet'!$A$62,'Données projet'!$B$62,AI37+AH38-AQ37)))</f>
        <v>289.99999999999994</v>
      </c>
      <c r="AJ38" s="14">
        <f>AI38*VLOOKUP('Données projet'!$B$10,Paramètres!$A$1:$I$89,3,0)*VLOOKUP('Données projet'!$B$10,Paramètres!$A$1:$I$89,5,0)</f>
        <v>158.33999999999997</v>
      </c>
      <c r="AK38" s="14">
        <f t="shared" si="35"/>
        <v>40.467870812652819</v>
      </c>
      <c r="AL38" s="22">
        <f t="shared" si="4"/>
        <v>346.25704166537025</v>
      </c>
      <c r="AM38" s="62">
        <f t="shared" si="5"/>
        <v>639.59037499870351</v>
      </c>
      <c r="AN38" s="62">
        <f ca="1">AVERAGE(OFFSET($AM$3,0,0,'Données projet'!$E$10+1,1))-AVERAGE(OFFSET($H$3,0,0,'Données projet'!$E$10+1,1))</f>
        <v>250.47640551318432</v>
      </c>
      <c r="AO38" s="62">
        <f t="shared" si="36"/>
        <v>361.92681160120975</v>
      </c>
      <c r="AP38" s="16">
        <f>IF(ISNA(VLOOKUP(A38,'Données projet'!$A$61:$I$81,3,0)),0,VLOOKUP(A38,'Données projet'!$A$61:$I$81,3,0))</f>
        <v>6</v>
      </c>
      <c r="AQ38" s="16">
        <f>IF(ISNA(VLOOKUP(A38,'Données projet'!$A$61:$I$81,4,0)),0,VLOOKUP(A38,'Données projet'!$A$61:$I$81,4,0))</f>
        <v>29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7.7410444558075939</v>
      </c>
      <c r="AV38" s="23">
        <f>EXP(-LN(2)/25)*AV37+(1-EXP(-LN(2)/25))/(LN(2)/25)*Calculateur!AQ38*Calculateur!AS38*VLOOKUP('Données projet'!$B$10,Paramètres!$A$1:$I$89,3,0)*0.475*44/12</f>
        <v>31.035624009863337</v>
      </c>
      <c r="AW38" s="23">
        <f>EXP(-LN(2)/2)*AW37+(1-EXP(-LN(2)/2))/(LN(2)/2)*AQ38*AT38*VLOOKUP('Données projet'!$B$10,Paramètres!$A$1:$I$89,3,0)*0.475*44/12</f>
        <v>1.9209928181872281E-3</v>
      </c>
      <c r="AX38" s="23">
        <f t="shared" si="6"/>
        <v>38.778589458489115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25.6</v>
      </c>
      <c r="N39" s="14">
        <f>IF('Données projet'!$A$36&gt;35,N38+M39-V38,IF(A39&lt;'Données projet'!$A$36,$K$205^A39,IF(A39='Données projet'!$A$36,'Données projet'!$B$36,N38+M39-V38)))</f>
        <v>461.60000000000014</v>
      </c>
      <c r="O39" s="14">
        <f>N39*VLOOKUP('Données projet'!$B$9,Paramètres!$A$1:$I$89,3,0)*VLOOKUP('Données projet'!$B$9,Paramètres!$A$1:$I$89,5,0)</f>
        <v>258.03440000000006</v>
      </c>
      <c r="P39" s="14">
        <f t="shared" si="33"/>
        <v>62.303206596431174</v>
      </c>
      <c r="Q39" s="22">
        <f t="shared" si="53"/>
        <v>557.9213314887844</v>
      </c>
      <c r="R39" s="62">
        <f t="shared" si="0"/>
        <v>851.25466482211777</v>
      </c>
      <c r="S39" s="62">
        <f ca="1">AVERAGE(OFFSET($R$3,0,0,'Données projet'!$E$9+1,1))-AVERAGE(OFFSET($H$3,0,0,'Données projet'!$E$9+1,1))</f>
        <v>443.34220761968419</v>
      </c>
      <c r="T39" s="62">
        <f t="shared" si="34"/>
        <v>546.58234447298014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3.7150618818024657</v>
      </c>
      <c r="AB39" s="23">
        <f>EXP(-LN(2)/2)*AB38+(1-EXP(-LN(2)/2))/(LN(2)/2)*V39*Y39*VLOOKUP('Données projet'!$B$9,Paramètres!$A$1:$I$89,3,0)*0.475*44/12</f>
        <v>4.1729810184064258</v>
      </c>
      <c r="AC39" s="24">
        <f t="shared" si="3"/>
        <v>7.888042900208891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8.1999999999999993</v>
      </c>
      <c r="AI39" s="14">
        <f>IF('Données projet'!$A$62&gt;35,AI38+AH39-AQ38,IF(A39&lt;'Données projet'!$A$62,$AF$205^A39,IF(A39='Données projet'!$A$62,'Données projet'!$B$62,AI38+AH39-AQ38)))</f>
        <v>269.19999999999993</v>
      </c>
      <c r="AJ39" s="14">
        <f>AI39*VLOOKUP('Données projet'!$B$10,Paramètres!$A$1:$I$89,3,0)*VLOOKUP('Données projet'!$B$10,Paramètres!$A$1:$I$89,5,0)</f>
        <v>146.98319999999995</v>
      </c>
      <c r="AK39" s="14">
        <f t="shared" si="35"/>
        <v>37.892198442301805</v>
      </c>
      <c r="AL39" s="22">
        <f t="shared" si="4"/>
        <v>321.99131895367555</v>
      </c>
      <c r="AM39" s="62">
        <f t="shared" si="5"/>
        <v>615.3246522870088</v>
      </c>
      <c r="AN39" s="62">
        <f ca="1">AVERAGE(OFFSET($AM$3,0,0,'Données projet'!$E$10+1,1))-AVERAGE(OFFSET($H$3,0,0,'Données projet'!$E$10+1,1))</f>
        <v>250.47640551318432</v>
      </c>
      <c r="AO39" s="62">
        <f t="shared" si="36"/>
        <v>361.92681160120975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7.5892472956001082</v>
      </c>
      <c r="AV39" s="23">
        <f>EXP(-LN(2)/25)*AV38+(1-EXP(-LN(2)/25))/(LN(2)/25)*Calculateur!AQ39*Calculateur!AS39*VLOOKUP('Données projet'!$B$10,Paramètres!$A$1:$I$89,3,0)*0.475*44/12</f>
        <v>30.18695323922109</v>
      </c>
      <c r="AW39" s="23">
        <f>EXP(-LN(2)/2)*AW38+(1-EXP(-LN(2)/2))/(LN(2)/2)*AQ39*AT39*VLOOKUP('Données projet'!$B$10,Paramètres!$A$1:$I$89,3,0)*0.475*44/12</f>
        <v>1.3583470483508457E-3</v>
      </c>
      <c r="AX39" s="23">
        <f t="shared" si="6"/>
        <v>37.777558881869552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25.6</v>
      </c>
      <c r="N40" s="14">
        <f>IF('Données projet'!$A$36&gt;35,N39+M40-V39,IF(A40&lt;'Données projet'!$A$36,$K$205^A40,IF(A40='Données projet'!$A$36,'Données projet'!$B$36,N39+M40-V39)))</f>
        <v>487.20000000000016</v>
      </c>
      <c r="O40" s="14">
        <f>N40*VLOOKUP('Données projet'!$B$9,Paramètres!$A$1:$I$89,3,0)*VLOOKUP('Données projet'!$B$9,Paramètres!$A$1:$I$89,5,0)</f>
        <v>272.34480000000008</v>
      </c>
      <c r="P40" s="14">
        <f t="shared" si="33"/>
        <v>65.346644318451709</v>
      </c>
      <c r="Q40" s="22">
        <f t="shared" si="53"/>
        <v>588.14593218797006</v>
      </c>
      <c r="R40" s="62">
        <f t="shared" si="0"/>
        <v>881.47926552130343</v>
      </c>
      <c r="S40" s="62">
        <f ca="1">AVERAGE(OFFSET($R$3,0,0,'Données projet'!$E$9+1,1))-AVERAGE(OFFSET($H$3,0,0,'Données projet'!$E$9+1,1))</f>
        <v>443.34220761968419</v>
      </c>
      <c r="T40" s="62">
        <f t="shared" si="34"/>
        <v>546.58234447298014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3.6134733192779636</v>
      </c>
      <c r="AB40" s="23">
        <f>EXP(-LN(2)/2)*AB39+(1-EXP(-LN(2)/2))/(LN(2)/2)*V40*Y40*VLOOKUP('Données projet'!$B$9,Paramètres!$A$1:$I$89,3,0)*0.475*44/12</f>
        <v>2.9507431758779288</v>
      </c>
      <c r="AC40" s="24">
        <f t="shared" si="3"/>
        <v>6.5642164951558923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8.1999999999999993</v>
      </c>
      <c r="AI40" s="14">
        <f>IF('Données projet'!$A$62&gt;35,AI39+AH40-AQ39,IF(A40&lt;'Données projet'!$A$62,$AF$205^A40,IF(A40='Données projet'!$A$62,'Données projet'!$B$62,AI39+AH40-AQ39)))</f>
        <v>277.39999999999992</v>
      </c>
      <c r="AJ40" s="14">
        <f>AI40*VLOOKUP('Données projet'!$B$10,Paramètres!$A$1:$I$89,3,0)*VLOOKUP('Données projet'!$B$10,Paramètres!$A$1:$I$89,5,0)</f>
        <v>151.46039999999996</v>
      </c>
      <c r="AK40" s="14">
        <f t="shared" si="35"/>
        <v>38.910279383617429</v>
      </c>
      <c r="AL40" s="22">
        <f t="shared" si="4"/>
        <v>331.56226659313359</v>
      </c>
      <c r="AM40" s="62">
        <f t="shared" si="5"/>
        <v>624.89559992646696</v>
      </c>
      <c r="AN40" s="62">
        <f ca="1">AVERAGE(OFFSET($AM$3,0,0,'Données projet'!$E$10+1,1))-AVERAGE(OFFSET($H$3,0,0,'Données projet'!$E$10+1,1))</f>
        <v>250.47640551318432</v>
      </c>
      <c r="AO40" s="62">
        <f t="shared" si="36"/>
        <v>361.92681160120975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7.4404267851171664</v>
      </c>
      <c r="AV40" s="23">
        <f>EXP(-LN(2)/25)*AV39+(1-EXP(-LN(2)/25))/(LN(2)/25)*Calculateur!AQ40*Calculateur!AS40*VLOOKUP('Données projet'!$B$10,Paramètres!$A$1:$I$89,3,0)*0.475*44/12</f>
        <v>29.361489415431713</v>
      </c>
      <c r="AW40" s="23">
        <f>EXP(-LN(2)/2)*AW39+(1-EXP(-LN(2)/2))/(LN(2)/2)*AQ40*AT40*VLOOKUP('Données projet'!$B$10,Paramètres!$A$1:$I$89,3,0)*0.475*44/12</f>
        <v>9.6049640909361416E-4</v>
      </c>
      <c r="AX40" s="23">
        <f t="shared" si="6"/>
        <v>36.802876696957973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25.6</v>
      </c>
      <c r="N41" s="14">
        <f>IF('Données projet'!$A$36&gt;35,N40+M41-V40,IF(A41&lt;'Données projet'!$A$36,$K$205^A41,IF(A41='Données projet'!$A$36,'Données projet'!$B$36,N40+M41-V40)))</f>
        <v>512.80000000000018</v>
      </c>
      <c r="O41" s="14">
        <f>N41*VLOOKUP('Données projet'!$B$9,Paramètres!$A$1:$I$89,3,0)*VLOOKUP('Données projet'!$B$9,Paramètres!$A$1:$I$89,5,0)</f>
        <v>286.65520000000009</v>
      </c>
      <c r="P41" s="14">
        <f t="shared" si="33"/>
        <v>68.37151538584105</v>
      </c>
      <c r="Q41" s="22">
        <f t="shared" si="53"/>
        <v>618.33819596367323</v>
      </c>
      <c r="R41" s="62">
        <f t="shared" si="0"/>
        <v>911.6715292970066</v>
      </c>
      <c r="S41" s="62">
        <f ca="1">AVERAGE(OFFSET($R$3,0,0,'Données projet'!$E$9+1,1))-AVERAGE(OFFSET($H$3,0,0,'Données projet'!$E$9+1,1))</f>
        <v>443.34220761968419</v>
      </c>
      <c r="T41" s="62">
        <f t="shared" si="34"/>
        <v>546.58234447298014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3.5146627013380045</v>
      </c>
      <c r="AB41" s="23">
        <f>EXP(-LN(2)/2)*AB40+(1-EXP(-LN(2)/2))/(LN(2)/2)*V41*Y41*VLOOKUP('Données projet'!$B$9,Paramètres!$A$1:$I$89,3,0)*0.475*44/12</f>
        <v>2.0864905092032129</v>
      </c>
      <c r="AC41" s="24">
        <f t="shared" si="3"/>
        <v>5.6011532105412174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8.1999999999999993</v>
      </c>
      <c r="AI41" s="14">
        <f>IF('Données projet'!$A$62&gt;35,AI40+AH41-AQ40,IF(A41&lt;'Données projet'!$A$62,$AF$205^A41,IF(A41='Données projet'!$A$62,'Données projet'!$B$62,AI40+AH41-AQ40)))</f>
        <v>285.59999999999991</v>
      </c>
      <c r="AJ41" s="14">
        <f>AI41*VLOOKUP('Données projet'!$B$10,Paramètres!$A$1:$I$89,3,0)*VLOOKUP('Données projet'!$B$10,Paramètres!$A$1:$I$89,5,0)</f>
        <v>155.93759999999995</v>
      </c>
      <c r="AK41" s="14">
        <f t="shared" si="35"/>
        <v>39.924862785906342</v>
      </c>
      <c r="AL41" s="22">
        <f t="shared" si="4"/>
        <v>341.12712268545346</v>
      </c>
      <c r="AM41" s="62">
        <f t="shared" si="5"/>
        <v>634.46045601878677</v>
      </c>
      <c r="AN41" s="62">
        <f ca="1">AVERAGE(OFFSET($AM$3,0,0,'Données projet'!$E$10+1,1))-AVERAGE(OFFSET($H$3,0,0,'Données projet'!$E$10+1,1))</f>
        <v>250.47640551318432</v>
      </c>
      <c r="AO41" s="62">
        <f t="shared" si="36"/>
        <v>361.92681160120975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7.2945245540732468</v>
      </c>
      <c r="AV41" s="23">
        <f>EXP(-LN(2)/25)*AV40+(1-EXP(-LN(2)/25))/(LN(2)/25)*Calculateur!AQ41*Calculateur!AS41*VLOOKUP('Données projet'!$B$10,Paramètres!$A$1:$I$89,3,0)*0.475*44/12</f>
        <v>28.55859794331311</v>
      </c>
      <c r="AW41" s="23">
        <f>EXP(-LN(2)/2)*AW40+(1-EXP(-LN(2)/2))/(LN(2)/2)*AQ41*AT41*VLOOKUP('Données projet'!$B$10,Paramètres!$A$1:$I$89,3,0)*0.475*44/12</f>
        <v>6.7917352417542294E-4</v>
      </c>
      <c r="AX41" s="23">
        <f t="shared" si="6"/>
        <v>35.853801670910535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25.6</v>
      </c>
      <c r="N42" s="14">
        <f>IF('Données projet'!$A$36&gt;35,N41+M42-V41,IF(A42&lt;'Données projet'!$A$36,$K$205^A42,IF(A42='Données projet'!$A$36,'Données projet'!$B$36,N41+M42-V41)))</f>
        <v>538.4000000000002</v>
      </c>
      <c r="O42" s="14">
        <f>N42*VLOOKUP('Données projet'!$B$9,Paramètres!$A$1:$I$89,3,0)*VLOOKUP('Données projet'!$B$9,Paramètres!$A$1:$I$89,5,0)</f>
        <v>300.96560000000011</v>
      </c>
      <c r="P42" s="14">
        <f t="shared" si="33"/>
        <v>71.378852450242803</v>
      </c>
      <c r="Q42" s="22">
        <f t="shared" si="53"/>
        <v>648.49992135083971</v>
      </c>
      <c r="R42" s="62">
        <f t="shared" si="0"/>
        <v>941.83325468417297</v>
      </c>
      <c r="S42" s="62">
        <f ca="1">AVERAGE(OFFSET($R$3,0,0,'Données projet'!$E$9+1,1))-AVERAGE(OFFSET($H$3,0,0,'Données projet'!$E$9+1,1))</f>
        <v>443.34220761968419</v>
      </c>
      <c r="T42" s="62">
        <f t="shared" si="34"/>
        <v>546.58234447298014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3.418554064941838</v>
      </c>
      <c r="AB42" s="23">
        <f>EXP(-LN(2)/2)*AB41+(1-EXP(-LN(2)/2))/(LN(2)/2)*V42*Y42*VLOOKUP('Données projet'!$B$9,Paramètres!$A$1:$I$89,3,0)*0.475*44/12</f>
        <v>1.4753715879389644</v>
      </c>
      <c r="AC42" s="24">
        <f t="shared" si="3"/>
        <v>4.8939256528808022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8.1999999999999993</v>
      </c>
      <c r="AI42" s="14">
        <f>IF('Données projet'!$A$62&gt;35,AI41+AH42-AQ41,IF(A42&lt;'Données projet'!$A$62,$AF$205^A42,IF(A42='Données projet'!$A$62,'Données projet'!$B$62,AI41+AH42-AQ41)))</f>
        <v>293.7999999999999</v>
      </c>
      <c r="AJ42" s="14">
        <f>AI42*VLOOKUP('Données projet'!$B$10,Paramètres!$A$1:$I$89,3,0)*VLOOKUP('Données projet'!$B$10,Paramètres!$A$1:$I$89,5,0)</f>
        <v>160.41479999999996</v>
      </c>
      <c r="AK42" s="14">
        <f t="shared" si="35"/>
        <v>40.936060601587023</v>
      </c>
      <c r="AL42" s="22">
        <f t="shared" si="4"/>
        <v>350.68608221443066</v>
      </c>
      <c r="AM42" s="62">
        <f t="shared" si="5"/>
        <v>644.01941554776397</v>
      </c>
      <c r="AN42" s="62">
        <f ca="1">AVERAGE(OFFSET($AM$3,0,0,'Données projet'!$E$10+1,1))-AVERAGE(OFFSET($H$3,0,0,'Données projet'!$E$10+1,1))</f>
        <v>250.47640551318432</v>
      </c>
      <c r="AO42" s="62">
        <f t="shared" si="36"/>
        <v>361.92681160120975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7.1514833767885246</v>
      </c>
      <c r="AV42" s="23">
        <f>EXP(-LN(2)/25)*AV41+(1-EXP(-LN(2)/25))/(LN(2)/25)*Calculateur!AQ42*Calculateur!AS42*VLOOKUP('Données projet'!$B$10,Paramètres!$A$1:$I$89,3,0)*0.475*44/12</f>
        <v>27.777661580721819</v>
      </c>
      <c r="AW42" s="23">
        <f>EXP(-LN(2)/2)*AW41+(1-EXP(-LN(2)/2))/(LN(2)/2)*AQ42*AT42*VLOOKUP('Données projet'!$B$10,Paramètres!$A$1:$I$89,3,0)*0.475*44/12</f>
        <v>4.8024820454680719E-4</v>
      </c>
      <c r="AX42" s="23">
        <f t="shared" si="6"/>
        <v>34.929625205714892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564</v>
      </c>
      <c r="L43" s="13">
        <f>VLOOKUP(A43,'Données projet'!$A$35:$I$55,9,0)</f>
        <v>25.6</v>
      </c>
      <c r="M43" s="13">
        <f t="array" ref="M43">INDEX(L:L,MIN(IF(ISNUMBER(L43:L239),ROW(L43:L239),"")))</f>
        <v>25.6</v>
      </c>
      <c r="N43" s="14">
        <f>IF('Données projet'!$A$36&gt;35,N42+M43-V42,IF(A43&lt;'Données projet'!$A$36,$K$205^A43,IF(A43='Données projet'!$A$36,'Données projet'!$B$36,N42+M43-V42)))</f>
        <v>564.00000000000023</v>
      </c>
      <c r="O43" s="14">
        <f>N43*VLOOKUP('Données projet'!$B$9,Paramètres!$A$1:$I$89,3,0)*VLOOKUP('Données projet'!$B$9,Paramètres!$A$1:$I$89,5,0)</f>
        <v>315.27600000000012</v>
      </c>
      <c r="P43" s="14">
        <f t="shared" si="33"/>
        <v>74.36958441265493</v>
      </c>
      <c r="Q43" s="22">
        <f t="shared" si="53"/>
        <v>678.63272618537417</v>
      </c>
      <c r="R43" s="62">
        <f t="shared" si="0"/>
        <v>971.96605951870743</v>
      </c>
      <c r="S43" s="62">
        <f ca="1">AVERAGE(OFFSET($R$3,0,0,'Données projet'!$E$9+1,1))-AVERAGE(OFFSET($H$3,0,0,'Données projet'!$E$9+1,1))</f>
        <v>443.34220761968419</v>
      </c>
      <c r="T43" s="62">
        <f t="shared" si="34"/>
        <v>546.58234447298014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72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3.3250735242620584</v>
      </c>
      <c r="AB43" s="23">
        <f>EXP(-LN(2)/2)*AB42+(1-EXP(-LN(2)/2))/(LN(2)/2)*V43*Y43*VLOOKUP('Données projet'!$B$9,Paramètres!$A$1:$I$89,3,0)*0.475*44/12</f>
        <v>1.0432452546016064</v>
      </c>
      <c r="AC43" s="24">
        <f t="shared" si="3"/>
        <v>4.3683187788636646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302</v>
      </c>
      <c r="AG43" s="13">
        <f>VLOOKUP(A43,'Données projet'!$A$61:$I$81,9,0)</f>
        <v>8.1999999999999993</v>
      </c>
      <c r="AH43" s="13">
        <f t="array" ref="AH43">INDEX(AG:AG,MIN(IF(ISNUMBER(AG43:AG239),ROW(AG43:AG239),"")))</f>
        <v>8.1999999999999993</v>
      </c>
      <c r="AI43" s="14">
        <f>IF('Données projet'!$A$62&gt;35,AI42+AH43-AQ42,IF(A43&lt;'Données projet'!$A$62,$AF$205^A43,IF(A43='Données projet'!$A$62,'Données projet'!$B$62,AI42+AH43-AQ42)))</f>
        <v>301.99999999999989</v>
      </c>
      <c r="AJ43" s="14">
        <f>AI43*VLOOKUP('Données projet'!$B$10,Paramètres!$A$1:$I$89,3,0)*VLOOKUP('Données projet'!$B$10,Paramètres!$A$1:$I$89,5,0)</f>
        <v>164.89199999999994</v>
      </c>
      <c r="AK43" s="14">
        <f t="shared" si="35"/>
        <v>41.943978178295076</v>
      </c>
      <c r="AL43" s="22">
        <f t="shared" si="4"/>
        <v>360.23932866053048</v>
      </c>
      <c r="AM43" s="62">
        <f t="shared" si="5"/>
        <v>653.57266199386379</v>
      </c>
      <c r="AN43" s="62">
        <f ca="1">AVERAGE(OFFSET($AM$3,0,0,'Données projet'!$E$10+1,1))-AVERAGE(OFFSET($H$3,0,0,'Données projet'!$E$10+1,1))</f>
        <v>250.47640551318432</v>
      </c>
      <c r="AO43" s="62">
        <f t="shared" si="36"/>
        <v>361.92681160120975</v>
      </c>
      <c r="AP43" s="16">
        <f>IF(ISNA(VLOOKUP(A43,'Données projet'!$A$61:$I$81,3,0)),0,VLOOKUP(A43,'Données projet'!$A$61:$I$81,3,0))</f>
        <v>7</v>
      </c>
      <c r="AQ43" s="16">
        <f>IF(ISNA(VLOOKUP(A43,'Données projet'!$A$61:$I$81,4,0)),0,VLOOKUP(A43,'Données projet'!$A$61:$I$81,4,0))</f>
        <v>22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7.011247149743852</v>
      </c>
      <c r="AV43" s="23">
        <f>EXP(-LN(2)/25)*AV42+(1-EXP(-LN(2)/25))/(LN(2)/25)*Calculateur!AQ43*Calculateur!AS43*VLOOKUP('Données projet'!$B$10,Paramètres!$A$1:$I$89,3,0)*0.475*44/12</f>
        <v>27.018079964033245</v>
      </c>
      <c r="AW43" s="23">
        <f>EXP(-LN(2)/2)*AW42+(1-EXP(-LN(2)/2))/(LN(2)/2)*AQ43*AT43*VLOOKUP('Données projet'!$B$10,Paramètres!$A$1:$I$89,3,0)*0.475*44/12</f>
        <v>3.3958676208771152E-4</v>
      </c>
      <c r="AX43" s="23">
        <f t="shared" si="6"/>
        <v>34.029666700539188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22.8</v>
      </c>
      <c r="N44" s="14">
        <f>IF('Données projet'!$A$36&gt;35,N43+M44-V43,IF(A44&lt;'Données projet'!$A$36,$K$205^A44,IF(A44='Données projet'!$A$36,'Données projet'!$B$36,N43+M44-V43)))</f>
        <v>514.80000000000018</v>
      </c>
      <c r="O44" s="14">
        <f>N44*VLOOKUP('Données projet'!$B$9,Paramètres!$A$1:$I$89,3,0)*VLOOKUP('Données projet'!$B$9,Paramètres!$A$1:$I$89,5,0)</f>
        <v>287.77320000000009</v>
      </c>
      <c r="P44" s="14">
        <f t="shared" si="33"/>
        <v>68.607082381743922</v>
      </c>
      <c r="Q44" s="22">
        <f t="shared" si="53"/>
        <v>620.69565848153741</v>
      </c>
      <c r="R44" s="62">
        <f t="shared" si="0"/>
        <v>914.02899181487078</v>
      </c>
      <c r="S44" s="62">
        <f ca="1">AVERAGE(OFFSET($R$3,0,0,'Données projet'!$E$9+1,1))-AVERAGE(OFFSET($H$3,0,0,'Données projet'!$E$9+1,1))</f>
        <v>443.34220761968419</v>
      </c>
      <c r="T44" s="62">
        <f t="shared" si="34"/>
        <v>546.58234447298014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3.2341492138830952</v>
      </c>
      <c r="AB44" s="23">
        <f>EXP(-LN(2)/2)*AB43+(1-EXP(-LN(2)/2))/(LN(2)/2)*V44*Y44*VLOOKUP('Données projet'!$B$9,Paramètres!$A$1:$I$89,3,0)*0.475*44/12</f>
        <v>0.7376857939694822</v>
      </c>
      <c r="AC44" s="24">
        <f t="shared" si="3"/>
        <v>3.9718350078525773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6</v>
      </c>
      <c r="AI44" s="14">
        <f>IF('Données projet'!$A$62&gt;35,AI43+AH44-AQ43,IF(A44&lt;'Données projet'!$A$62,$AF$205^A44,IF(A44='Données projet'!$A$62,'Données projet'!$B$62,AI43+AH44-AQ43)))</f>
        <v>285.99999999999989</v>
      </c>
      <c r="AJ44" s="14">
        <f>AI44*VLOOKUP('Données projet'!$B$10,Paramètres!$A$1:$I$89,3,0)*VLOOKUP('Données projet'!$B$10,Paramètres!$A$1:$I$89,5,0)</f>
        <v>156.15599999999995</v>
      </c>
      <c r="AK44" s="14">
        <f t="shared" si="35"/>
        <v>39.974267176222085</v>
      </c>
      <c r="AL44" s="22">
        <f t="shared" si="4"/>
        <v>341.59354866525337</v>
      </c>
      <c r="AM44" s="62">
        <f t="shared" si="5"/>
        <v>634.92688199858662</v>
      </c>
      <c r="AN44" s="62">
        <f ca="1">AVERAGE(OFFSET($AM$3,0,0,'Données projet'!$E$10+1,1))-AVERAGE(OFFSET($H$3,0,0,'Données projet'!$E$10+1,1))</f>
        <v>250.47640551318432</v>
      </c>
      <c r="AO44" s="62">
        <f t="shared" si="36"/>
        <v>361.92681160120975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6.8737608695758734</v>
      </c>
      <c r="AV44" s="23">
        <f>EXP(-LN(2)/25)*AV43+(1-EXP(-LN(2)/25))/(LN(2)/25)*Calculateur!AQ44*Calculateur!AS44*VLOOKUP('Données projet'!$B$10,Paramètres!$A$1:$I$89,3,0)*0.475*44/12</f>
        <v>26.279269146597681</v>
      </c>
      <c r="AW44" s="23">
        <f>EXP(-LN(2)/2)*AW43+(1-EXP(-LN(2)/2))/(LN(2)/2)*AQ44*AT44*VLOOKUP('Données projet'!$B$10,Paramètres!$A$1:$I$89,3,0)*0.475*44/12</f>
        <v>2.4012410227340362E-4</v>
      </c>
      <c r="AX44" s="23">
        <f t="shared" si="6"/>
        <v>33.153270140275829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22.8</v>
      </c>
      <c r="N45" s="14">
        <f>IF('Données projet'!$A$36&gt;35,N44+M45-V44,IF(A45&lt;'Données projet'!$A$36,$K$205^A45,IF(A45='Données projet'!$A$36,'Données projet'!$B$36,N44+M45-V44)))</f>
        <v>537.60000000000014</v>
      </c>
      <c r="O45" s="14">
        <f>N45*VLOOKUP('Données projet'!$B$9,Paramètres!$A$1:$I$89,3,0)*VLOOKUP('Données projet'!$B$9,Paramètres!$A$1:$I$89,5,0)</f>
        <v>300.5184000000001</v>
      </c>
      <c r="P45" s="14">
        <f t="shared" si="33"/>
        <v>71.285129105116411</v>
      </c>
      <c r="Q45" s="22">
        <f t="shared" si="53"/>
        <v>647.55781319141124</v>
      </c>
      <c r="R45" s="62">
        <f t="shared" si="0"/>
        <v>940.8911465247445</v>
      </c>
      <c r="S45" s="62">
        <f ca="1">AVERAGE(OFFSET($R$3,0,0,'Données projet'!$E$9+1,1))-AVERAGE(OFFSET($H$3,0,0,'Données projet'!$E$9+1,1))</f>
        <v>443.34220761968419</v>
      </c>
      <c r="T45" s="62">
        <f t="shared" si="34"/>
        <v>546.58234447298014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3.1457112335529467</v>
      </c>
      <c r="AB45" s="23">
        <f>EXP(-LN(2)/2)*AB44+(1-EXP(-LN(2)/2))/(LN(2)/2)*V45*Y45*VLOOKUP('Données projet'!$B$9,Paramètres!$A$1:$I$89,3,0)*0.475*44/12</f>
        <v>0.52162262730080322</v>
      </c>
      <c r="AC45" s="24">
        <f t="shared" si="3"/>
        <v>3.6673338608537498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6</v>
      </c>
      <c r="AI45" s="14">
        <f>IF('Données projet'!$A$62&gt;35,AI44+AH45-AQ44,IF(A45&lt;'Données projet'!$A$62,$AF$205^A45,IF(A45='Données projet'!$A$62,'Données projet'!$B$62,AI44+AH45-AQ44)))</f>
        <v>291.99999999999989</v>
      </c>
      <c r="AJ45" s="14">
        <f>AI45*VLOOKUP('Données projet'!$B$10,Paramètres!$A$1:$I$89,3,0)*VLOOKUP('Données projet'!$B$10,Paramètres!$A$1:$I$89,5,0)</f>
        <v>159.43199999999993</v>
      </c>
      <c r="AK45" s="14">
        <f t="shared" si="35"/>
        <v>40.714374916553687</v>
      </c>
      <c r="AL45" s="22">
        <f t="shared" si="4"/>
        <v>348.58826964633084</v>
      </c>
      <c r="AM45" s="62">
        <f t="shared" si="5"/>
        <v>641.92160297966416</v>
      </c>
      <c r="AN45" s="62">
        <f ca="1">AVERAGE(OFFSET($AM$3,0,0,'Données projet'!$E$10+1,1))-AVERAGE(OFFSET($H$3,0,0,'Données projet'!$E$10+1,1))</f>
        <v>250.47640551318432</v>
      </c>
      <c r="AO45" s="62">
        <f t="shared" si="36"/>
        <v>361.92681160120975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6.7389706115036381</v>
      </c>
      <c r="AV45" s="23">
        <f>EXP(-LN(2)/25)*AV44+(1-EXP(-LN(2)/25))/(LN(2)/25)*Calculateur!AQ45*Calculateur!AS45*VLOOKUP('Données projet'!$B$10,Paramètres!$A$1:$I$89,3,0)*0.475*44/12</f>
        <v>25.560661149817264</v>
      </c>
      <c r="AW45" s="23">
        <f>EXP(-LN(2)/2)*AW44+(1-EXP(-LN(2)/2))/(LN(2)/2)*AQ45*AT45*VLOOKUP('Données projet'!$B$10,Paramètres!$A$1:$I$89,3,0)*0.475*44/12</f>
        <v>1.6979338104385579E-4</v>
      </c>
      <c r="AX45" s="23">
        <f t="shared" si="6"/>
        <v>32.299801554701943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22.8</v>
      </c>
      <c r="N46" s="14">
        <f>IF('Données projet'!$A$36&gt;35,N45+M46-V45,IF(A46&lt;'Données projet'!$A$36,$K$205^A46,IF(A46='Données projet'!$A$36,'Données projet'!$B$36,N45+M46-V45)))</f>
        <v>560.40000000000009</v>
      </c>
      <c r="O46" s="14">
        <f>N46*VLOOKUP('Données projet'!$B$9,Paramètres!$A$1:$I$89,3,0)*VLOOKUP('Données projet'!$B$9,Paramètres!$A$1:$I$89,5,0)</f>
        <v>313.26360000000005</v>
      </c>
      <c r="P46" s="14">
        <f t="shared" si="33"/>
        <v>73.949983766039026</v>
      </c>
      <c r="Q46" s="22">
        <f t="shared" si="53"/>
        <v>674.39699172585131</v>
      </c>
      <c r="R46" s="62">
        <f t="shared" si="0"/>
        <v>967.73032505918468</v>
      </c>
      <c r="S46" s="62">
        <f ca="1">AVERAGE(OFFSET($R$3,0,0,'Données projet'!$E$9+1,1))-AVERAGE(OFFSET($H$3,0,0,'Données projet'!$E$9+1,1))</f>
        <v>443.34220761968419</v>
      </c>
      <c r="T46" s="62">
        <f t="shared" si="34"/>
        <v>546.58234447298014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3.0596915944456771</v>
      </c>
      <c r="AB46" s="23">
        <f>EXP(-LN(2)/2)*AB45+(1-EXP(-LN(2)/2))/(LN(2)/2)*V46*Y46*VLOOKUP('Données projet'!$B$9,Paramètres!$A$1:$I$89,3,0)*0.475*44/12</f>
        <v>0.3688428969847411</v>
      </c>
      <c r="AC46" s="24">
        <f t="shared" si="3"/>
        <v>3.4285344914304181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6</v>
      </c>
      <c r="AI46" s="14">
        <f>IF('Données projet'!$A$62&gt;35,AI45+AH46-AQ45,IF(A46&lt;'Données projet'!$A$62,$AF$205^A46,IF(A46='Données projet'!$A$62,'Données projet'!$B$62,AI45+AH46-AQ45)))</f>
        <v>297.99999999999989</v>
      </c>
      <c r="AJ46" s="14">
        <f>AI46*VLOOKUP('Données projet'!$B$10,Paramètres!$A$1:$I$89,3,0)*VLOOKUP('Données projet'!$B$10,Paramètres!$A$1:$I$89,5,0)</f>
        <v>162.70799999999994</v>
      </c>
      <c r="AK46" s="14">
        <f t="shared" si="35"/>
        <v>41.452714465110219</v>
      </c>
      <c r="AL46" s="22">
        <f t="shared" si="4"/>
        <v>355.57991102673355</v>
      </c>
      <c r="AM46" s="62">
        <f t="shared" si="5"/>
        <v>648.91324436006687</v>
      </c>
      <c r="AN46" s="62">
        <f ca="1">AVERAGE(OFFSET($AM$3,0,0,'Données projet'!$E$10+1,1))-AVERAGE(OFFSET($H$3,0,0,'Données projet'!$E$10+1,1))</f>
        <v>250.47640551318432</v>
      </c>
      <c r="AO46" s="62">
        <f t="shared" si="36"/>
        <v>361.92681160120975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6.6068235081782598</v>
      </c>
      <c r="AV46" s="23">
        <f>EXP(-LN(2)/25)*AV45+(1-EXP(-LN(2)/25))/(LN(2)/25)*Calculateur!AQ46*Calculateur!AS46*VLOOKUP('Données projet'!$B$10,Paramètres!$A$1:$I$89,3,0)*0.475*44/12</f>
        <v>24.861703526498761</v>
      </c>
      <c r="AW46" s="23">
        <f>EXP(-LN(2)/2)*AW45+(1-EXP(-LN(2)/2))/(LN(2)/2)*AQ46*AT46*VLOOKUP('Données projet'!$B$10,Paramètres!$A$1:$I$89,3,0)*0.475*44/12</f>
        <v>1.2006205113670182E-4</v>
      </c>
      <c r="AX46" s="23">
        <f t="shared" si="6"/>
        <v>31.468647096728159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22.8</v>
      </c>
      <c r="N47" s="14">
        <f>IF('Données projet'!$A$36&gt;35,N46+M47-V46,IF(A47&lt;'Données projet'!$A$36,$K$205^A47,IF(A47='Données projet'!$A$36,'Données projet'!$B$36,N46+M47-V46)))</f>
        <v>583.20000000000005</v>
      </c>
      <c r="O47" s="14">
        <f>N47*VLOOKUP('Données projet'!$B$9,Paramètres!$A$1:$I$89,3,0)*VLOOKUP('Données projet'!$B$9,Paramètres!$A$1:$I$89,5,0)</f>
        <v>326.00880000000001</v>
      </c>
      <c r="P47" s="14">
        <f t="shared" si="33"/>
        <v>76.602244480772981</v>
      </c>
      <c r="Q47" s="22">
        <f t="shared" si="53"/>
        <v>701.2142358040129</v>
      </c>
      <c r="R47" s="62">
        <f t="shared" si="0"/>
        <v>994.54756913734627</v>
      </c>
      <c r="S47" s="62">
        <f ca="1">AVERAGE(OFFSET($R$3,0,0,'Données projet'!$E$9+1,1))-AVERAGE(OFFSET($H$3,0,0,'Données projet'!$E$9+1,1))</f>
        <v>443.34220761968419</v>
      </c>
      <c r="T47" s="62">
        <f t="shared" si="34"/>
        <v>546.58234447298014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2.9760241668933722</v>
      </c>
      <c r="AB47" s="23">
        <f>EXP(-LN(2)/2)*AB46+(1-EXP(-LN(2)/2))/(LN(2)/2)*V47*Y47*VLOOKUP('Données projet'!$B$9,Paramètres!$A$1:$I$89,3,0)*0.475*44/12</f>
        <v>0.26081131365040161</v>
      </c>
      <c r="AC47" s="24">
        <f t="shared" si="3"/>
        <v>3.2368354805437738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6</v>
      </c>
      <c r="AI47" s="14">
        <f>IF('Données projet'!$A$62&gt;35,AI46+AH47-AQ46,IF(A47&lt;'Données projet'!$A$62,$AF$205^A47,IF(A47='Données projet'!$A$62,'Données projet'!$B$62,AI46+AH47-AQ46)))</f>
        <v>303.99999999999989</v>
      </c>
      <c r="AJ47" s="14">
        <f>AI47*VLOOKUP('Données projet'!$B$10,Paramètres!$A$1:$I$89,3,0)*VLOOKUP('Données projet'!$B$10,Paramètres!$A$1:$I$89,5,0)</f>
        <v>165.98399999999995</v>
      </c>
      <c r="AK47" s="14">
        <f t="shared" si="35"/>
        <v>42.189325525922243</v>
      </c>
      <c r="AL47" s="22">
        <f t="shared" si="4"/>
        <v>362.56854195764782</v>
      </c>
      <c r="AM47" s="62">
        <f t="shared" si="5"/>
        <v>655.90187529098114</v>
      </c>
      <c r="AN47" s="62">
        <f ca="1">AVERAGE(OFFSET($AM$3,0,0,'Données projet'!$E$10+1,1))-AVERAGE(OFFSET($H$3,0,0,'Données projet'!$E$10+1,1))</f>
        <v>250.47640551318432</v>
      </c>
      <c r="AO47" s="62">
        <f t="shared" si="36"/>
        <v>361.92681160120975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6.4772677289473179</v>
      </c>
      <c r="AV47" s="23">
        <f>EXP(-LN(2)/25)*AV46+(1-EXP(-LN(2)/25))/(LN(2)/25)*Calculateur!AQ47*Calculateur!AS47*VLOOKUP('Données projet'!$B$10,Paramètres!$A$1:$I$89,3,0)*0.475*44/12</f>
        <v>24.181858936146487</v>
      </c>
      <c r="AW47" s="23">
        <f>EXP(-LN(2)/2)*AW46+(1-EXP(-LN(2)/2))/(LN(2)/2)*AQ47*AT47*VLOOKUP('Données projet'!$B$10,Paramètres!$A$1:$I$89,3,0)*0.475*44/12</f>
        <v>8.4896690521927908E-5</v>
      </c>
      <c r="AX47" s="23">
        <f t="shared" si="6"/>
        <v>30.659211561784325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606</v>
      </c>
      <c r="L48" s="13">
        <f>VLOOKUP(A48,'Données projet'!$A$35:$I$55,9,0)</f>
        <v>22.8</v>
      </c>
      <c r="M48" s="13">
        <f t="array" ref="M48">INDEX(L:L,MIN(IF(ISNUMBER(L48:L244),ROW(L48:L244),"")))</f>
        <v>22.8</v>
      </c>
      <c r="N48" s="14">
        <f>IF('Données projet'!$A$36&gt;35,N47+M48-V47,IF(A48&lt;'Données projet'!$A$36,$K$205^A48,IF(A48='Données projet'!$A$36,'Données projet'!$B$36,N47+M48-V47)))</f>
        <v>606</v>
      </c>
      <c r="O48" s="14">
        <f>N48*VLOOKUP('Données projet'!$B$9,Paramètres!$A$1:$I$89,3,0)*VLOOKUP('Données projet'!$B$9,Paramètres!$A$1:$I$89,5,0)</f>
        <v>338.75400000000002</v>
      </c>
      <c r="P48" s="14">
        <f t="shared" si="33"/>
        <v>79.242459951408904</v>
      </c>
      <c r="Q48" s="22">
        <f t="shared" si="53"/>
        <v>728.01050108203719</v>
      </c>
      <c r="R48" s="62">
        <f t="shared" si="0"/>
        <v>1021.3438344153706</v>
      </c>
      <c r="S48" s="62">
        <f ca="1">AVERAGE(OFFSET($R$3,0,0,'Données projet'!$E$9+1,1))-AVERAGE(OFFSET($H$3,0,0,'Données projet'!$E$9+1,1))</f>
        <v>443.34220761968419</v>
      </c>
      <c r="T48" s="62">
        <f t="shared" si="34"/>
        <v>546.58234447298014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66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2.894644629547364</v>
      </c>
      <c r="AB48" s="23">
        <f>EXP(-LN(2)/2)*AB47+(1-EXP(-LN(2)/2))/(LN(2)/2)*V48*Y48*VLOOKUP('Données projet'!$B$9,Paramètres!$A$1:$I$89,3,0)*0.475*44/12</f>
        <v>0.18442144849237055</v>
      </c>
      <c r="AC48" s="24">
        <f t="shared" si="3"/>
        <v>3.0790660780397348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310</v>
      </c>
      <c r="AG48" s="13">
        <f>VLOOKUP(A48,'Données projet'!$A$61:$I$81,9,0)</f>
        <v>6</v>
      </c>
      <c r="AH48" s="13">
        <f t="array" ref="AH48">INDEX(AG:AG,MIN(IF(ISNUMBER(AG48:AG244),ROW(AG48:AG244),"")))</f>
        <v>6</v>
      </c>
      <c r="AI48" s="14">
        <f>IF('Données projet'!$A$62&gt;35,AI47+AH48-AQ47,IF(A48&lt;'Données projet'!$A$62,$AF$205^A48,IF(A48='Données projet'!$A$62,'Données projet'!$B$62,AI47+AH48-AQ47)))</f>
        <v>309.99999999999989</v>
      </c>
      <c r="AJ48" s="14">
        <f>AI48*VLOOKUP('Données projet'!$B$10,Paramètres!$A$1:$I$89,3,0)*VLOOKUP('Données projet'!$B$10,Paramètres!$A$1:$I$89,5,0)</f>
        <v>169.25999999999996</v>
      </c>
      <c r="AK48" s="14">
        <f t="shared" si="35"/>
        <v>42.924246146122272</v>
      </c>
      <c r="AL48" s="22">
        <f t="shared" si="4"/>
        <v>369.55422870449621</v>
      </c>
      <c r="AM48" s="62">
        <f t="shared" si="5"/>
        <v>662.88756203782953</v>
      </c>
      <c r="AN48" s="62">
        <f ca="1">AVERAGE(OFFSET($AM$3,0,0,'Données projet'!$E$10+1,1))-AVERAGE(OFFSET($H$3,0,0,'Données projet'!$E$10+1,1))</f>
        <v>250.47640551318432</v>
      </c>
      <c r="AO48" s="62">
        <f t="shared" si="36"/>
        <v>361.92681160120975</v>
      </c>
      <c r="AP48" s="16">
        <f>IF(ISNA(VLOOKUP(A48,'Données projet'!$A$61:$I$81,3,0)),0,VLOOKUP(A48,'Données projet'!$A$61:$I$81,3,0))</f>
        <v>8</v>
      </c>
      <c r="AQ48" s="16">
        <f>IF(ISNA(VLOOKUP(A48,'Données projet'!$A$61:$I$81,4,0)),0,VLOOKUP(A48,'Données projet'!$A$61:$I$81,4,0))</f>
        <v>16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6.3502524595258718</v>
      </c>
      <c r="AV48" s="23">
        <f>EXP(-LN(2)/25)*AV47+(1-EXP(-LN(2)/25))/(LN(2)/25)*Calculateur!AQ48*Calculateur!AS48*VLOOKUP('Données projet'!$B$10,Paramètres!$A$1:$I$89,3,0)*0.475*44/12</f>
        <v>23.520604731868868</v>
      </c>
      <c r="AW48" s="23">
        <f>EXP(-LN(2)/2)*AW47+(1-EXP(-LN(2)/2))/(LN(2)/2)*AQ48*AT48*VLOOKUP('Données projet'!$B$10,Paramètres!$A$1:$I$89,3,0)*0.475*44/12</f>
        <v>6.0031025568350925E-5</v>
      </c>
      <c r="AX48" s="23">
        <f t="shared" si="6"/>
        <v>29.87091722242031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17.8</v>
      </c>
      <c r="N49" s="14">
        <f>IF('Données projet'!$A$36&gt;35,N48+M49-V48,IF(A49&lt;'Données projet'!$A$36,$K$205^A49,IF(A49='Données projet'!$A$36,'Données projet'!$B$36,N48+M49-V48)))</f>
        <v>557.79999999999995</v>
      </c>
      <c r="O49" s="14">
        <f>N49*VLOOKUP('Données projet'!$B$9,Paramètres!$A$1:$I$89,3,0)*VLOOKUP('Données projet'!$B$9,Paramètres!$A$1:$I$89,5,0)</f>
        <v>311.81020000000001</v>
      </c>
      <c r="P49" s="14">
        <f t="shared" si="33"/>
        <v>73.646743780370684</v>
      </c>
      <c r="Q49" s="22">
        <f t="shared" si="53"/>
        <v>671.33751041747894</v>
      </c>
      <c r="R49" s="62">
        <f t="shared" si="0"/>
        <v>964.67084375081231</v>
      </c>
      <c r="S49" s="62">
        <f ca="1">AVERAGE(OFFSET($R$3,0,0,'Données projet'!$E$9+1,1))-AVERAGE(OFFSET($H$3,0,0,'Données projet'!$E$9+1,1))</f>
        <v>443.34220761968419</v>
      </c>
      <c r="T49" s="62">
        <f t="shared" si="34"/>
        <v>546.58234447298014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2.8154904199296462</v>
      </c>
      <c r="AB49" s="23">
        <f>EXP(-LN(2)/2)*AB48+(1-EXP(-LN(2)/2))/(LN(2)/2)*V49*Y49*VLOOKUP('Données projet'!$B$9,Paramètres!$A$1:$I$89,3,0)*0.475*44/12</f>
        <v>0.13040565682520081</v>
      </c>
      <c r="AC49" s="24">
        <f t="shared" si="3"/>
        <v>2.9458960767548472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4.2</v>
      </c>
      <c r="AI49" s="14">
        <f>IF('Données projet'!$A$62&gt;35,AI48+AH49-AQ48,IF(A49&lt;'Données projet'!$A$62,$AF$205^A49,IF(A49='Données projet'!$A$62,'Données projet'!$B$62,AI48+AH49-AQ48)))</f>
        <v>298.19999999999987</v>
      </c>
      <c r="AJ49" s="14">
        <f>AI49*VLOOKUP('Données projet'!$B$10,Paramètres!$A$1:$I$89,3,0)*VLOOKUP('Données projet'!$B$10,Paramètres!$A$1:$I$89,5,0)</f>
        <v>162.81719999999993</v>
      </c>
      <c r="AK49" s="14">
        <f t="shared" si="35"/>
        <v>41.477295799451866</v>
      </c>
      <c r="AL49" s="22">
        <f t="shared" si="4"/>
        <v>355.81291351737855</v>
      </c>
      <c r="AM49" s="62">
        <f t="shared" si="5"/>
        <v>649.1462468507118</v>
      </c>
      <c r="AN49" s="62">
        <f ca="1">AVERAGE(OFFSET($AM$3,0,0,'Données projet'!$E$10+1,1))-AVERAGE(OFFSET($H$3,0,0,'Données projet'!$E$10+1,1))</f>
        <v>250.47640551318432</v>
      </c>
      <c r="AO49" s="62">
        <f t="shared" si="36"/>
        <v>361.92681160120975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6.2257278820661162</v>
      </c>
      <c r="AV49" s="23">
        <f>EXP(-LN(2)/25)*AV48+(1-EXP(-LN(2)/25))/(LN(2)/25)*Calculateur!AQ49*Calculateur!AS49*VLOOKUP('Données projet'!$B$10,Paramètres!$A$1:$I$89,3,0)*0.475*44/12</f>
        <v>22.877432558581067</v>
      </c>
      <c r="AW49" s="23">
        <f>EXP(-LN(2)/2)*AW48+(1-EXP(-LN(2)/2))/(LN(2)/2)*AQ49*AT49*VLOOKUP('Données projet'!$B$10,Paramètres!$A$1:$I$89,3,0)*0.475*44/12</f>
        <v>4.2448345260963961E-5</v>
      </c>
      <c r="AX49" s="23">
        <f t="shared" si="6"/>
        <v>29.103202888992445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17.8</v>
      </c>
      <c r="N50" s="14">
        <f>IF('Données projet'!$A$36&gt;35,N49+M50-V49,IF(A50&lt;'Données projet'!$A$36,$K$205^A50,IF(A50='Données projet'!$A$36,'Données projet'!$B$36,N49+M50-V49)))</f>
        <v>575.59999999999991</v>
      </c>
      <c r="O50" s="14">
        <f>N50*VLOOKUP('Données projet'!$B$9,Paramètres!$A$1:$I$89,3,0)*VLOOKUP('Données projet'!$B$9,Paramètres!$A$1:$I$89,5,0)</f>
        <v>321.76039999999995</v>
      </c>
      <c r="P50" s="14">
        <f t="shared" si="33"/>
        <v>75.719522083505169</v>
      </c>
      <c r="Q50" s="22">
        <f t="shared" si="53"/>
        <v>692.27753096210472</v>
      </c>
      <c r="R50" s="62">
        <f t="shared" si="0"/>
        <v>985.61086429543798</v>
      </c>
      <c r="S50" s="62">
        <f ca="1">AVERAGE(OFFSET($R$3,0,0,'Données projet'!$E$9+1,1))-AVERAGE(OFFSET($H$3,0,0,'Données projet'!$E$9+1,1))</f>
        <v>443.34220761968419</v>
      </c>
      <c r="T50" s="62">
        <f t="shared" si="34"/>
        <v>546.58234447298014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2.7385006863364638</v>
      </c>
      <c r="AB50" s="23">
        <f>EXP(-LN(2)/2)*AB49+(1-EXP(-LN(2)/2))/(LN(2)/2)*V50*Y50*VLOOKUP('Données projet'!$B$9,Paramètres!$A$1:$I$89,3,0)*0.475*44/12</f>
        <v>9.2210724246185274E-2</v>
      </c>
      <c r="AC50" s="24">
        <f t="shared" si="3"/>
        <v>2.8307114105826492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4.2</v>
      </c>
      <c r="AI50" s="14">
        <f>IF('Données projet'!$A$62&gt;35,AI49+AH50-AQ49,IF(A50&lt;'Données projet'!$A$62,$AF$205^A50,IF(A50='Données projet'!$A$62,'Données projet'!$B$62,AI49+AH50-AQ49)))</f>
        <v>302.39999999999986</v>
      </c>
      <c r="AJ50" s="14">
        <f>AI50*VLOOKUP('Données projet'!$B$10,Paramètres!$A$1:$I$89,3,0)*VLOOKUP('Données projet'!$B$10,Paramètres!$A$1:$I$89,5,0)</f>
        <v>165.11039999999991</v>
      </c>
      <c r="AK50" s="14">
        <f t="shared" si="35"/>
        <v>41.993062739333446</v>
      </c>
      <c r="AL50" s="22">
        <f t="shared" si="4"/>
        <v>360.70519760433893</v>
      </c>
      <c r="AM50" s="62">
        <f t="shared" si="5"/>
        <v>654.03853093767225</v>
      </c>
      <c r="AN50" s="62">
        <f ca="1">AVERAGE(OFFSET($AM$3,0,0,'Données projet'!$E$10+1,1))-AVERAGE(OFFSET($H$3,0,0,'Données projet'!$E$10+1,1))</f>
        <v>250.47640551318432</v>
      </c>
      <c r="AO50" s="62">
        <f t="shared" si="36"/>
        <v>361.92681160120975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6.1036451556178539</v>
      </c>
      <c r="AV50" s="23">
        <f>EXP(-LN(2)/25)*AV49+(1-EXP(-LN(2)/25))/(LN(2)/25)*Calculateur!AQ50*Calculateur!AS50*VLOOKUP('Données projet'!$B$10,Paramètres!$A$1:$I$89,3,0)*0.475*44/12</f>
        <v>22.251847962194777</v>
      </c>
      <c r="AW50" s="23">
        <f>EXP(-LN(2)/2)*AW49+(1-EXP(-LN(2)/2))/(LN(2)/2)*AQ50*AT50*VLOOKUP('Données projet'!$B$10,Paramètres!$A$1:$I$89,3,0)*0.475*44/12</f>
        <v>3.0015512784175466E-5</v>
      </c>
      <c r="AX50" s="23">
        <f t="shared" si="6"/>
        <v>28.355523133325416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17.8</v>
      </c>
      <c r="N51" s="14">
        <f>IF('Données projet'!$A$36&gt;35,N50+M51-V50,IF(A51&lt;'Données projet'!$A$36,$K$205^A51,IF(A51='Données projet'!$A$36,'Données projet'!$B$36,N50+M51-V50)))</f>
        <v>593.39999999999986</v>
      </c>
      <c r="O51" s="14">
        <f>N51*VLOOKUP('Données projet'!$B$9,Paramètres!$A$1:$I$89,3,0)*VLOOKUP('Données projet'!$B$9,Paramètres!$A$1:$I$89,5,0)</f>
        <v>331.71059999999994</v>
      </c>
      <c r="P51" s="14">
        <f t="shared" si="33"/>
        <v>77.784851407016433</v>
      </c>
      <c r="Q51" s="22">
        <f t="shared" si="53"/>
        <v>713.20457786722011</v>
      </c>
      <c r="R51" s="62">
        <f t="shared" si="0"/>
        <v>1006.5379112005535</v>
      </c>
      <c r="S51" s="62">
        <f ca="1">AVERAGE(OFFSET($R$3,0,0,'Données projet'!$E$9+1,1))-AVERAGE(OFFSET($H$3,0,0,'Données projet'!$E$9+1,1))</f>
        <v>443.34220761968419</v>
      </c>
      <c r="T51" s="62">
        <f t="shared" si="34"/>
        <v>546.58234447298014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2.6636162410571012</v>
      </c>
      <c r="AB51" s="23">
        <f>EXP(-LN(2)/2)*AB50+(1-EXP(-LN(2)/2))/(LN(2)/2)*V51*Y51*VLOOKUP('Données projet'!$B$9,Paramètres!$A$1:$I$89,3,0)*0.475*44/12</f>
        <v>6.5202828412600403E-2</v>
      </c>
      <c r="AC51" s="24">
        <f t="shared" si="3"/>
        <v>2.7288190694697017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4.2</v>
      </c>
      <c r="AI51" s="14">
        <f>IF('Données projet'!$A$62&gt;35,AI50+AH51-AQ50,IF(A51&lt;'Données projet'!$A$62,$AF$205^A51,IF(A51='Données projet'!$A$62,'Données projet'!$B$62,AI50+AH51-AQ50)))</f>
        <v>306.59999999999985</v>
      </c>
      <c r="AJ51" s="14">
        <f>AI51*VLOOKUP('Données projet'!$B$10,Paramètres!$A$1:$I$89,3,0)*VLOOKUP('Données projet'!$B$10,Paramètres!$A$1:$I$89,5,0)</f>
        <v>167.40359999999993</v>
      </c>
      <c r="AK51" s="14">
        <f t="shared" si="35"/>
        <v>42.507996501315304</v>
      </c>
      <c r="AL51" s="22">
        <f t="shared" si="4"/>
        <v>365.59603057312398</v>
      </c>
      <c r="AM51" s="62">
        <f t="shared" si="5"/>
        <v>658.9293639064573</v>
      </c>
      <c r="AN51" s="62">
        <f ca="1">AVERAGE(OFFSET($AM$3,0,0,'Données projet'!$E$10+1,1))-AVERAGE(OFFSET($H$3,0,0,'Données projet'!$E$10+1,1))</f>
        <v>250.47640551318432</v>
      </c>
      <c r="AO51" s="62">
        <f t="shared" si="36"/>
        <v>361.92681160120975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5.9839563969721317</v>
      </c>
      <c r="AV51" s="23">
        <f>EXP(-LN(2)/25)*AV50+(1-EXP(-LN(2)/25))/(LN(2)/25)*Calculateur!AQ51*Calculateur!AS51*VLOOKUP('Données projet'!$B$10,Paramètres!$A$1:$I$89,3,0)*0.475*44/12</f>
        <v>21.643370009494735</v>
      </c>
      <c r="AW51" s="23">
        <f>EXP(-LN(2)/2)*AW50+(1-EXP(-LN(2)/2))/(LN(2)/2)*AQ51*AT51*VLOOKUP('Données projet'!$B$10,Paramètres!$A$1:$I$89,3,0)*0.475*44/12</f>
        <v>2.1224172630481984E-5</v>
      </c>
      <c r="AX51" s="23">
        <f t="shared" si="6"/>
        <v>27.627347630639498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17.8</v>
      </c>
      <c r="N52" s="14">
        <f>IF('Données projet'!$A$36&gt;35,N51+M52-V51,IF(A52&lt;'Données projet'!$A$36,$K$205^A52,IF(A52='Données projet'!$A$36,'Données projet'!$B$36,N51+M52-V51)))</f>
        <v>611.19999999999982</v>
      </c>
      <c r="O52" s="14">
        <f>N52*VLOOKUP('Données projet'!$B$9,Paramètres!$A$1:$I$89,3,0)*VLOOKUP('Données projet'!$B$9,Paramètres!$A$1:$I$89,5,0)</f>
        <v>341.66079999999988</v>
      </c>
      <c r="P52" s="14">
        <f t="shared" si="33"/>
        <v>79.842980844864144</v>
      </c>
      <c r="Q52" s="22">
        <f t="shared" si="53"/>
        <v>734.11908497147158</v>
      </c>
      <c r="R52" s="62">
        <f t="shared" si="0"/>
        <v>1027.452418304805</v>
      </c>
      <c r="S52" s="62">
        <f ca="1">AVERAGE(OFFSET($R$3,0,0,'Données projet'!$E$9+1,1))-AVERAGE(OFFSET($H$3,0,0,'Données projet'!$E$9+1,1))</f>
        <v>443.34220761968419</v>
      </c>
      <c r="T52" s="62">
        <f t="shared" si="34"/>
        <v>546.58234447298014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2.5907795148719042</v>
      </c>
      <c r="AB52" s="23">
        <f>EXP(-LN(2)/2)*AB51+(1-EXP(-LN(2)/2))/(LN(2)/2)*V52*Y52*VLOOKUP('Données projet'!$B$9,Paramètres!$A$1:$I$89,3,0)*0.475*44/12</f>
        <v>4.6105362123092637E-2</v>
      </c>
      <c r="AC52" s="24">
        <f t="shared" si="3"/>
        <v>2.6368848769949969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4.2</v>
      </c>
      <c r="AI52" s="14">
        <f>IF('Données projet'!$A$62&gt;35,AI51+AH52-AQ51,IF(A52&lt;'Données projet'!$A$62,$AF$205^A52,IF(A52='Données projet'!$A$62,'Données projet'!$B$62,AI51+AH52-AQ51)))</f>
        <v>310.79999999999984</v>
      </c>
      <c r="AJ52" s="14">
        <f>AI52*VLOOKUP('Données projet'!$B$10,Paramètres!$A$1:$I$89,3,0)*VLOOKUP('Données projet'!$B$10,Paramètres!$A$1:$I$89,5,0)</f>
        <v>169.69679999999991</v>
      </c>
      <c r="AK52" s="14">
        <f t="shared" si="35"/>
        <v>43.022109817960782</v>
      </c>
      <c r="AL52" s="22">
        <f t="shared" si="4"/>
        <v>370.48543459961485</v>
      </c>
      <c r="AM52" s="62">
        <f t="shared" si="5"/>
        <v>663.81876793294816</v>
      </c>
      <c r="AN52" s="62">
        <f ca="1">AVERAGE(OFFSET($AM$3,0,0,'Données projet'!$E$10+1,1))-AVERAGE(OFFSET($H$3,0,0,'Données projet'!$E$10+1,1))</f>
        <v>250.47640551318432</v>
      </c>
      <c r="AO52" s="62">
        <f t="shared" si="36"/>
        <v>361.92681160120975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5.8666146618805168</v>
      </c>
      <c r="AV52" s="23">
        <f>EXP(-LN(2)/25)*AV51+(1-EXP(-LN(2)/25))/(LN(2)/25)*Calculateur!AQ52*Calculateur!AS52*VLOOKUP('Données projet'!$B$10,Paramètres!$A$1:$I$89,3,0)*0.475*44/12</f>
        <v>21.051530918409739</v>
      </c>
      <c r="AW52" s="23">
        <f>EXP(-LN(2)/2)*AW51+(1-EXP(-LN(2)/2))/(LN(2)/2)*AQ52*AT52*VLOOKUP('Données projet'!$B$10,Paramètres!$A$1:$I$89,3,0)*0.475*44/12</f>
        <v>1.5007756392087736E-5</v>
      </c>
      <c r="AX52" s="23">
        <f t="shared" si="6"/>
        <v>26.91816058804665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629</v>
      </c>
      <c r="L53" s="13">
        <f>VLOOKUP(A53,'Données projet'!$A$35:$I$55,9,0)</f>
        <v>17.8</v>
      </c>
      <c r="M53" s="13">
        <f t="array" ref="M53">INDEX(L:L,MIN(IF(ISNUMBER(L53:L249),ROW(L53:L249),"")))</f>
        <v>17.8</v>
      </c>
      <c r="N53" s="14">
        <f>IF('Données projet'!$A$36&gt;35,N52+M53-V52,IF(A53&lt;'Données projet'!$A$36,$K$205^A53,IF(A53='Données projet'!$A$36,'Données projet'!$B$36,N52+M53-V52)))</f>
        <v>628.99999999999977</v>
      </c>
      <c r="O53" s="14">
        <f>N53*VLOOKUP('Données projet'!$B$9,Paramètres!$A$1:$I$89,3,0)*VLOOKUP('Données projet'!$B$9,Paramètres!$A$1:$I$89,5,0)</f>
        <v>351.61099999999988</v>
      </c>
      <c r="P53" s="14">
        <f t="shared" si="33"/>
        <v>81.89414415728541</v>
      </c>
      <c r="Q53" s="22">
        <f t="shared" si="53"/>
        <v>755.02145940727178</v>
      </c>
      <c r="R53" s="62">
        <f t="shared" si="0"/>
        <v>1048.354792740605</v>
      </c>
      <c r="S53" s="62">
        <f ca="1">AVERAGE(OFFSET($R$3,0,0,'Données projet'!$E$9+1,1))-AVERAGE(OFFSET($H$3,0,0,'Données projet'!$E$9+1,1))</f>
        <v>443.34220761968419</v>
      </c>
      <c r="T53" s="62">
        <f t="shared" si="34"/>
        <v>546.58234447298014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48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2.5199345127945585</v>
      </c>
      <c r="AB53" s="23">
        <f>EXP(-LN(2)/2)*AB52+(1-EXP(-LN(2)/2))/(LN(2)/2)*V53*Y53*VLOOKUP('Données projet'!$B$9,Paramètres!$A$1:$I$89,3,0)*0.475*44/12</f>
        <v>3.2601414206300201E-2</v>
      </c>
      <c r="AC53" s="24">
        <f t="shared" si="3"/>
        <v>2.5525359270008585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315</v>
      </c>
      <c r="AG53" s="13">
        <f>VLOOKUP(A53,'Données projet'!$A$61:$I$81,9,0)</f>
        <v>4.2</v>
      </c>
      <c r="AH53" s="13">
        <f t="array" ref="AH53">INDEX(AG:AG,MIN(IF(ISNUMBER(AG53:AG249),ROW(AG53:AG249),"")))</f>
        <v>4.2</v>
      </c>
      <c r="AI53" s="14">
        <f>IF('Données projet'!$A$62&gt;35,AI52+AH53-AQ52,IF(A53&lt;'Données projet'!$A$62,$AF$205^A53,IF(A53='Données projet'!$A$62,'Données projet'!$B$62,AI52+AH53-AQ52)))</f>
        <v>314.99999999999983</v>
      </c>
      <c r="AJ53" s="14">
        <f>AI53*VLOOKUP('Données projet'!$B$10,Paramètres!$A$1:$I$89,3,0)*VLOOKUP('Données projet'!$B$10,Paramètres!$A$1:$I$89,5,0)</f>
        <v>171.98999999999992</v>
      </c>
      <c r="AK53" s="14">
        <f t="shared" si="35"/>
        <v>43.535415057935047</v>
      </c>
      <c r="AL53" s="22">
        <f t="shared" si="4"/>
        <v>375.3734312259034</v>
      </c>
      <c r="AM53" s="62">
        <f t="shared" si="5"/>
        <v>668.70676455923672</v>
      </c>
      <c r="AN53" s="62">
        <f ca="1">AVERAGE(OFFSET($AM$3,0,0,'Données projet'!$E$10+1,1))-AVERAGE(OFFSET($H$3,0,0,'Données projet'!$E$10+1,1))</f>
        <v>250.47640551318432</v>
      </c>
      <c r="AO53" s="62">
        <f t="shared" si="36"/>
        <v>361.92681160120975</v>
      </c>
      <c r="AP53" s="16">
        <f>IF(ISNA(VLOOKUP(A53,'Données projet'!$A$61:$I$81,3,0)),0,VLOOKUP(A53,'Données projet'!$A$61:$I$81,3,0))</f>
        <v>9</v>
      </c>
      <c r="AQ53" s="16">
        <f>IF(ISNA(VLOOKUP(A53,'Données projet'!$A$61:$I$81,4,0)),0,VLOOKUP(A53,'Données projet'!$A$61:$I$81,4,0))</f>
        <v>315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5.7515739266426573</v>
      </c>
      <c r="AV53" s="23">
        <f>EXP(-LN(2)/25)*AV52+(1-EXP(-LN(2)/25))/(LN(2)/25)*Calculateur!AQ53*Calculateur!AS53*VLOOKUP('Données projet'!$B$10,Paramètres!$A$1:$I$89,3,0)*0.475*44/12</f>
        <v>20.475875698393928</v>
      </c>
      <c r="AW53" s="23">
        <f>EXP(-LN(2)/2)*AW52+(1-EXP(-LN(2)/2))/(LN(2)/2)*AQ53*AT53*VLOOKUP('Données projet'!$B$10,Paramètres!$A$1:$I$89,3,0)*0.475*44/12</f>
        <v>1.0612086315240994E-5</v>
      </c>
      <c r="AX53" s="23">
        <f t="shared" si="6"/>
        <v>26.227460237122898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13.8</v>
      </c>
      <c r="N54" s="14">
        <f>IF('Données projet'!$A$36&gt;35,N53+M54-V53,IF(A54&lt;'Données projet'!$A$36,$K$205^A54,IF(A54='Données projet'!$A$36,'Données projet'!$B$36,N53+M54-V53)))</f>
        <v>594.79999999999973</v>
      </c>
      <c r="O54" s="14">
        <f>N54*VLOOKUP('Données projet'!$B$9,Paramètres!$A$1:$I$89,3,0)*VLOOKUP('Données projet'!$B$9,Paramètres!$A$1:$I$89,5,0)</f>
        <v>332.49319999999983</v>
      </c>
      <c r="P54" s="14">
        <f t="shared" si="33"/>
        <v>77.946984490524827</v>
      </c>
      <c r="Q54" s="22">
        <f t="shared" si="53"/>
        <v>714.84998798766367</v>
      </c>
      <c r="R54" s="62">
        <f t="shared" si="0"/>
        <v>1008.183321320997</v>
      </c>
      <c r="S54" s="62">
        <f ca="1">AVERAGE(OFFSET($R$3,0,0,'Données projet'!$E$9+1,1))-AVERAGE(OFFSET($H$3,0,0,'Données projet'!$E$9+1,1))</f>
        <v>443.34220761968419</v>
      </c>
      <c r="T54" s="62">
        <f t="shared" si="34"/>
        <v>546.58234447298014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2.4510267710245945</v>
      </c>
      <c r="AB54" s="23">
        <f>EXP(-LN(2)/2)*AB53+(1-EXP(-LN(2)/2))/(LN(2)/2)*V54*Y54*VLOOKUP('Données projet'!$B$9,Paramètres!$A$1:$I$89,3,0)*0.475*44/12</f>
        <v>2.3052681061546319E-2</v>
      </c>
      <c r="AC54" s="24">
        <f t="shared" si="3"/>
        <v>2.4740794520861407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-1.7053025658242404E-13</v>
      </c>
      <c r="AJ54" s="14">
        <f>AI54*VLOOKUP('Données projet'!$B$10,Paramètres!$A$1:$I$89,3,0)*VLOOKUP('Données projet'!$B$10,Paramètres!$A$1:$I$89,5,0)</f>
        <v>-9.3109520094003535E-14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250.47640551318432</v>
      </c>
      <c r="AO54" s="62">
        <f t="shared" si="36"/>
        <v>361.92681160120975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5.6387890700548926</v>
      </c>
      <c r="AV54" s="23">
        <f>EXP(-LN(2)/25)*AV53+(1-EXP(-LN(2)/25))/(LN(2)/25)*Calculateur!AQ54*Calculateur!AS54*VLOOKUP('Données projet'!$B$10,Paramètres!$A$1:$I$89,3,0)*0.475*44/12</f>
        <v>19.915961800641842</v>
      </c>
      <c r="AW54" s="23">
        <f>EXP(-LN(2)/2)*AW53+(1-EXP(-LN(2)/2))/(LN(2)/2)*AQ54*AT54*VLOOKUP('Données projet'!$B$10,Paramètres!$A$1:$I$89,3,0)*0.475*44/12</f>
        <v>7.5038781960438691E-6</v>
      </c>
      <c r="AX54" s="23">
        <f t="shared" si="6"/>
        <v>25.554758374574931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13.8</v>
      </c>
      <c r="N55" s="14">
        <f>IF('Données projet'!$A$36&gt;35,N54+M55-V54,IF(A55&lt;'Données projet'!$A$36,$K$205^A55,IF(A55='Données projet'!$A$36,'Données projet'!$B$36,N54+M55-V54)))</f>
        <v>608.59999999999968</v>
      </c>
      <c r="O55" s="14">
        <f>N55*VLOOKUP('Données projet'!$B$9,Paramètres!$A$1:$I$89,3,0)*VLOOKUP('Données projet'!$B$9,Paramètres!$A$1:$I$89,5,0)</f>
        <v>340.20739999999984</v>
      </c>
      <c r="P55" s="14">
        <f t="shared" si="33"/>
        <v>79.542795053996059</v>
      </c>
      <c r="Q55" s="22">
        <f t="shared" si="53"/>
        <v>731.06492305237623</v>
      </c>
      <c r="R55" s="62">
        <f t="shared" si="0"/>
        <v>1024.3982563857096</v>
      </c>
      <c r="S55" s="62">
        <f ca="1">AVERAGE(OFFSET($R$3,0,0,'Données projet'!$E$9+1,1))-AVERAGE(OFFSET($H$3,0,0,'Données projet'!$E$9+1,1))</f>
        <v>443.34220761968419</v>
      </c>
      <c r="T55" s="62">
        <f t="shared" si="34"/>
        <v>546.58234447298014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2.384003315077031</v>
      </c>
      <c r="AB55" s="23">
        <f>EXP(-LN(2)/2)*AB54+(1-EXP(-LN(2)/2))/(LN(2)/2)*V55*Y55*VLOOKUP('Données projet'!$B$9,Paramètres!$A$1:$I$89,3,0)*0.475*44/12</f>
        <v>1.6300707103150101E-2</v>
      </c>
      <c r="AC55" s="24">
        <f t="shared" si="3"/>
        <v>2.400304022180181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-1.7053025658242404E-13</v>
      </c>
      <c r="AJ55" s="14">
        <f>AI55*VLOOKUP('Données projet'!$B$10,Paramètres!$A$1:$I$89,3,0)*VLOOKUP('Données projet'!$B$10,Paramètres!$A$1:$I$89,5,0)</f>
        <v>-9.3109520094003535E-14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250.47640551318432</v>
      </c>
      <c r="AO55" s="62">
        <f t="shared" si="36"/>
        <v>361.92681160120975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5.528215855712844</v>
      </c>
      <c r="AV55" s="23">
        <f>EXP(-LN(2)/25)*AV54+(1-EXP(-LN(2)/25))/(LN(2)/25)*Calculateur!AQ55*Calculateur!AS55*VLOOKUP('Données projet'!$B$10,Paramètres!$A$1:$I$89,3,0)*0.475*44/12</f>
        <v>19.371358777868377</v>
      </c>
      <c r="AW55" s="23">
        <f>EXP(-LN(2)/2)*AW54+(1-EXP(-LN(2)/2))/(LN(2)/2)*AQ55*AT55*VLOOKUP('Données projet'!$B$10,Paramètres!$A$1:$I$89,3,0)*0.475*44/12</f>
        <v>5.3060431576204976E-6</v>
      </c>
      <c r="AX55" s="23">
        <f t="shared" si="6"/>
        <v>24.899579939624378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13.8</v>
      </c>
      <c r="N56" s="14">
        <f>IF('Données projet'!$A$36&gt;35,N55+M56-V55,IF(A56&lt;'Données projet'!$A$36,$K$205^A56,IF(A56='Données projet'!$A$36,'Données projet'!$B$36,N55+M56-V55)))</f>
        <v>622.39999999999964</v>
      </c>
      <c r="O56" s="14">
        <f>N56*VLOOKUP('Données projet'!$B$9,Paramètres!$A$1:$I$89,3,0)*VLOOKUP('Données projet'!$B$9,Paramètres!$A$1:$I$89,5,0)</f>
        <v>347.92159999999978</v>
      </c>
      <c r="P56" s="14">
        <f t="shared" si="33"/>
        <v>81.134398856989449</v>
      </c>
      <c r="Q56" s="22">
        <f t="shared" si="53"/>
        <v>747.27253134258956</v>
      </c>
      <c r="R56" s="62">
        <f t="shared" si="0"/>
        <v>1040.6058646759229</v>
      </c>
      <c r="S56" s="62">
        <f ca="1">AVERAGE(OFFSET($R$3,0,0,'Données projet'!$E$9+1,1))-AVERAGE(OFFSET($H$3,0,0,'Données projet'!$E$9+1,1))</f>
        <v>443.34220761968419</v>
      </c>
      <c r="T56" s="62">
        <f t="shared" si="34"/>
        <v>546.58234447298014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2.3188126190569638</v>
      </c>
      <c r="AB56" s="23">
        <f>EXP(-LN(2)/2)*AB55+(1-EXP(-LN(2)/2))/(LN(2)/2)*V56*Y56*VLOOKUP('Données projet'!$B$9,Paramètres!$A$1:$I$89,3,0)*0.475*44/12</f>
        <v>1.1526340530773159E-2</v>
      </c>
      <c r="AC56" s="24">
        <f t="shared" si="3"/>
        <v>2.3303389595877371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-1.7053025658242404E-13</v>
      </c>
      <c r="AJ56" s="14">
        <f>AI56*VLOOKUP('Données projet'!$B$10,Paramètres!$A$1:$I$89,3,0)*VLOOKUP('Données projet'!$B$10,Paramètres!$A$1:$I$89,5,0)</f>
        <v>-9.3109520094003535E-14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250.47640551318432</v>
      </c>
      <c r="AO56" s="62">
        <f t="shared" si="36"/>
        <v>361.92681160120975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5.419810914661042</v>
      </c>
      <c r="AV56" s="23">
        <f>EXP(-LN(2)/25)*AV55+(1-EXP(-LN(2)/25))/(LN(2)/25)*Calculateur!AQ56*Calculateur!AS56*VLOOKUP('Données projet'!$B$10,Paramètres!$A$1:$I$89,3,0)*0.475*44/12</f>
        <v>18.84164795339208</v>
      </c>
      <c r="AW56" s="23">
        <f>EXP(-LN(2)/2)*AW55+(1-EXP(-LN(2)/2))/(LN(2)/2)*AQ56*AT56*VLOOKUP('Données projet'!$B$10,Paramètres!$A$1:$I$89,3,0)*0.475*44/12</f>
        <v>3.7519390980219354E-6</v>
      </c>
      <c r="AX56" s="23">
        <f t="shared" si="6"/>
        <v>24.261462619992219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13.8</v>
      </c>
      <c r="N57" s="14">
        <f>IF('Données projet'!$A$36&gt;35,N56+M57-V56,IF(A57&lt;'Données projet'!$A$36,$K$205^A57,IF(A57='Données projet'!$A$36,'Données projet'!$B$36,N56+M57-V56)))</f>
        <v>636.19999999999959</v>
      </c>
      <c r="O57" s="14">
        <f>N57*VLOOKUP('Données projet'!$B$9,Paramètres!$A$1:$I$89,3,0)*VLOOKUP('Données projet'!$B$9,Paramètres!$A$1:$I$89,5,0)</f>
        <v>355.63579999999973</v>
      </c>
      <c r="P57" s="14">
        <f t="shared" si="33"/>
        <v>82.721899912765039</v>
      </c>
      <c r="Q57" s="22">
        <f t="shared" si="53"/>
        <v>763.47299401473185</v>
      </c>
      <c r="R57" s="62">
        <f t="shared" si="0"/>
        <v>1056.8063273480652</v>
      </c>
      <c r="S57" s="62">
        <f ca="1">AVERAGE(OFFSET($R$3,0,0,'Données projet'!$E$9+1,1))-AVERAGE(OFFSET($H$3,0,0,'Données projet'!$E$9+1,1))</f>
        <v>443.34220761968419</v>
      </c>
      <c r="T57" s="62">
        <f t="shared" si="34"/>
        <v>546.58234447298014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2.2554045660477953</v>
      </c>
      <c r="AB57" s="23">
        <f>EXP(-LN(2)/2)*AB56+(1-EXP(-LN(2)/2))/(LN(2)/2)*V57*Y57*VLOOKUP('Données projet'!$B$9,Paramètres!$A$1:$I$89,3,0)*0.475*44/12</f>
        <v>8.1503535515750503E-3</v>
      </c>
      <c r="AC57" s="24">
        <f t="shared" si="3"/>
        <v>2.2635549195993705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-1.7053025658242404E-13</v>
      </c>
      <c r="AJ57" s="14">
        <f>AI57*VLOOKUP('Données projet'!$B$10,Paramètres!$A$1:$I$89,3,0)*VLOOKUP('Données projet'!$B$10,Paramètres!$A$1:$I$89,5,0)</f>
        <v>-9.3109520094003535E-14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250.47640551318432</v>
      </c>
      <c r="AO57" s="62">
        <f t="shared" si="36"/>
        <v>361.92681160120975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5.3135317283827801</v>
      </c>
      <c r="AV57" s="23">
        <f>EXP(-LN(2)/25)*AV56+(1-EXP(-LN(2)/25))/(LN(2)/25)*Calculateur!AQ57*Calculateur!AS57*VLOOKUP('Données projet'!$B$10,Paramètres!$A$1:$I$89,3,0)*0.475*44/12</f>
        <v>18.326422099267372</v>
      </c>
      <c r="AW57" s="23">
        <f>EXP(-LN(2)/2)*AW56+(1-EXP(-LN(2)/2))/(LN(2)/2)*AQ57*AT57*VLOOKUP('Données projet'!$B$10,Paramètres!$A$1:$I$89,3,0)*0.475*44/12</f>
        <v>2.6530215788102492E-6</v>
      </c>
      <c r="AX57" s="23">
        <f t="shared" si="6"/>
        <v>23.639956480671731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650</v>
      </c>
      <c r="L58" s="13">
        <f>VLOOKUP(A58,'Données projet'!$A$35:$I$55,9,0)</f>
        <v>13.8</v>
      </c>
      <c r="M58" s="13">
        <f t="array" ref="M58">INDEX(L:L,MIN(IF(ISNUMBER(L58:L254),ROW(L58:L254),"")))</f>
        <v>13.8</v>
      </c>
      <c r="N58" s="14">
        <f>IF('Données projet'!$A$36&gt;35,N57+M58-V57,IF(A58&lt;'Données projet'!$A$36,$K$205^A58,IF(A58='Données projet'!$A$36,'Données projet'!$B$36,N57+M58-V57)))</f>
        <v>649.99999999999955</v>
      </c>
      <c r="O58" s="14">
        <f>N58*VLOOKUP('Données projet'!$B$9,Paramètres!$A$1:$I$89,3,0)*VLOOKUP('Données projet'!$B$9,Paramètres!$A$1:$I$89,5,0)</f>
        <v>363.34999999999974</v>
      </c>
      <c r="P58" s="14">
        <f t="shared" si="33"/>
        <v>84.305397464498199</v>
      </c>
      <c r="Q58" s="22">
        <f t="shared" si="53"/>
        <v>779.66648391733395</v>
      </c>
      <c r="R58" s="62">
        <f t="shared" si="0"/>
        <v>1072.9998172506673</v>
      </c>
      <c r="S58" s="62">
        <f ca="1">AVERAGE(OFFSET($R$3,0,0,'Données projet'!$E$9+1,1))-AVERAGE(OFFSET($H$3,0,0,'Données projet'!$E$9+1,1))</f>
        <v>443.34220761968419</v>
      </c>
      <c r="T58" s="62">
        <f t="shared" si="34"/>
        <v>546.58234447298014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35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2.1937304095826469</v>
      </c>
      <c r="AB58" s="23">
        <f>EXP(-LN(2)/2)*AB57+(1-EXP(-LN(2)/2))/(LN(2)/2)*V58*Y58*VLOOKUP('Données projet'!$B$9,Paramètres!$A$1:$I$89,3,0)*0.475*44/12</f>
        <v>5.7631702653865797E-3</v>
      </c>
      <c r="AC58" s="24">
        <f t="shared" si="3"/>
        <v>2.1994935798480335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-1.7053025658242404E-13</v>
      </c>
      <c r="AJ58" s="14">
        <f>AI58*VLOOKUP('Données projet'!$B$10,Paramètres!$A$1:$I$89,3,0)*VLOOKUP('Données projet'!$B$10,Paramètres!$A$1:$I$89,5,0)</f>
        <v>-9.3109520094003535E-14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250.47640551318432</v>
      </c>
      <c r="AO58" s="62">
        <f t="shared" si="36"/>
        <v>361.92681160120975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5.2093366121235327</v>
      </c>
      <c r="AV58" s="23">
        <f>EXP(-LN(2)/25)*AV57+(1-EXP(-LN(2)/25))/(LN(2)/25)*Calculateur!AQ58*Calculateur!AS58*VLOOKUP('Données projet'!$B$10,Paramètres!$A$1:$I$89,3,0)*0.475*44/12</f>
        <v>17.825285123218254</v>
      </c>
      <c r="AW58" s="23">
        <f>EXP(-LN(2)/2)*AW57+(1-EXP(-LN(2)/2))/(LN(2)/2)*AQ58*AT58*VLOOKUP('Données projet'!$B$10,Paramètres!$A$1:$I$89,3,0)*0.475*44/12</f>
        <v>1.8759695490109679E-6</v>
      </c>
      <c r="AX58" s="23">
        <f t="shared" si="6"/>
        <v>23.034623611311336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10.199999999999999</v>
      </c>
      <c r="N59" s="14">
        <f>IF('Données projet'!$A$36&gt;35,N58+M59-V58,IF(A59&lt;'Données projet'!$A$36,$K$205^A59,IF(A59='Données projet'!$A$36,'Données projet'!$B$36,N58+M59-V58)))</f>
        <v>625.19999999999959</v>
      </c>
      <c r="O59" s="14">
        <f>N59*VLOOKUP('Données projet'!$B$9,Paramètres!$A$1:$I$89,3,0)*VLOOKUP('Données projet'!$B$9,Paramètres!$A$1:$I$89,5,0)</f>
        <v>349.48679999999979</v>
      </c>
      <c r="P59" s="14">
        <f t="shared" si="33"/>
        <v>81.45682900536228</v>
      </c>
      <c r="Q59" s="22">
        <f t="shared" si="53"/>
        <v>750.56015385100557</v>
      </c>
      <c r="R59" s="62">
        <f t="shared" si="0"/>
        <v>1043.8934871843389</v>
      </c>
      <c r="S59" s="62">
        <f ca="1">AVERAGE(OFFSET($R$3,0,0,'Données projet'!$E$9+1,1))-AVERAGE(OFFSET($H$3,0,0,'Données projet'!$E$9+1,1))</f>
        <v>443.34220761968419</v>
      </c>
      <c r="T59" s="62">
        <f t="shared" si="34"/>
        <v>546.58234447298014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2.1337427361693408</v>
      </c>
      <c r="AB59" s="23">
        <f>EXP(-LN(2)/2)*AB58+(1-EXP(-LN(2)/2))/(LN(2)/2)*V59*Y59*VLOOKUP('Données projet'!$B$9,Paramètres!$A$1:$I$89,3,0)*0.475*44/12</f>
        <v>4.0751767757875252E-3</v>
      </c>
      <c r="AC59" s="24">
        <f t="shared" si="3"/>
        <v>2.1378179129451285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-1.7053025658242404E-13</v>
      </c>
      <c r="AJ59" s="14">
        <f>AI59*VLOOKUP('Données projet'!$B$10,Paramètres!$A$1:$I$89,3,0)*VLOOKUP('Données projet'!$B$10,Paramètres!$A$1:$I$89,5,0)</f>
        <v>-9.3109520094003535E-14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250.47640551318432</v>
      </c>
      <c r="AO59" s="62">
        <f t="shared" si="36"/>
        <v>361.92681160120975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5.1071846985413831</v>
      </c>
      <c r="AV59" s="23">
        <f>EXP(-LN(2)/25)*AV58+(1-EXP(-LN(2)/25))/(LN(2)/25)*Calculateur!AQ59*Calculateur!AS59*VLOOKUP('Données projet'!$B$10,Paramètres!$A$1:$I$89,3,0)*0.475*44/12</f>
        <v>17.337851764132846</v>
      </c>
      <c r="AW59" s="23">
        <f>EXP(-LN(2)/2)*AW58+(1-EXP(-LN(2)/2))/(LN(2)/2)*AQ59*AT59*VLOOKUP('Données projet'!$B$10,Paramètres!$A$1:$I$89,3,0)*0.475*44/12</f>
        <v>1.3265107894051248E-6</v>
      </c>
      <c r="AX59" s="23">
        <f t="shared" si="6"/>
        <v>22.445037789185022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10.199999999999999</v>
      </c>
      <c r="N60" s="14">
        <f>IF('Données projet'!$A$36&gt;35,N59+M60-V59,IF(A60&lt;'Données projet'!$A$36,$K$205^A60,IF(A60='Données projet'!$A$36,'Données projet'!$B$36,N59+M60-V59)))</f>
        <v>635.39999999999964</v>
      </c>
      <c r="O60" s="14">
        <f>N60*VLOOKUP('Données projet'!$B$9,Paramètres!$A$1:$I$89,3,0)*VLOOKUP('Données projet'!$B$9,Paramètres!$A$1:$I$89,5,0)</f>
        <v>355.18859999999984</v>
      </c>
      <c r="P60" s="14">
        <f t="shared" si="33"/>
        <v>82.629981116726043</v>
      </c>
      <c r="Q60" s="22">
        <f t="shared" si="53"/>
        <v>762.53402877829774</v>
      </c>
      <c r="R60" s="62">
        <f t="shared" si="0"/>
        <v>1055.8673621116311</v>
      </c>
      <c r="S60" s="62">
        <f ca="1">AVERAGE(OFFSET($R$3,0,0,'Données projet'!$E$9+1,1))-AVERAGE(OFFSET($H$3,0,0,'Données projet'!$E$9+1,1))</f>
        <v>443.34220761968419</v>
      </c>
      <c r="T60" s="62">
        <f t="shared" si="34"/>
        <v>546.58234447298014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2.0753954288401366</v>
      </c>
      <c r="AB60" s="23">
        <f>EXP(-LN(2)/2)*AB59+(1-EXP(-LN(2)/2))/(LN(2)/2)*V60*Y60*VLOOKUP('Données projet'!$B$9,Paramètres!$A$1:$I$89,3,0)*0.475*44/12</f>
        <v>2.8815851326932898E-3</v>
      </c>
      <c r="AC60" s="24">
        <f t="shared" si="3"/>
        <v>2.0782770139728299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-1.7053025658242404E-13</v>
      </c>
      <c r="AJ60" s="14">
        <f>AI60*VLOOKUP('Données projet'!$B$10,Paramètres!$A$1:$I$89,3,0)*VLOOKUP('Données projet'!$B$10,Paramètres!$A$1:$I$89,5,0)</f>
        <v>-9.3109520094003535E-14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250.47640551318432</v>
      </c>
      <c r="AO60" s="62">
        <f t="shared" si="36"/>
        <v>361.92681160120975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5.0070359216780647</v>
      </c>
      <c r="AV60" s="23">
        <f>EXP(-LN(2)/25)*AV59+(1-EXP(-LN(2)/25))/(LN(2)/25)*Calculateur!AQ60*Calculateur!AS60*VLOOKUP('Données projet'!$B$10,Paramètres!$A$1:$I$89,3,0)*0.475*44/12</f>
        <v>16.863747295884636</v>
      </c>
      <c r="AW60" s="23">
        <f>EXP(-LN(2)/2)*AW59+(1-EXP(-LN(2)/2))/(LN(2)/2)*AQ60*AT60*VLOOKUP('Données projet'!$B$10,Paramètres!$A$1:$I$89,3,0)*0.475*44/12</f>
        <v>9.3798477450548406E-7</v>
      </c>
      <c r="AX60" s="23">
        <f t="shared" si="6"/>
        <v>21.870784155547476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10.199999999999999</v>
      </c>
      <c r="N61" s="14">
        <f>IF('Données projet'!$A$36&gt;35,N60+M61-V60,IF(A61&lt;'Données projet'!$A$36,$K$205^A61,IF(A61='Données projet'!$A$36,'Données projet'!$B$36,N60+M61-V60)))</f>
        <v>645.59999999999968</v>
      </c>
      <c r="O61" s="14">
        <f>N61*VLOOKUP('Données projet'!$B$9,Paramètres!$A$1:$I$89,3,0)*VLOOKUP('Données projet'!$B$9,Paramètres!$A$1:$I$89,5,0)</f>
        <v>360.89039999999977</v>
      </c>
      <c r="P61" s="14">
        <f t="shared" si="33"/>
        <v>83.800943075865291</v>
      </c>
      <c r="Q61" s="22">
        <f t="shared" si="53"/>
        <v>774.50408919046504</v>
      </c>
      <c r="R61" s="62">
        <f t="shared" si="0"/>
        <v>1067.8374225237983</v>
      </c>
      <c r="S61" s="62">
        <f ca="1">AVERAGE(OFFSET($R$3,0,0,'Données projet'!$E$9+1,1))-AVERAGE(OFFSET($H$3,0,0,'Données projet'!$E$9+1,1))</f>
        <v>443.34220761968419</v>
      </c>
      <c r="T61" s="62">
        <f t="shared" si="34"/>
        <v>546.58234447298014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2.0186436316982008</v>
      </c>
      <c r="AB61" s="23">
        <f>EXP(-LN(2)/2)*AB60+(1-EXP(-LN(2)/2))/(LN(2)/2)*V61*Y61*VLOOKUP('Données projet'!$B$9,Paramètres!$A$1:$I$89,3,0)*0.475*44/12</f>
        <v>2.0375883878937626E-3</v>
      </c>
      <c r="AC61" s="24">
        <f t="shared" si="3"/>
        <v>2.0206812200860944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-1.7053025658242404E-13</v>
      </c>
      <c r="AJ61" s="14">
        <f>AI61*VLOOKUP('Données projet'!$B$10,Paramètres!$A$1:$I$89,3,0)*VLOOKUP('Données projet'!$B$10,Paramètres!$A$1:$I$89,5,0)</f>
        <v>-9.3109520094003535E-14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250.47640551318432</v>
      </c>
      <c r="AO61" s="62">
        <f t="shared" si="36"/>
        <v>361.92681160120975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4.9088510012443134</v>
      </c>
      <c r="AV61" s="23">
        <f>EXP(-LN(2)/25)*AV60+(1-EXP(-LN(2)/25))/(LN(2)/25)*Calculateur!AQ61*Calculateur!AS61*VLOOKUP('Données projet'!$B$10,Paramètres!$A$1:$I$89,3,0)*0.475*44/12</f>
        <v>16.402607239252742</v>
      </c>
      <c r="AW61" s="23">
        <f>EXP(-LN(2)/2)*AW60+(1-EXP(-LN(2)/2))/(LN(2)/2)*AQ61*AT61*VLOOKUP('Données projet'!$B$10,Paramètres!$A$1:$I$89,3,0)*0.475*44/12</f>
        <v>6.6325539470256252E-7</v>
      </c>
      <c r="AX61" s="23">
        <f t="shared" si="6"/>
        <v>21.311458903752449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10.199999999999999</v>
      </c>
      <c r="N62" s="14">
        <f>IF('Données projet'!$A$36&gt;35,N61+M62-V61,IF(A62&lt;'Données projet'!$A$36,$K$205^A62,IF(A62='Données projet'!$A$36,'Données projet'!$B$36,N61+M62-V61)))</f>
        <v>655.79999999999973</v>
      </c>
      <c r="O62" s="14">
        <f>N62*VLOOKUP('Données projet'!$B$9,Paramètres!$A$1:$I$89,3,0)*VLOOKUP('Données projet'!$B$9,Paramètres!$A$1:$I$89,5,0)</f>
        <v>366.59219999999982</v>
      </c>
      <c r="P62" s="14">
        <f t="shared" si="33"/>
        <v>84.969753481055022</v>
      </c>
      <c r="Q62" s="22">
        <f t="shared" si="53"/>
        <v>786.47040231283711</v>
      </c>
      <c r="R62" s="62">
        <f t="shared" si="0"/>
        <v>1079.8037356461705</v>
      </c>
      <c r="S62" s="62">
        <f ca="1">AVERAGE(OFFSET($R$3,0,0,'Données projet'!$E$9+1,1))-AVERAGE(OFFSET($H$3,0,0,'Données projet'!$E$9+1,1))</f>
        <v>443.34220761968419</v>
      </c>
      <c r="T62" s="62">
        <f t="shared" si="34"/>
        <v>546.58234447298014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1.9634437154335587</v>
      </c>
      <c r="AB62" s="23">
        <f>EXP(-LN(2)/2)*AB61+(1-EXP(-LN(2)/2))/(LN(2)/2)*V62*Y62*VLOOKUP('Données projet'!$B$9,Paramètres!$A$1:$I$89,3,0)*0.475*44/12</f>
        <v>1.4407925663466449E-3</v>
      </c>
      <c r="AC62" s="24">
        <f t="shared" si="3"/>
        <v>1.9648845079999053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-1.7053025658242404E-13</v>
      </c>
      <c r="AJ62" s="14">
        <f>AI62*VLOOKUP('Données projet'!$B$10,Paramètres!$A$1:$I$89,3,0)*VLOOKUP('Données projet'!$B$10,Paramètres!$A$1:$I$89,5,0)</f>
        <v>-9.3109520094003535E-14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250.47640551318432</v>
      </c>
      <c r="AO62" s="62">
        <f t="shared" si="36"/>
        <v>361.92681160120975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4.8125914272133796</v>
      </c>
      <c r="AV62" s="23">
        <f>EXP(-LN(2)/25)*AV61+(1-EXP(-LN(2)/25))/(LN(2)/25)*Calculateur!AQ62*Calculateur!AS62*VLOOKUP('Données projet'!$B$10,Paramètres!$A$1:$I$89,3,0)*0.475*44/12</f>
        <v>15.954077081719749</v>
      </c>
      <c r="AW62" s="23">
        <f>EXP(-LN(2)/2)*AW61+(1-EXP(-LN(2)/2))/(LN(2)/2)*AQ62*AT62*VLOOKUP('Données projet'!$B$10,Paramètres!$A$1:$I$89,3,0)*0.475*44/12</f>
        <v>4.6899238725274213E-7</v>
      </c>
      <c r="AX62" s="23">
        <f t="shared" si="6"/>
        <v>20.766668977925516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666</v>
      </c>
      <c r="L63" s="13">
        <f>VLOOKUP(A63,'Données projet'!$A$35:$I$55,9,0)</f>
        <v>10.199999999999999</v>
      </c>
      <c r="M63" s="13">
        <f t="array" ref="M63">INDEX(L:L,MIN(IF(ISNUMBER(L63:L259),ROW(L63:L259),"")))</f>
        <v>10.199999999999999</v>
      </c>
      <c r="N63" s="14">
        <f>IF('Données projet'!$A$36&gt;35,N62+M63-V62,IF(A63&lt;'Données projet'!$A$36,$K$205^A63,IF(A63='Données projet'!$A$36,'Données projet'!$B$36,N62+M63-V62)))</f>
        <v>665.99999999999977</v>
      </c>
      <c r="O63" s="14">
        <f>N63*VLOOKUP('Données projet'!$B$9,Paramètres!$A$1:$I$89,3,0)*VLOOKUP('Données projet'!$B$9,Paramètres!$A$1:$I$89,5,0)</f>
        <v>372.29399999999987</v>
      </c>
      <c r="P63" s="14">
        <f t="shared" si="33"/>
        <v>86.136449661008839</v>
      </c>
      <c r="Q63" s="22">
        <f t="shared" si="53"/>
        <v>798.43303315959008</v>
      </c>
      <c r="R63" s="62">
        <f t="shared" si="0"/>
        <v>1091.7663664929235</v>
      </c>
      <c r="S63" s="62">
        <f ca="1">AVERAGE(OFFSET($R$3,0,0,'Données projet'!$E$9+1,1))-AVERAGE(OFFSET($H$3,0,0,'Données projet'!$E$9+1,1))</f>
        <v>443.34220761968419</v>
      </c>
      <c r="T63" s="62">
        <f t="shared" si="34"/>
        <v>546.58234447298014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666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1.9097532437820106</v>
      </c>
      <c r="AB63" s="23">
        <f>EXP(-LN(2)/2)*AB62+(1-EXP(-LN(2)/2))/(LN(2)/2)*V63*Y63*VLOOKUP('Données projet'!$B$9,Paramètres!$A$1:$I$89,3,0)*0.475*44/12</f>
        <v>1.0187941939468813E-3</v>
      </c>
      <c r="AC63" s="24">
        <f t="shared" si="3"/>
        <v>1.9107720379759574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-1.7053025658242404E-13</v>
      </c>
      <c r="AJ63" s="14">
        <f>AI63*VLOOKUP('Données projet'!$B$10,Paramètres!$A$1:$I$89,3,0)*VLOOKUP('Données projet'!$B$10,Paramètres!$A$1:$I$89,5,0)</f>
        <v>-9.3109520094003535E-14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250.47640551318432</v>
      </c>
      <c r="AO63" s="62">
        <f t="shared" si="36"/>
        <v>361.92681160120975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4.7182194447166497</v>
      </c>
      <c r="AV63" s="23">
        <f>EXP(-LN(2)/25)*AV62+(1-EXP(-LN(2)/25))/(LN(2)/25)*Calculateur!AQ63*Calculateur!AS63*VLOOKUP('Données projet'!$B$10,Paramètres!$A$1:$I$89,3,0)*0.475*44/12</f>
        <v>15.517812004931672</v>
      </c>
      <c r="AW63" s="23">
        <f>EXP(-LN(2)/2)*AW62+(1-EXP(-LN(2)/2))/(LN(2)/2)*AQ63*AT63*VLOOKUP('Données projet'!$B$10,Paramètres!$A$1:$I$89,3,0)*0.475*44/12</f>
        <v>3.3162769735128131E-7</v>
      </c>
      <c r="AX63" s="23">
        <f t="shared" si="6"/>
        <v>20.236031781276019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-2.2737367544323206E-13</v>
      </c>
      <c r="O64" s="14">
        <f>N64*VLOOKUP('Données projet'!$B$9,Paramètres!$A$1:$I$89,3,0)*VLOOKUP('Données projet'!$B$9,Paramètres!$A$1:$I$89,5,0)</f>
        <v>-1.2710188457276673E-13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443.34220761968419</v>
      </c>
      <c r="T64" s="62">
        <f t="shared" si="34"/>
        <v>546.58234447298014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1.8575309409012333</v>
      </c>
      <c r="AB64" s="23">
        <f>EXP(-LN(2)/2)*AB63+(1-EXP(-LN(2)/2))/(LN(2)/2)*V64*Y64*VLOOKUP('Données projet'!$B$9,Paramètres!$A$1:$I$89,3,0)*0.475*44/12</f>
        <v>7.2039628317332246E-4</v>
      </c>
      <c r="AC64" s="24">
        <f t="shared" si="3"/>
        <v>1.8582513371844065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-1.7053025658242404E-13</v>
      </c>
      <c r="AJ64" s="14">
        <f>AI64*VLOOKUP('Données projet'!$B$10,Paramètres!$A$1:$I$89,3,0)*VLOOKUP('Données projet'!$B$10,Paramètres!$A$1:$I$89,5,0)</f>
        <v>-9.3109520094003535E-14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250.47640551318432</v>
      </c>
      <c r="AO64" s="62">
        <f t="shared" si="36"/>
        <v>361.92681160120975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4.6256980392354556</v>
      </c>
      <c r="AV64" s="23">
        <f>EXP(-LN(2)/25)*AV63+(1-EXP(-LN(2)/25))/(LN(2)/25)*Calculateur!AQ64*Calculateur!AS64*VLOOKUP('Données projet'!$B$10,Paramètres!$A$1:$I$89,3,0)*0.475*44/12</f>
        <v>15.093476619610549</v>
      </c>
      <c r="AW64" s="23">
        <f>EXP(-LN(2)/2)*AW63+(1-EXP(-LN(2)/2))/(LN(2)/2)*AQ64*AT64*VLOOKUP('Données projet'!$B$10,Paramètres!$A$1:$I$89,3,0)*0.475*44/12</f>
        <v>2.3449619362637109E-7</v>
      </c>
      <c r="AX64" s="23">
        <f t="shared" si="6"/>
        <v>19.719174893342199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-2.2737367544323206E-13</v>
      </c>
      <c r="O65" s="14">
        <f>N65*VLOOKUP('Données projet'!$B$9,Paramètres!$A$1:$I$89,3,0)*VLOOKUP('Données projet'!$B$9,Paramètres!$A$1:$I$89,5,0)</f>
        <v>-1.2710188457276673E-13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443.34220761968419</v>
      </c>
      <c r="T65" s="62">
        <f t="shared" si="34"/>
        <v>546.58234447298014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1.8067366596389822</v>
      </c>
      <c r="AB65" s="23">
        <f>EXP(-LN(2)/2)*AB64+(1-EXP(-LN(2)/2))/(LN(2)/2)*V65*Y65*VLOOKUP('Données projet'!$B$9,Paramètres!$A$1:$I$89,3,0)*0.475*44/12</f>
        <v>5.0939709697344065E-4</v>
      </c>
      <c r="AC65" s="24">
        <f t="shared" si="3"/>
        <v>1.8072460567359556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-1.7053025658242404E-13</v>
      </c>
      <c r="AJ65" s="14">
        <f>AI65*VLOOKUP('Données projet'!$B$10,Paramètres!$A$1:$I$89,3,0)*VLOOKUP('Données projet'!$B$10,Paramètres!$A$1:$I$89,5,0)</f>
        <v>-9.3109520094003535E-14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250.47640551318432</v>
      </c>
      <c r="AO65" s="62">
        <f t="shared" si="36"/>
        <v>361.92681160120975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4.5349909220832627</v>
      </c>
      <c r="AV65" s="23">
        <f>EXP(-LN(2)/25)*AV64+(1-EXP(-LN(2)/25))/(LN(2)/25)*Calculateur!AQ65*Calculateur!AS65*VLOOKUP('Données projet'!$B$10,Paramètres!$A$1:$I$89,3,0)*0.475*44/12</f>
        <v>14.68074470771586</v>
      </c>
      <c r="AW65" s="23">
        <f>EXP(-LN(2)/2)*AW64+(1-EXP(-LN(2)/2))/(LN(2)/2)*AQ65*AT65*VLOOKUP('Données projet'!$B$10,Paramètres!$A$1:$I$89,3,0)*0.475*44/12</f>
        <v>1.6581384867564068E-7</v>
      </c>
      <c r="AX65" s="23">
        <f t="shared" si="6"/>
        <v>19.215735795612972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-2.2737367544323206E-13</v>
      </c>
      <c r="O66" s="14">
        <f>N66*VLOOKUP('Données projet'!$B$9,Paramètres!$A$1:$I$89,3,0)*VLOOKUP('Données projet'!$B$9,Paramètres!$A$1:$I$89,5,0)</f>
        <v>-1.2710188457276673E-13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443.34220761968419</v>
      </c>
      <c r="T66" s="62">
        <f t="shared" si="34"/>
        <v>546.58234447298014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1.7573313506690027</v>
      </c>
      <c r="AB66" s="23">
        <f>EXP(-LN(2)/2)*AB65+(1-EXP(-LN(2)/2))/(LN(2)/2)*V66*Y66*VLOOKUP('Données projet'!$B$9,Paramètres!$A$1:$I$89,3,0)*0.475*44/12</f>
        <v>3.6019814158666123E-4</v>
      </c>
      <c r="AC66" s="24">
        <f t="shared" si="3"/>
        <v>1.7576915488105893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-1.7053025658242404E-13</v>
      </c>
      <c r="AJ66" s="14">
        <f>AI66*VLOOKUP('Données projet'!$B$10,Paramètres!$A$1:$I$89,3,0)*VLOOKUP('Données projet'!$B$10,Paramètres!$A$1:$I$89,5,0)</f>
        <v>-9.3109520094003535E-14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250.47640551318432</v>
      </c>
      <c r="AO66" s="62">
        <f t="shared" si="36"/>
        <v>361.92681160120975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4.4460625161725451</v>
      </c>
      <c r="AV66" s="23">
        <f>EXP(-LN(2)/25)*AV65+(1-EXP(-LN(2)/25))/(LN(2)/25)*Calculateur!AQ66*Calculateur!AS66*VLOOKUP('Données projet'!$B$10,Paramètres!$A$1:$I$89,3,0)*0.475*44/12</f>
        <v>14.279298971656559</v>
      </c>
      <c r="AW66" s="23">
        <f>EXP(-LN(2)/2)*AW65+(1-EXP(-LN(2)/2))/(LN(2)/2)*AQ66*AT66*VLOOKUP('Données projet'!$B$10,Paramètres!$A$1:$I$89,3,0)*0.475*44/12</f>
        <v>1.1724809681318557E-7</v>
      </c>
      <c r="AX66" s="23">
        <f t="shared" si="6"/>
        <v>18.7253616050772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-2.2737367544323206E-13</v>
      </c>
      <c r="O67" s="14">
        <f>N67*VLOOKUP('Données projet'!$B$9,Paramètres!$A$1:$I$89,3,0)*VLOOKUP('Données projet'!$B$9,Paramètres!$A$1:$I$89,5,0)</f>
        <v>-1.2710188457276673E-13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443.34220761968419</v>
      </c>
      <c r="T67" s="62">
        <f t="shared" si="34"/>
        <v>546.58234447298014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1.7092770324709194</v>
      </c>
      <c r="AB67" s="23">
        <f>EXP(-LN(2)/2)*AB66+(1-EXP(-LN(2)/2))/(LN(2)/2)*V67*Y67*VLOOKUP('Données projet'!$B$9,Paramètres!$A$1:$I$89,3,0)*0.475*44/12</f>
        <v>2.5469854848672032E-4</v>
      </c>
      <c r="AC67" s="24">
        <f t="shared" si="3"/>
        <v>1.7095317310194063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-1.7053025658242404E-13</v>
      </c>
      <c r="AJ67" s="14">
        <f>AI67*VLOOKUP('Données projet'!$B$10,Paramètres!$A$1:$I$89,3,0)*VLOOKUP('Données projet'!$B$10,Paramètres!$A$1:$I$89,5,0)</f>
        <v>-9.3109520094003535E-14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250.47640551318432</v>
      </c>
      <c r="AO67" s="62">
        <f t="shared" si="36"/>
        <v>361.92681160120975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4.3588779420607651</v>
      </c>
      <c r="AV67" s="23">
        <f>EXP(-LN(2)/25)*AV66+(1-EXP(-LN(2)/25))/(LN(2)/25)*Calculateur!AQ67*Calculateur!AS67*VLOOKUP('Données projet'!$B$10,Paramètres!$A$1:$I$89,3,0)*0.475*44/12</f>
        <v>13.888830790360913</v>
      </c>
      <c r="AW67" s="23">
        <f>EXP(-LN(2)/2)*AW66+(1-EXP(-LN(2)/2))/(LN(2)/2)*AQ67*AT67*VLOOKUP('Données projet'!$B$10,Paramètres!$A$1:$I$89,3,0)*0.475*44/12</f>
        <v>8.2906924337820355E-8</v>
      </c>
      <c r="AX67" s="23">
        <f t="shared" si="6"/>
        <v>18.247708815328604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-2.2737367544323206E-13</v>
      </c>
      <c r="O68" s="14">
        <f>N68*VLOOKUP('Données projet'!$B$9,Paramètres!$A$1:$I$89,3,0)*VLOOKUP('Données projet'!$B$9,Paramètres!$A$1:$I$89,5,0)</f>
        <v>-1.2710188457276673E-13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443.34220761968419</v>
      </c>
      <c r="T68" s="62">
        <f t="shared" si="34"/>
        <v>546.58234447298014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1.6625367621310296</v>
      </c>
      <c r="AB68" s="23">
        <f>EXP(-LN(2)/2)*AB67+(1-EXP(-LN(2)/2))/(LN(2)/2)*V68*Y68*VLOOKUP('Données projet'!$B$9,Paramètres!$A$1:$I$89,3,0)*0.475*44/12</f>
        <v>1.8009907079333061E-4</v>
      </c>
      <c r="AC68" s="24">
        <f t="shared" ref="AC68:AC131" si="57">SUM(Z68:AB68)</f>
        <v>1.662716861201823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-1.7053025658242404E-13</v>
      </c>
      <c r="AJ68" s="14">
        <f>AI68*VLOOKUP('Données projet'!$B$10,Paramètres!$A$1:$I$89,3,0)*VLOOKUP('Données projet'!$B$10,Paramètres!$A$1:$I$89,5,0)</f>
        <v>-9.3109520094003535E-14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250.47640551318432</v>
      </c>
      <c r="AO68" s="62">
        <f t="shared" si="36"/>
        <v>361.92681160120975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4.2734030042699782</v>
      </c>
      <c r="AV68" s="23">
        <f>EXP(-LN(2)/25)*AV67+(1-EXP(-LN(2)/25))/(LN(2)/25)*Calculateur!AQ68*Calculateur!AS68*VLOOKUP('Données projet'!$B$10,Paramètres!$A$1:$I$89,3,0)*0.475*44/12</f>
        <v>13.509039982016626</v>
      </c>
      <c r="AW68" s="23">
        <f>EXP(-LN(2)/2)*AW67+(1-EXP(-LN(2)/2))/(LN(2)/2)*AQ68*AT68*VLOOKUP('Données projet'!$B$10,Paramètres!$A$1:$I$89,3,0)*0.475*44/12</f>
        <v>5.8624048406592793E-8</v>
      </c>
      <c r="AX68" s="23">
        <f t="shared" ref="AX68:AX131" si="60">SUM(AU68:AW68)</f>
        <v>17.782443044910654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-2.2737367544323206E-13</v>
      </c>
      <c r="O69" s="14">
        <f>N69*VLOOKUP('Données projet'!$B$9,Paramètres!$A$1:$I$89,3,0)*VLOOKUP('Données projet'!$B$9,Paramètres!$A$1:$I$89,5,0)</f>
        <v>-1.2710188457276673E-13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443.34220761968419</v>
      </c>
      <c r="T69" s="62">
        <f t="shared" ref="T69:T132" si="88">$T$3</f>
        <v>546.58234447298014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1.617074606941548</v>
      </c>
      <c r="AB69" s="23">
        <f>EXP(-LN(2)/2)*AB68+(1-EXP(-LN(2)/2))/(LN(2)/2)*V69*Y69*VLOOKUP('Données projet'!$B$9,Paramètres!$A$1:$I$89,3,0)*0.475*44/12</f>
        <v>1.2734927424336016E-4</v>
      </c>
      <c r="AC69" s="24">
        <f t="shared" si="57"/>
        <v>1.6172019562157913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-1.7053025658242404E-13</v>
      </c>
      <c r="AJ69" s="14">
        <f>AI69*VLOOKUP('Données projet'!$B$10,Paramètres!$A$1:$I$89,3,0)*VLOOKUP('Données projet'!$B$10,Paramètres!$A$1:$I$89,5,0)</f>
        <v>-9.3109520094003535E-14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250.47640551318432</v>
      </c>
      <c r="AO69" s="62">
        <f t="shared" ref="AO69:AO132" si="90">$AO$3</f>
        <v>361.92681160120975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4.1896041778747044</v>
      </c>
      <c r="AV69" s="23">
        <f>EXP(-LN(2)/25)*AV68+(1-EXP(-LN(2)/25))/(LN(2)/25)*Calculateur!AQ69*Calculateur!AS69*VLOOKUP('Données projet'!$B$10,Paramètres!$A$1:$I$89,3,0)*0.475*44/12</f>
        <v>13.139634573298844</v>
      </c>
      <c r="AW69" s="23">
        <f>EXP(-LN(2)/2)*AW68+(1-EXP(-LN(2)/2))/(LN(2)/2)*AQ69*AT69*VLOOKUP('Données projet'!$B$10,Paramètres!$A$1:$I$89,3,0)*0.475*44/12</f>
        <v>4.1453462168910184E-8</v>
      </c>
      <c r="AX69" s="23">
        <f t="shared" si="60"/>
        <v>17.32923879262701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-2.2737367544323206E-13</v>
      </c>
      <c r="O70" s="14">
        <f>N70*VLOOKUP('Données projet'!$B$9,Paramètres!$A$1:$I$89,3,0)*VLOOKUP('Données projet'!$B$9,Paramètres!$A$1:$I$89,5,0)</f>
        <v>-1.2710188457276673E-13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443.34220761968419</v>
      </c>
      <c r="T70" s="62">
        <f t="shared" si="88"/>
        <v>546.58234447298014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1.5728556167764738</v>
      </c>
      <c r="AB70" s="23">
        <f>EXP(-LN(2)/2)*AB69+(1-EXP(-LN(2)/2))/(LN(2)/2)*V70*Y70*VLOOKUP('Données projet'!$B$9,Paramètres!$A$1:$I$89,3,0)*0.475*44/12</f>
        <v>9.0049535396665307E-5</v>
      </c>
      <c r="AC70" s="24">
        <f t="shared" si="57"/>
        <v>1.5729456663118704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-1.7053025658242404E-13</v>
      </c>
      <c r="AJ70" s="14">
        <f>AI70*VLOOKUP('Données projet'!$B$10,Paramètres!$A$1:$I$89,3,0)*VLOOKUP('Données projet'!$B$10,Paramètres!$A$1:$I$89,5,0)</f>
        <v>-9.3109520094003535E-14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250.47640551318432</v>
      </c>
      <c r="AO70" s="62">
        <f t="shared" si="90"/>
        <v>361.92681160120975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4.1074485953528042</v>
      </c>
      <c r="AV70" s="23">
        <f>EXP(-LN(2)/25)*AV69+(1-EXP(-LN(2)/25))/(LN(2)/25)*Calculateur!AQ70*Calculateur!AS70*VLOOKUP('Données projet'!$B$10,Paramètres!$A$1:$I$89,3,0)*0.475*44/12</f>
        <v>12.780330574908636</v>
      </c>
      <c r="AW70" s="23">
        <f>EXP(-LN(2)/2)*AW69+(1-EXP(-LN(2)/2))/(LN(2)/2)*AQ70*AT70*VLOOKUP('Données projet'!$B$10,Paramètres!$A$1:$I$89,3,0)*0.475*44/12</f>
        <v>2.93120242032964E-8</v>
      </c>
      <c r="AX70" s="23">
        <f t="shared" si="60"/>
        <v>16.887779199573462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-2.2737367544323206E-13</v>
      </c>
      <c r="O71" s="14">
        <f>N71*VLOOKUP('Données projet'!$B$9,Paramètres!$A$1:$I$89,3,0)*VLOOKUP('Données projet'!$B$9,Paramètres!$A$1:$I$89,5,0)</f>
        <v>-1.2710188457276673E-13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443.34220761968419</v>
      </c>
      <c r="T71" s="62">
        <f t="shared" si="88"/>
        <v>546.58234447298014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1.529845797222839</v>
      </c>
      <c r="AB71" s="23">
        <f>EXP(-LN(2)/2)*AB70+(1-EXP(-LN(2)/2))/(LN(2)/2)*V71*Y71*VLOOKUP('Données projet'!$B$9,Paramètres!$A$1:$I$89,3,0)*0.475*44/12</f>
        <v>6.3674637121680081E-5</v>
      </c>
      <c r="AC71" s="24">
        <f t="shared" si="57"/>
        <v>1.5299094718599606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-1.7053025658242404E-13</v>
      </c>
      <c r="AJ71" s="14">
        <f>AI71*VLOOKUP('Données projet'!$B$10,Paramètres!$A$1:$I$89,3,0)*VLOOKUP('Données projet'!$B$10,Paramètres!$A$1:$I$89,5,0)</f>
        <v>-9.3109520094003535E-14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250.47640551318432</v>
      </c>
      <c r="AO71" s="62">
        <f t="shared" si="90"/>
        <v>361.92681160120975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4.0269040336942012</v>
      </c>
      <c r="AV71" s="23">
        <f>EXP(-LN(2)/25)*AV70+(1-EXP(-LN(2)/25))/(LN(2)/25)*Calculateur!AQ71*Calculateur!AS71*VLOOKUP('Données projet'!$B$10,Paramètres!$A$1:$I$89,3,0)*0.475*44/12</f>
        <v>12.430851763249384</v>
      </c>
      <c r="AW71" s="23">
        <f>EXP(-LN(2)/2)*AW70+(1-EXP(-LN(2)/2))/(LN(2)/2)*AQ71*AT71*VLOOKUP('Données projet'!$B$10,Paramètres!$A$1:$I$89,3,0)*0.475*44/12</f>
        <v>2.0726731084455095E-8</v>
      </c>
      <c r="AX71" s="23">
        <f t="shared" si="60"/>
        <v>16.457755817670318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-2.2737367544323206E-13</v>
      </c>
      <c r="O72" s="14">
        <f>N72*VLOOKUP('Données projet'!$B$9,Paramètres!$A$1:$I$89,3,0)*VLOOKUP('Données projet'!$B$9,Paramètres!$A$1:$I$89,5,0)</f>
        <v>-1.2710188457276673E-13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443.34220761968419</v>
      </c>
      <c r="T72" s="62">
        <f t="shared" si="88"/>
        <v>546.58234447298014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1.4880120834466866</v>
      </c>
      <c r="AB72" s="23">
        <f>EXP(-LN(2)/2)*AB71+(1-EXP(-LN(2)/2))/(LN(2)/2)*V72*Y72*VLOOKUP('Données projet'!$B$9,Paramètres!$A$1:$I$89,3,0)*0.475*44/12</f>
        <v>4.5024767698332654E-5</v>
      </c>
      <c r="AC72" s="24">
        <f t="shared" si="57"/>
        <v>1.488057108214385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-1.7053025658242404E-13</v>
      </c>
      <c r="AJ72" s="14">
        <f>AI72*VLOOKUP('Données projet'!$B$10,Paramètres!$A$1:$I$89,3,0)*VLOOKUP('Données projet'!$B$10,Paramètres!$A$1:$I$89,5,0)</f>
        <v>-9.3109520094003535E-14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250.47640551318432</v>
      </c>
      <c r="AO72" s="62">
        <f t="shared" si="90"/>
        <v>361.92681160120975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3.947938901762392</v>
      </c>
      <c r="AV72" s="23">
        <f>EXP(-LN(2)/25)*AV71+(1-EXP(-LN(2)/25))/(LN(2)/25)*Calculateur!AQ72*Calculateur!AS72*VLOOKUP('Données projet'!$B$10,Paramètres!$A$1:$I$89,3,0)*0.475*44/12</f>
        <v>12.090929468073247</v>
      </c>
      <c r="AW72" s="23">
        <f>EXP(-LN(2)/2)*AW71+(1-EXP(-LN(2)/2))/(LN(2)/2)*AQ72*AT72*VLOOKUP('Données projet'!$B$10,Paramètres!$A$1:$I$89,3,0)*0.475*44/12</f>
        <v>1.4656012101648203E-8</v>
      </c>
      <c r="AX72" s="23">
        <f t="shared" si="60"/>
        <v>16.038868384491654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-2.2737367544323206E-13</v>
      </c>
      <c r="O73" s="14">
        <f>N73*VLOOKUP('Données projet'!$B$9,Paramètres!$A$1:$I$89,3,0)*VLOOKUP('Données projet'!$B$9,Paramètres!$A$1:$I$89,5,0)</f>
        <v>-1.2710188457276673E-13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443.34220761968419</v>
      </c>
      <c r="T73" s="62">
        <f t="shared" si="88"/>
        <v>546.58234447298014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1.4473223147736825</v>
      </c>
      <c r="AB73" s="23">
        <f>EXP(-LN(2)/2)*AB72+(1-EXP(-LN(2)/2))/(LN(2)/2)*V73*Y73*VLOOKUP('Données projet'!$B$9,Paramètres!$A$1:$I$89,3,0)*0.475*44/12</f>
        <v>3.183731856084004E-5</v>
      </c>
      <c r="AC73" s="24">
        <f t="shared" si="57"/>
        <v>1.4473541520922433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-1.7053025658242404E-13</v>
      </c>
      <c r="AJ73" s="14">
        <f>AI73*VLOOKUP('Données projet'!$B$10,Paramètres!$A$1:$I$89,3,0)*VLOOKUP('Données projet'!$B$10,Paramètres!$A$1:$I$89,5,0)</f>
        <v>-9.3109520094003535E-14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250.47640551318432</v>
      </c>
      <c r="AO73" s="62">
        <f t="shared" si="90"/>
        <v>361.92681160120975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3.8705222279037907</v>
      </c>
      <c r="AV73" s="23">
        <f>EXP(-LN(2)/25)*AV72+(1-EXP(-LN(2)/25))/(LN(2)/25)*Calculateur!AQ73*Calculateur!AS73*VLOOKUP('Données projet'!$B$10,Paramètres!$A$1:$I$89,3,0)*0.475*44/12</f>
        <v>11.760302365934438</v>
      </c>
      <c r="AW73" s="23">
        <f>EXP(-LN(2)/2)*AW72+(1-EXP(-LN(2)/2))/(LN(2)/2)*AQ73*AT73*VLOOKUP('Données projet'!$B$10,Paramètres!$A$1:$I$89,3,0)*0.475*44/12</f>
        <v>1.0363365542227549E-8</v>
      </c>
      <c r="AX73" s="23">
        <f t="shared" si="60"/>
        <v>15.630824604201594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-2.2737367544323206E-13</v>
      </c>
      <c r="O74" s="14">
        <f>N74*VLOOKUP('Données projet'!$B$9,Paramètres!$A$1:$I$89,3,0)*VLOOKUP('Données projet'!$B$9,Paramètres!$A$1:$I$89,5,0)</f>
        <v>-1.2710188457276673E-13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443.34220761968419</v>
      </c>
      <c r="T74" s="62">
        <f t="shared" si="88"/>
        <v>546.58234447298014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1.4077452099648236</v>
      </c>
      <c r="AB74" s="23">
        <f>EXP(-LN(2)/2)*AB73+(1-EXP(-LN(2)/2))/(LN(2)/2)*V74*Y74*VLOOKUP('Données projet'!$B$9,Paramètres!$A$1:$I$89,3,0)*0.475*44/12</f>
        <v>2.2512383849166327E-5</v>
      </c>
      <c r="AC74" s="24">
        <f t="shared" si="57"/>
        <v>1.4077677223486726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-1.7053025658242404E-13</v>
      </c>
      <c r="AJ74" s="14">
        <f>AI74*VLOOKUP('Données projet'!$B$10,Paramètres!$A$1:$I$89,3,0)*VLOOKUP('Données projet'!$B$10,Paramètres!$A$1:$I$89,5,0)</f>
        <v>-9.3109520094003535E-14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250.47640551318432</v>
      </c>
      <c r="AO74" s="62">
        <f t="shared" si="90"/>
        <v>361.92681160120975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3.7946236478000483</v>
      </c>
      <c r="AV74" s="23">
        <f>EXP(-LN(2)/25)*AV73+(1-EXP(-LN(2)/25))/(LN(2)/25)*Calculateur!AQ74*Calculateur!AS74*VLOOKUP('Données projet'!$B$10,Paramètres!$A$1:$I$89,3,0)*0.475*44/12</f>
        <v>11.438716279290537</v>
      </c>
      <c r="AW74" s="23">
        <f>EXP(-LN(2)/2)*AW73+(1-EXP(-LN(2)/2))/(LN(2)/2)*AQ74*AT74*VLOOKUP('Données projet'!$B$10,Paramètres!$A$1:$I$89,3,0)*0.475*44/12</f>
        <v>7.3280060508241025E-9</v>
      </c>
      <c r="AX74" s="23">
        <f t="shared" si="60"/>
        <v>15.233339934418591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-2.2737367544323206E-13</v>
      </c>
      <c r="O75" s="14">
        <f>N75*VLOOKUP('Données projet'!$B$9,Paramètres!$A$1:$I$89,3,0)*VLOOKUP('Données projet'!$B$9,Paramètres!$A$1:$I$89,5,0)</f>
        <v>-1.2710188457276673E-13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443.34220761968419</v>
      </c>
      <c r="T75" s="62">
        <f t="shared" si="88"/>
        <v>546.58234447298014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1.3692503431682324</v>
      </c>
      <c r="AB75" s="23">
        <f>EXP(-LN(2)/2)*AB74+(1-EXP(-LN(2)/2))/(LN(2)/2)*V75*Y75*VLOOKUP('Données projet'!$B$9,Paramètres!$A$1:$I$89,3,0)*0.475*44/12</f>
        <v>1.591865928042002E-5</v>
      </c>
      <c r="AC75" s="24">
        <f t="shared" si="57"/>
        <v>1.3692662618275129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-1.7053025658242404E-13</v>
      </c>
      <c r="AJ75" s="14">
        <f>AI75*VLOOKUP('Données projet'!$B$10,Paramètres!$A$1:$I$89,3,0)*VLOOKUP('Données projet'!$B$10,Paramètres!$A$1:$I$89,5,0)</f>
        <v>-9.3109520094003535E-14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250.47640551318432</v>
      </c>
      <c r="AO75" s="62">
        <f t="shared" si="90"/>
        <v>361.92681160120975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3.7202133925585774</v>
      </c>
      <c r="AV75" s="23">
        <f>EXP(-LN(2)/25)*AV74+(1-EXP(-LN(2)/25))/(LN(2)/25)*Calculateur!AQ75*Calculateur!AS75*VLOOKUP('Données projet'!$B$10,Paramètres!$A$1:$I$89,3,0)*0.475*44/12</f>
        <v>11.125923981097392</v>
      </c>
      <c r="AW75" s="23">
        <f>EXP(-LN(2)/2)*AW74+(1-EXP(-LN(2)/2))/(LN(2)/2)*AQ75*AT75*VLOOKUP('Données projet'!$B$10,Paramètres!$A$1:$I$89,3,0)*0.475*44/12</f>
        <v>5.1816827711137755E-9</v>
      </c>
      <c r="AX75" s="23">
        <f t="shared" si="60"/>
        <v>14.846137378837652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-2.2737367544323206E-13</v>
      </c>
      <c r="O76" s="14">
        <f>N76*VLOOKUP('Données projet'!$B$9,Paramètres!$A$1:$I$89,3,0)*VLOOKUP('Données projet'!$B$9,Paramètres!$A$1:$I$89,5,0)</f>
        <v>-1.2710188457276673E-13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443.34220761968419</v>
      </c>
      <c r="T76" s="62">
        <f t="shared" si="88"/>
        <v>546.58234447298014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1.331808120528551</v>
      </c>
      <c r="AB76" s="23">
        <f>EXP(-LN(2)/2)*AB75+(1-EXP(-LN(2)/2))/(LN(2)/2)*V76*Y76*VLOOKUP('Données projet'!$B$9,Paramètres!$A$1:$I$89,3,0)*0.475*44/12</f>
        <v>1.1256191924583163E-5</v>
      </c>
      <c r="AC76" s="24">
        <f t="shared" si="57"/>
        <v>1.3318193767204756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-1.7053025658242404E-13</v>
      </c>
      <c r="AJ76" s="14">
        <f>AI76*VLOOKUP('Données projet'!$B$10,Paramètres!$A$1:$I$89,3,0)*VLOOKUP('Données projet'!$B$10,Paramètres!$A$1:$I$89,5,0)</f>
        <v>-9.3109520094003535E-14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250.47640551318432</v>
      </c>
      <c r="AO76" s="62">
        <f t="shared" si="90"/>
        <v>361.92681160120975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3.6472622770366177</v>
      </c>
      <c r="AV76" s="23">
        <f>EXP(-LN(2)/25)*AV75+(1-EXP(-LN(2)/25))/(LN(2)/25)*Calculateur!AQ76*Calculateur!AS76*VLOOKUP('Données projet'!$B$10,Paramètres!$A$1:$I$89,3,0)*0.475*44/12</f>
        <v>10.821685004747371</v>
      </c>
      <c r="AW76" s="23">
        <f>EXP(-LN(2)/2)*AW75+(1-EXP(-LN(2)/2))/(LN(2)/2)*AQ76*AT76*VLOOKUP('Données projet'!$B$10,Paramètres!$A$1:$I$89,3,0)*0.475*44/12</f>
        <v>3.6640030254120521E-9</v>
      </c>
      <c r="AX76" s="23">
        <f t="shared" si="60"/>
        <v>14.468947285447991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-2.2737367544323206E-13</v>
      </c>
      <c r="O77" s="14">
        <f>N77*VLOOKUP('Données projet'!$B$9,Paramètres!$A$1:$I$89,3,0)*VLOOKUP('Données projet'!$B$9,Paramètres!$A$1:$I$89,5,0)</f>
        <v>-1.2710188457276673E-13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443.34220761968419</v>
      </c>
      <c r="T77" s="62">
        <f t="shared" si="88"/>
        <v>546.58234447298014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1.2953897574359525</v>
      </c>
      <c r="AB77" s="23">
        <f>EXP(-LN(2)/2)*AB76+(1-EXP(-LN(2)/2))/(LN(2)/2)*V77*Y77*VLOOKUP('Données projet'!$B$9,Paramètres!$A$1:$I$89,3,0)*0.475*44/12</f>
        <v>7.9593296402100101E-6</v>
      </c>
      <c r="AC77" s="24">
        <f t="shared" si="57"/>
        <v>1.2953977167655928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-1.7053025658242404E-13</v>
      </c>
      <c r="AJ77" s="14">
        <f>AI77*VLOOKUP('Données projet'!$B$10,Paramètres!$A$1:$I$89,3,0)*VLOOKUP('Données projet'!$B$10,Paramètres!$A$1:$I$89,5,0)</f>
        <v>-9.3109520094003535E-14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250.47640551318432</v>
      </c>
      <c r="AO77" s="62">
        <f t="shared" si="90"/>
        <v>361.92681160120975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3.5757416883942565</v>
      </c>
      <c r="AV77" s="23">
        <f>EXP(-LN(2)/25)*AV76+(1-EXP(-LN(2)/25))/(LN(2)/25)*Calculateur!AQ77*Calculateur!AS77*VLOOKUP('Données projet'!$B$10,Paramètres!$A$1:$I$89,3,0)*0.475*44/12</f>
        <v>10.525765459204873</v>
      </c>
      <c r="AW77" s="23">
        <f>EXP(-LN(2)/2)*AW76+(1-EXP(-LN(2)/2))/(LN(2)/2)*AQ77*AT77*VLOOKUP('Données projet'!$B$10,Paramètres!$A$1:$I$89,3,0)*0.475*44/12</f>
        <v>2.5908413855568882E-9</v>
      </c>
      <c r="AX77" s="23">
        <f t="shared" si="60"/>
        <v>14.10150715018997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-2.2737367544323206E-13</v>
      </c>
      <c r="O78" s="14">
        <f>N78*VLOOKUP('Données projet'!$B$9,Paramètres!$A$1:$I$89,3,0)*VLOOKUP('Données projet'!$B$9,Paramètres!$A$1:$I$89,5,0)</f>
        <v>-1.2710188457276673E-13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443.34220761968419</v>
      </c>
      <c r="T78" s="62">
        <f t="shared" si="88"/>
        <v>546.58234447298014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1.2599672563972797</v>
      </c>
      <c r="AB78" s="23">
        <f>EXP(-LN(2)/2)*AB77+(1-EXP(-LN(2)/2))/(LN(2)/2)*V78*Y78*VLOOKUP('Données projet'!$B$9,Paramètres!$A$1:$I$89,3,0)*0.475*44/12</f>
        <v>5.6280959622915817E-6</v>
      </c>
      <c r="AC78" s="24">
        <f t="shared" si="57"/>
        <v>1.2599728844932421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-1.7053025658242404E-13</v>
      </c>
      <c r="AJ78" s="14">
        <f>AI78*VLOOKUP('Données projet'!$B$10,Paramètres!$A$1:$I$89,3,0)*VLOOKUP('Données projet'!$B$10,Paramètres!$A$1:$I$89,5,0)</f>
        <v>-9.3109520094003535E-14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250.47640551318432</v>
      </c>
      <c r="AO78" s="62">
        <f t="shared" si="90"/>
        <v>361.92681160120975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3.5056235748719207</v>
      </c>
      <c r="AV78" s="23">
        <f>EXP(-LN(2)/25)*AV77+(1-EXP(-LN(2)/25))/(LN(2)/25)*Calculateur!AQ78*Calculateur!AS78*VLOOKUP('Données projet'!$B$10,Paramètres!$A$1:$I$89,3,0)*0.475*44/12</f>
        <v>10.237937849196967</v>
      </c>
      <c r="AW78" s="23">
        <f>EXP(-LN(2)/2)*AW77+(1-EXP(-LN(2)/2))/(LN(2)/2)*AQ78*AT78*VLOOKUP('Données projet'!$B$10,Paramètres!$A$1:$I$89,3,0)*0.475*44/12</f>
        <v>1.8320015127060262E-9</v>
      </c>
      <c r="AX78" s="23">
        <f t="shared" si="60"/>
        <v>13.743561425900889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-2.2737367544323206E-13</v>
      </c>
      <c r="O79" s="14">
        <f>N79*VLOOKUP('Données projet'!$B$9,Paramètres!$A$1:$I$89,3,0)*VLOOKUP('Données projet'!$B$9,Paramètres!$A$1:$I$89,5,0)</f>
        <v>-1.2710188457276673E-13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443.34220761968419</v>
      </c>
      <c r="T79" s="62">
        <f t="shared" si="88"/>
        <v>546.58234447298014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1.2255133855122977</v>
      </c>
      <c r="AB79" s="23">
        <f>EXP(-LN(2)/2)*AB78+(1-EXP(-LN(2)/2))/(LN(2)/2)*V79*Y79*VLOOKUP('Données projet'!$B$9,Paramètres!$A$1:$I$89,3,0)*0.475*44/12</f>
        <v>3.979664820105005E-6</v>
      </c>
      <c r="AC79" s="24">
        <f t="shared" si="57"/>
        <v>1.2255173651771178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-1.7053025658242404E-13</v>
      </c>
      <c r="AJ79" s="14">
        <f>AI79*VLOOKUP('Données projet'!$B$10,Paramètres!$A$1:$I$89,3,0)*VLOOKUP('Données projet'!$B$10,Paramètres!$A$1:$I$89,5,0)</f>
        <v>-9.3109520094003535E-14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250.47640551318432</v>
      </c>
      <c r="AO79" s="62">
        <f t="shared" si="90"/>
        <v>361.92681160120975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3.4368804347879314</v>
      </c>
      <c r="AV79" s="23">
        <f>EXP(-LN(2)/25)*AV78+(1-EXP(-LN(2)/25))/(LN(2)/25)*Calculateur!AQ79*Calculateur!AS79*VLOOKUP('Données projet'!$B$10,Paramètres!$A$1:$I$89,3,0)*0.475*44/12</f>
        <v>9.9579809003209245</v>
      </c>
      <c r="AW79" s="23">
        <f>EXP(-LN(2)/2)*AW78+(1-EXP(-LN(2)/2))/(LN(2)/2)*AQ79*AT79*VLOOKUP('Données projet'!$B$10,Paramètres!$A$1:$I$89,3,0)*0.475*44/12</f>
        <v>1.2954206927784443E-9</v>
      </c>
      <c r="AX79" s="23">
        <f t="shared" si="60"/>
        <v>13.394861336404277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-2.2737367544323206E-13</v>
      </c>
      <c r="O80" s="14">
        <f>N80*VLOOKUP('Données projet'!$B$9,Paramètres!$A$1:$I$89,3,0)*VLOOKUP('Données projet'!$B$9,Paramètres!$A$1:$I$89,5,0)</f>
        <v>-1.2710188457276673E-13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443.34220761968419</v>
      </c>
      <c r="T80" s="62">
        <f t="shared" si="88"/>
        <v>546.58234447298014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1.1920016575385159</v>
      </c>
      <c r="AB80" s="23">
        <f>EXP(-LN(2)/2)*AB79+(1-EXP(-LN(2)/2))/(LN(2)/2)*V80*Y80*VLOOKUP('Données projet'!$B$9,Paramètres!$A$1:$I$89,3,0)*0.475*44/12</f>
        <v>2.8140479811457908E-6</v>
      </c>
      <c r="AC80" s="24">
        <f t="shared" si="57"/>
        <v>1.192004471586497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-1.7053025658242404E-13</v>
      </c>
      <c r="AJ80" s="14">
        <f>AI80*VLOOKUP('Données projet'!$B$10,Paramètres!$A$1:$I$89,3,0)*VLOOKUP('Données projet'!$B$10,Paramètres!$A$1:$I$89,5,0)</f>
        <v>-9.3109520094003535E-14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250.47640551318432</v>
      </c>
      <c r="AO80" s="62">
        <f t="shared" si="90"/>
        <v>361.92681160120975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3.3694853057518137</v>
      </c>
      <c r="AV80" s="23">
        <f>EXP(-LN(2)/25)*AV79+(1-EXP(-LN(2)/25))/(LN(2)/25)*Calculateur!AQ80*Calculateur!AS80*VLOOKUP('Données projet'!$B$10,Paramètres!$A$1:$I$89,3,0)*0.475*44/12</f>
        <v>9.6856793889341919</v>
      </c>
      <c r="AW80" s="23">
        <f>EXP(-LN(2)/2)*AW79+(1-EXP(-LN(2)/2))/(LN(2)/2)*AQ80*AT80*VLOOKUP('Données projet'!$B$10,Paramètres!$A$1:$I$89,3,0)*0.475*44/12</f>
        <v>9.1600075635301332E-10</v>
      </c>
      <c r="AX80" s="23">
        <f t="shared" si="60"/>
        <v>13.055164695602008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-2.2737367544323206E-13</v>
      </c>
      <c r="O81" s="14">
        <f>N81*VLOOKUP('Données projet'!$B$9,Paramètres!$A$1:$I$89,3,0)*VLOOKUP('Données projet'!$B$9,Paramètres!$A$1:$I$89,5,0)</f>
        <v>-1.2710188457276673E-13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443.34220761968419</v>
      </c>
      <c r="T81" s="62">
        <f t="shared" si="88"/>
        <v>546.58234447298014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1.1594063095284823</v>
      </c>
      <c r="AB81" s="23">
        <f>EXP(-LN(2)/2)*AB80+(1-EXP(-LN(2)/2))/(LN(2)/2)*V81*Y81*VLOOKUP('Données projet'!$B$9,Paramètres!$A$1:$I$89,3,0)*0.475*44/12</f>
        <v>1.9898324100525025E-6</v>
      </c>
      <c r="AC81" s="24">
        <f t="shared" si="57"/>
        <v>1.1594082993608923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-1.7053025658242404E-13</v>
      </c>
      <c r="AJ81" s="14">
        <f>AI81*VLOOKUP('Données projet'!$B$10,Paramètres!$A$1:$I$89,3,0)*VLOOKUP('Données projet'!$B$10,Paramètres!$A$1:$I$89,5,0)</f>
        <v>-9.3109520094003535E-14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250.47640551318432</v>
      </c>
      <c r="AO81" s="62">
        <f t="shared" si="90"/>
        <v>361.92681160120975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3.3034117540891246</v>
      </c>
      <c r="AV81" s="23">
        <f>EXP(-LN(2)/25)*AV80+(1-EXP(-LN(2)/25))/(LN(2)/25)*Calculateur!AQ81*Calculateur!AS81*VLOOKUP('Données projet'!$B$10,Paramètres!$A$1:$I$89,3,0)*0.475*44/12</f>
        <v>9.4208239766960435</v>
      </c>
      <c r="AW81" s="23">
        <f>EXP(-LN(2)/2)*AW80+(1-EXP(-LN(2)/2))/(LN(2)/2)*AQ81*AT81*VLOOKUP('Données projet'!$B$10,Paramètres!$A$1:$I$89,3,0)*0.475*44/12</f>
        <v>6.4771034638922225E-10</v>
      </c>
      <c r="AX81" s="23">
        <f t="shared" si="60"/>
        <v>12.724235731432879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-2.2737367544323206E-13</v>
      </c>
      <c r="O82" s="14">
        <f>N82*VLOOKUP('Données projet'!$B$9,Paramètres!$A$1:$I$89,3,0)*VLOOKUP('Données projet'!$B$9,Paramètres!$A$1:$I$89,5,0)</f>
        <v>-1.2710188457276673E-13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443.34220761968419</v>
      </c>
      <c r="T82" s="62">
        <f t="shared" si="88"/>
        <v>546.58234447298014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1.1277022830238981</v>
      </c>
      <c r="AB82" s="23">
        <f>EXP(-LN(2)/2)*AB81+(1-EXP(-LN(2)/2))/(LN(2)/2)*V82*Y82*VLOOKUP('Données projet'!$B$9,Paramètres!$A$1:$I$89,3,0)*0.475*44/12</f>
        <v>1.4070239905728954E-6</v>
      </c>
      <c r="AC82" s="24">
        <f t="shared" si="57"/>
        <v>1.1277036900478887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-1.7053025658242404E-13</v>
      </c>
      <c r="AJ82" s="14">
        <f>AI82*VLOOKUP('Données projet'!$B$10,Paramètres!$A$1:$I$89,3,0)*VLOOKUP('Données projet'!$B$10,Paramètres!$A$1:$I$89,5,0)</f>
        <v>-9.3109520094003535E-14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250.47640551318432</v>
      </c>
      <c r="AO82" s="62">
        <f t="shared" si="90"/>
        <v>361.92681160120975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3.2386338644736536</v>
      </c>
      <c r="AV82" s="23">
        <f>EXP(-LN(2)/25)*AV81+(1-EXP(-LN(2)/25))/(LN(2)/25)*Calculateur!AQ82*Calculateur!AS82*VLOOKUP('Données projet'!$B$10,Paramètres!$A$1:$I$89,3,0)*0.475*44/12</f>
        <v>9.1632110496336896</v>
      </c>
      <c r="AW82" s="23">
        <f>EXP(-LN(2)/2)*AW81+(1-EXP(-LN(2)/2))/(LN(2)/2)*AQ82*AT82*VLOOKUP('Données projet'!$B$10,Paramètres!$A$1:$I$89,3,0)*0.475*44/12</f>
        <v>4.5800037817650671E-10</v>
      </c>
      <c r="AX82" s="23">
        <f t="shared" si="60"/>
        <v>12.401844914565343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-2.2737367544323206E-13</v>
      </c>
      <c r="O83" s="14">
        <f>N83*VLOOKUP('Données projet'!$B$9,Paramètres!$A$1:$I$89,3,0)*VLOOKUP('Données projet'!$B$9,Paramètres!$A$1:$I$89,5,0)</f>
        <v>-1.2710188457276673E-13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443.34220761968419</v>
      </c>
      <c r="T83" s="62">
        <f t="shared" si="88"/>
        <v>546.58234447298014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1.0968652047913239</v>
      </c>
      <c r="AB83" s="23">
        <f>EXP(-LN(2)/2)*AB82+(1-EXP(-LN(2)/2))/(LN(2)/2)*V83*Y83*VLOOKUP('Données projet'!$B$9,Paramètres!$A$1:$I$89,3,0)*0.475*44/12</f>
        <v>9.9491620502625126E-7</v>
      </c>
      <c r="AC83" s="24">
        <f t="shared" si="57"/>
        <v>1.0968661997075289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-1.7053025658242404E-13</v>
      </c>
      <c r="AJ83" s="14">
        <f>AI83*VLOOKUP('Données projet'!$B$10,Paramètres!$A$1:$I$89,3,0)*VLOOKUP('Données projet'!$B$10,Paramètres!$A$1:$I$89,5,0)</f>
        <v>-9.3109520094003535E-14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250.47640551318432</v>
      </c>
      <c r="AO83" s="62">
        <f t="shared" si="90"/>
        <v>361.92681160120975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3.175126229762931</v>
      </c>
      <c r="AV83" s="23">
        <f>EXP(-LN(2)/25)*AV82+(1-EXP(-LN(2)/25))/(LN(2)/25)*Calculateur!AQ83*Calculateur!AS83*VLOOKUP('Données projet'!$B$10,Paramètres!$A$1:$I$89,3,0)*0.475*44/12</f>
        <v>8.9126425616091307</v>
      </c>
      <c r="AW83" s="23">
        <f>EXP(-LN(2)/2)*AW82+(1-EXP(-LN(2)/2))/(LN(2)/2)*AQ83*AT83*VLOOKUP('Données projet'!$B$10,Paramètres!$A$1:$I$89,3,0)*0.475*44/12</f>
        <v>3.2385517319461118E-10</v>
      </c>
      <c r="AX83" s="23">
        <f t="shared" si="60"/>
        <v>12.087768791695916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-2.2737367544323206E-13</v>
      </c>
      <c r="O84" s="14">
        <f>N84*VLOOKUP('Données projet'!$B$9,Paramètres!$A$1:$I$89,3,0)*VLOOKUP('Données projet'!$B$9,Paramètres!$A$1:$I$89,5,0)</f>
        <v>-1.2710188457276673E-13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443.34220761968419</v>
      </c>
      <c r="T84" s="62">
        <f t="shared" si="88"/>
        <v>546.58234447298014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1.0668713680846709</v>
      </c>
      <c r="AB84" s="23">
        <f>EXP(-LN(2)/2)*AB83+(1-EXP(-LN(2)/2))/(LN(2)/2)*V84*Y84*VLOOKUP('Données projet'!$B$9,Paramètres!$A$1:$I$89,3,0)*0.475*44/12</f>
        <v>7.0351199528644771E-7</v>
      </c>
      <c r="AC84" s="24">
        <f t="shared" si="57"/>
        <v>1.0668720715966662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-1.7053025658242404E-13</v>
      </c>
      <c r="AJ84" s="14">
        <f>AI84*VLOOKUP('Données projet'!$B$10,Paramètres!$A$1:$I$89,3,0)*VLOOKUP('Données projet'!$B$10,Paramètres!$A$1:$I$89,5,0)</f>
        <v>-9.3109520094003535E-14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250.47640551318432</v>
      </c>
      <c r="AO84" s="62">
        <f t="shared" si="90"/>
        <v>361.92681160120975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3.1128639410330532</v>
      </c>
      <c r="AV84" s="23">
        <f>EXP(-LN(2)/25)*AV83+(1-EXP(-LN(2)/25))/(LN(2)/25)*Calculateur!AQ84*Calculateur!AS84*VLOOKUP('Données projet'!$B$10,Paramètres!$A$1:$I$89,3,0)*0.475*44/12</f>
        <v>8.6689258820664268</v>
      </c>
      <c r="AW84" s="23">
        <f>EXP(-LN(2)/2)*AW83+(1-EXP(-LN(2)/2))/(LN(2)/2)*AQ84*AT84*VLOOKUP('Données projet'!$B$10,Paramètres!$A$1:$I$89,3,0)*0.475*44/12</f>
        <v>2.2900018908825338E-10</v>
      </c>
      <c r="AX84" s="23">
        <f t="shared" si="60"/>
        <v>11.781789823328481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-2.2737367544323206E-13</v>
      </c>
      <c r="O85" s="14">
        <f>N85*VLOOKUP('Données projet'!$B$9,Paramètres!$A$1:$I$89,3,0)*VLOOKUP('Données projet'!$B$9,Paramètres!$A$1:$I$89,5,0)</f>
        <v>-1.2710188457276673E-13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443.34220761968419</v>
      </c>
      <c r="T85" s="62">
        <f t="shared" si="88"/>
        <v>546.58234447298014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1.0376977144200688</v>
      </c>
      <c r="AB85" s="23">
        <f>EXP(-LN(2)/2)*AB84+(1-EXP(-LN(2)/2))/(LN(2)/2)*V85*Y85*VLOOKUP('Données projet'!$B$9,Paramètres!$A$1:$I$89,3,0)*0.475*44/12</f>
        <v>4.9745810251312563E-7</v>
      </c>
      <c r="AC85" s="24">
        <f t="shared" si="57"/>
        <v>1.0376982118781712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-1.7053025658242404E-13</v>
      </c>
      <c r="AJ85" s="14">
        <f>AI85*VLOOKUP('Données projet'!$B$10,Paramètres!$A$1:$I$89,3,0)*VLOOKUP('Données projet'!$B$10,Paramètres!$A$1:$I$89,5,0)</f>
        <v>-9.3109520094003535E-14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250.47640551318432</v>
      </c>
      <c r="AO85" s="62">
        <f t="shared" si="90"/>
        <v>361.92681160120975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3.0518225778089221</v>
      </c>
      <c r="AV85" s="23">
        <f>EXP(-LN(2)/25)*AV84+(1-EXP(-LN(2)/25))/(LN(2)/25)*Calculateur!AQ85*Calculateur!AS85*VLOOKUP('Données projet'!$B$10,Paramètres!$A$1:$I$89,3,0)*0.475*44/12</f>
        <v>8.4318736479423215</v>
      </c>
      <c r="AW85" s="23">
        <f>EXP(-LN(2)/2)*AW84+(1-EXP(-LN(2)/2))/(LN(2)/2)*AQ85*AT85*VLOOKUP('Données projet'!$B$10,Paramètres!$A$1:$I$89,3,0)*0.475*44/12</f>
        <v>1.6192758659730561E-10</v>
      </c>
      <c r="AX85" s="23">
        <f t="shared" si="60"/>
        <v>11.483696225913171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-2.2737367544323206E-13</v>
      </c>
      <c r="O86" s="14">
        <f>N86*VLOOKUP('Données projet'!$B$9,Paramètres!$A$1:$I$89,3,0)*VLOOKUP('Données projet'!$B$9,Paramètres!$A$1:$I$89,5,0)</f>
        <v>-1.2710188457276673E-13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443.34220761968419</v>
      </c>
      <c r="T86" s="62">
        <f t="shared" si="88"/>
        <v>546.58234447298014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1.0093218158491009</v>
      </c>
      <c r="AB86" s="23">
        <f>EXP(-LN(2)/2)*AB85+(1-EXP(-LN(2)/2))/(LN(2)/2)*V86*Y86*VLOOKUP('Données projet'!$B$9,Paramètres!$A$1:$I$89,3,0)*0.475*44/12</f>
        <v>3.5175599764322386E-7</v>
      </c>
      <c r="AC86" s="24">
        <f t="shared" si="57"/>
        <v>1.0093221676050985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-1.7053025658242404E-13</v>
      </c>
      <c r="AJ86" s="14">
        <f>AI86*VLOOKUP('Données projet'!$B$10,Paramètres!$A$1:$I$89,3,0)*VLOOKUP('Données projet'!$B$10,Paramètres!$A$1:$I$89,5,0)</f>
        <v>-9.3109520094003535E-14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250.47640551318432</v>
      </c>
      <c r="AO86" s="62">
        <f t="shared" si="90"/>
        <v>361.92681160120975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2.9919781984860609</v>
      </c>
      <c r="AV86" s="23">
        <f>EXP(-LN(2)/25)*AV85+(1-EXP(-LN(2)/25))/(LN(2)/25)*Calculateur!AQ86*Calculateur!AS86*VLOOKUP('Données projet'!$B$10,Paramètres!$A$1:$I$89,3,0)*0.475*44/12</f>
        <v>8.2013036196263744</v>
      </c>
      <c r="AW86" s="23">
        <f>EXP(-LN(2)/2)*AW85+(1-EXP(-LN(2)/2))/(LN(2)/2)*AQ86*AT86*VLOOKUP('Données projet'!$B$10,Paramètres!$A$1:$I$89,3,0)*0.475*44/12</f>
        <v>1.1450009454412672E-10</v>
      </c>
      <c r="AX86" s="23">
        <f t="shared" si="60"/>
        <v>11.193281818226936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-2.2737367544323206E-13</v>
      </c>
      <c r="O87" s="14">
        <f>N87*VLOOKUP('Données projet'!$B$9,Paramètres!$A$1:$I$89,3,0)*VLOOKUP('Données projet'!$B$9,Paramètres!$A$1:$I$89,5,0)</f>
        <v>-1.2710188457276673E-13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443.34220761968419</v>
      </c>
      <c r="T87" s="62">
        <f t="shared" si="88"/>
        <v>546.58234447298014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0.98172185771677978</v>
      </c>
      <c r="AB87" s="23">
        <f>EXP(-LN(2)/2)*AB86+(1-EXP(-LN(2)/2))/(LN(2)/2)*V87*Y87*VLOOKUP('Données projet'!$B$9,Paramètres!$A$1:$I$89,3,0)*0.475*44/12</f>
        <v>2.4872905125656282E-7</v>
      </c>
      <c r="AC87" s="24">
        <f t="shared" si="57"/>
        <v>0.98172210644583102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-1.7053025658242404E-13</v>
      </c>
      <c r="AJ87" s="14">
        <f>AI87*VLOOKUP('Données projet'!$B$10,Paramètres!$A$1:$I$89,3,0)*VLOOKUP('Données projet'!$B$10,Paramètres!$A$1:$I$89,5,0)</f>
        <v>-9.3109520094003535E-14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250.47640551318432</v>
      </c>
      <c r="AO87" s="62">
        <f t="shared" si="90"/>
        <v>361.92681160120975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2.933307330940254</v>
      </c>
      <c r="AV87" s="23">
        <f>EXP(-LN(2)/25)*AV86+(1-EXP(-LN(2)/25))/(LN(2)/25)*Calculateur!AQ87*Calculateur!AS87*VLOOKUP('Données projet'!$B$10,Paramètres!$A$1:$I$89,3,0)*0.475*44/12</f>
        <v>7.9770385408598781</v>
      </c>
      <c r="AW87" s="23">
        <f>EXP(-LN(2)/2)*AW86+(1-EXP(-LN(2)/2))/(LN(2)/2)*AQ87*AT87*VLOOKUP('Données projet'!$B$10,Paramètres!$A$1:$I$89,3,0)*0.475*44/12</f>
        <v>8.096379329865282E-11</v>
      </c>
      <c r="AX87" s="23">
        <f t="shared" si="60"/>
        <v>10.910345871881097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-2.2737367544323206E-13</v>
      </c>
      <c r="O88" s="14">
        <f>N88*VLOOKUP('Données projet'!$B$9,Paramètres!$A$1:$I$89,3,0)*VLOOKUP('Données projet'!$B$9,Paramètres!$A$1:$I$89,5,0)</f>
        <v>-1.2710188457276673E-13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443.34220761968419</v>
      </c>
      <c r="T88" s="62">
        <f t="shared" si="88"/>
        <v>546.58234447298014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0.95487662189100564</v>
      </c>
      <c r="AB88" s="23">
        <f>EXP(-LN(2)/2)*AB87+(1-EXP(-LN(2)/2))/(LN(2)/2)*V88*Y88*VLOOKUP('Données projet'!$B$9,Paramètres!$A$1:$I$89,3,0)*0.475*44/12</f>
        <v>1.7587799882161193E-7</v>
      </c>
      <c r="AC88" s="24">
        <f t="shared" si="57"/>
        <v>0.95487679776900447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-1.7053025658242404E-13</v>
      </c>
      <c r="AJ88" s="14">
        <f>AI88*VLOOKUP('Données projet'!$B$10,Paramètres!$A$1:$I$89,3,0)*VLOOKUP('Données projet'!$B$10,Paramètres!$A$1:$I$89,5,0)</f>
        <v>-9.3109520094003535E-14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250.47640551318432</v>
      </c>
      <c r="AO88" s="62">
        <f t="shared" si="90"/>
        <v>361.92681160120975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2.8757869633213247</v>
      </c>
      <c r="AV88" s="23">
        <f>EXP(-LN(2)/25)*AV87+(1-EXP(-LN(2)/25))/(LN(2)/25)*Calculateur!AQ88*Calculateur!AS88*VLOOKUP('Données projet'!$B$10,Paramètres!$A$1:$I$89,3,0)*0.475*44/12</f>
        <v>7.7589060024658396</v>
      </c>
      <c r="AW88" s="23">
        <f>EXP(-LN(2)/2)*AW87+(1-EXP(-LN(2)/2))/(LN(2)/2)*AQ88*AT88*VLOOKUP('Données projet'!$B$10,Paramètres!$A$1:$I$89,3,0)*0.475*44/12</f>
        <v>5.7250047272063365E-11</v>
      </c>
      <c r="AX88" s="23">
        <f t="shared" si="60"/>
        <v>10.634692965844414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-2.2737367544323206E-13</v>
      </c>
      <c r="O89" s="14">
        <f>N89*VLOOKUP('Données projet'!$B$9,Paramètres!$A$1:$I$89,3,0)*VLOOKUP('Données projet'!$B$9,Paramètres!$A$1:$I$89,5,0)</f>
        <v>-1.2710188457276673E-13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443.34220761968419</v>
      </c>
      <c r="T89" s="62">
        <f t="shared" si="88"/>
        <v>546.58234447298014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0.92876547045061697</v>
      </c>
      <c r="AB89" s="23">
        <f>EXP(-LN(2)/2)*AB88+(1-EXP(-LN(2)/2))/(LN(2)/2)*V89*Y89*VLOOKUP('Données projet'!$B$9,Paramètres!$A$1:$I$89,3,0)*0.475*44/12</f>
        <v>1.2436452562828141E-7</v>
      </c>
      <c r="AC89" s="24">
        <f t="shared" si="57"/>
        <v>0.92876559481514265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-1.7053025658242404E-13</v>
      </c>
      <c r="AJ89" s="14">
        <f>AI89*VLOOKUP('Données projet'!$B$10,Paramètres!$A$1:$I$89,3,0)*VLOOKUP('Données projet'!$B$10,Paramètres!$A$1:$I$89,5,0)</f>
        <v>-9.3109520094003535E-14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250.47640551318432</v>
      </c>
      <c r="AO89" s="62">
        <f t="shared" si="90"/>
        <v>361.92681160120975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2.8193945350274423</v>
      </c>
      <c r="AV89" s="23">
        <f>EXP(-LN(2)/25)*AV88+(1-EXP(-LN(2)/25))/(LN(2)/25)*Calculateur!AQ89*Calculateur!AS89*VLOOKUP('Données projet'!$B$10,Paramètres!$A$1:$I$89,3,0)*0.475*44/12</f>
        <v>7.5467383098052778</v>
      </c>
      <c r="AW89" s="23">
        <f>EXP(-LN(2)/2)*AW88+(1-EXP(-LN(2)/2))/(LN(2)/2)*AQ89*AT89*VLOOKUP('Données projet'!$B$10,Paramètres!$A$1:$I$89,3,0)*0.475*44/12</f>
        <v>4.0481896649326416E-11</v>
      </c>
      <c r="AX89" s="23">
        <f t="shared" si="60"/>
        <v>10.366132844873201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-2.2737367544323206E-13</v>
      </c>
      <c r="O90" s="14">
        <f>N90*VLOOKUP('Données projet'!$B$9,Paramètres!$A$1:$I$89,3,0)*VLOOKUP('Données projet'!$B$9,Paramètres!$A$1:$I$89,5,0)</f>
        <v>-1.2710188457276673E-13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443.34220761968419</v>
      </c>
      <c r="T90" s="62">
        <f t="shared" si="88"/>
        <v>546.58234447298014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0.90336832981949144</v>
      </c>
      <c r="AB90" s="23">
        <f>EXP(-LN(2)/2)*AB89+(1-EXP(-LN(2)/2))/(LN(2)/2)*V90*Y90*VLOOKUP('Données projet'!$B$9,Paramètres!$A$1:$I$89,3,0)*0.475*44/12</f>
        <v>8.7938999410805964E-8</v>
      </c>
      <c r="AC90" s="24">
        <f t="shared" si="57"/>
        <v>0.90336841775849086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-1.7053025658242404E-13</v>
      </c>
      <c r="AJ90" s="14">
        <f>AI90*VLOOKUP('Données projet'!$B$10,Paramètres!$A$1:$I$89,3,0)*VLOOKUP('Données projet'!$B$10,Paramètres!$A$1:$I$89,5,0)</f>
        <v>-9.3109520094003535E-14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250.47640551318432</v>
      </c>
      <c r="AO90" s="62">
        <f t="shared" si="90"/>
        <v>361.92681160120975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2.764107927856418</v>
      </c>
      <c r="AV90" s="23">
        <f>EXP(-LN(2)/25)*AV89+(1-EXP(-LN(2)/25))/(LN(2)/25)*Calculateur!AQ90*Calculateur!AS90*VLOOKUP('Données projet'!$B$10,Paramètres!$A$1:$I$89,3,0)*0.475*44/12</f>
        <v>7.3403723538579335</v>
      </c>
      <c r="AW90" s="23">
        <f>EXP(-LN(2)/2)*AW89+(1-EXP(-LN(2)/2))/(LN(2)/2)*AQ90*AT90*VLOOKUP('Données projet'!$B$10,Paramètres!$A$1:$I$89,3,0)*0.475*44/12</f>
        <v>2.8625023636031689E-11</v>
      </c>
      <c r="AX90" s="23">
        <f t="shared" si="60"/>
        <v>10.104480281742976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-2.2737367544323206E-13</v>
      </c>
      <c r="O91" s="14">
        <f>N91*VLOOKUP('Données projet'!$B$9,Paramètres!$A$1:$I$89,3,0)*VLOOKUP('Données projet'!$B$9,Paramètres!$A$1:$I$89,5,0)</f>
        <v>-1.2710188457276673E-13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443.34220761968419</v>
      </c>
      <c r="T91" s="62">
        <f t="shared" si="88"/>
        <v>546.58234447298014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0.87866567533450168</v>
      </c>
      <c r="AB91" s="23">
        <f>EXP(-LN(2)/2)*AB90+(1-EXP(-LN(2)/2))/(LN(2)/2)*V91*Y91*VLOOKUP('Données projet'!$B$9,Paramètres!$A$1:$I$89,3,0)*0.475*44/12</f>
        <v>6.2182262814140704E-8</v>
      </c>
      <c r="AC91" s="24">
        <f t="shared" si="57"/>
        <v>0.87866573751676447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-1.7053025658242404E-13</v>
      </c>
      <c r="AJ91" s="14">
        <f>AI91*VLOOKUP('Données projet'!$B$10,Paramètres!$A$1:$I$89,3,0)*VLOOKUP('Données projet'!$B$10,Paramètres!$A$1:$I$89,5,0)</f>
        <v>-9.3109520094003535E-14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250.47640551318432</v>
      </c>
      <c r="AO91" s="62">
        <f t="shared" si="90"/>
        <v>361.92681160120975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2.709905457330517</v>
      </c>
      <c r="AV91" s="23">
        <f>EXP(-LN(2)/25)*AV90+(1-EXP(-LN(2)/25))/(LN(2)/25)*Calculateur!AQ91*Calculateur!AS91*VLOOKUP('Données projet'!$B$10,Paramètres!$A$1:$I$89,3,0)*0.475*44/12</f>
        <v>7.1396494858282828</v>
      </c>
      <c r="AW91" s="23">
        <f>EXP(-LN(2)/2)*AW90+(1-EXP(-LN(2)/2))/(LN(2)/2)*AQ91*AT91*VLOOKUP('Données projet'!$B$10,Paramètres!$A$1:$I$89,3,0)*0.475*44/12</f>
        <v>2.0240948324663211E-11</v>
      </c>
      <c r="AX91" s="23">
        <f t="shared" si="60"/>
        <v>9.8495549431790419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-2.2737367544323206E-13</v>
      </c>
      <c r="O92" s="14">
        <f>N92*VLOOKUP('Données projet'!$B$9,Paramètres!$A$1:$I$89,3,0)*VLOOKUP('Données projet'!$B$9,Paramètres!$A$1:$I$89,5,0)</f>
        <v>-1.2710188457276673E-13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443.34220761968419</v>
      </c>
      <c r="T92" s="62">
        <f t="shared" si="88"/>
        <v>546.58234447298014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0.85463851623546006</v>
      </c>
      <c r="AB92" s="23">
        <f>EXP(-LN(2)/2)*AB91+(1-EXP(-LN(2)/2))/(LN(2)/2)*V92*Y92*VLOOKUP('Données projet'!$B$9,Paramètres!$A$1:$I$89,3,0)*0.475*44/12</f>
        <v>4.3969499705402982E-8</v>
      </c>
      <c r="AC92" s="24">
        <f t="shared" si="57"/>
        <v>0.85463856020495976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-1.7053025658242404E-13</v>
      </c>
      <c r="AJ92" s="14">
        <f>AI92*VLOOKUP('Données projet'!$B$10,Paramètres!$A$1:$I$89,3,0)*VLOOKUP('Données projet'!$B$10,Paramètres!$A$1:$I$89,5,0)</f>
        <v>-9.3109520094003535E-14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250.47640551318432</v>
      </c>
      <c r="AO92" s="62">
        <f t="shared" si="90"/>
        <v>361.92681160120975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2.6567658641913865</v>
      </c>
      <c r="AV92" s="23">
        <f>EXP(-LN(2)/25)*AV91+(1-EXP(-LN(2)/25))/(LN(2)/25)*Calculateur!AQ92*Calculateur!AS92*VLOOKUP('Données projet'!$B$10,Paramètres!$A$1:$I$89,3,0)*0.475*44/12</f>
        <v>6.9444153951804601</v>
      </c>
      <c r="AW92" s="23">
        <f>EXP(-LN(2)/2)*AW91+(1-EXP(-LN(2)/2))/(LN(2)/2)*AQ92*AT92*VLOOKUP('Données projet'!$B$10,Paramètres!$A$1:$I$89,3,0)*0.475*44/12</f>
        <v>1.4312511818015846E-11</v>
      </c>
      <c r="AX92" s="23">
        <f t="shared" si="60"/>
        <v>9.6011812593861592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-2.2737367544323206E-13</v>
      </c>
      <c r="O93" s="14">
        <f>N93*VLOOKUP('Données projet'!$B$9,Paramètres!$A$1:$I$89,3,0)*VLOOKUP('Données projet'!$B$9,Paramètres!$A$1:$I$89,5,0)</f>
        <v>-1.2710188457276673E-13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443.34220761968419</v>
      </c>
      <c r="T93" s="62">
        <f t="shared" si="88"/>
        <v>546.58234447298014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0.83126838106551515</v>
      </c>
      <c r="AB93" s="23">
        <f>EXP(-LN(2)/2)*AB92+(1-EXP(-LN(2)/2))/(LN(2)/2)*V93*Y93*VLOOKUP('Données projet'!$B$9,Paramètres!$A$1:$I$89,3,0)*0.475*44/12</f>
        <v>3.1091131407070352E-8</v>
      </c>
      <c r="AC93" s="24">
        <f t="shared" si="57"/>
        <v>0.8312684121566466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-1.7053025658242404E-13</v>
      </c>
      <c r="AJ93" s="14">
        <f>AI93*VLOOKUP('Données projet'!$B$10,Paramètres!$A$1:$I$89,3,0)*VLOOKUP('Données projet'!$B$10,Paramètres!$A$1:$I$89,5,0)</f>
        <v>-9.3109520094003535E-14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250.47640551318432</v>
      </c>
      <c r="AO93" s="62">
        <f t="shared" si="90"/>
        <v>361.92681160120975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2.6046683060617628</v>
      </c>
      <c r="AV93" s="23">
        <f>EXP(-LN(2)/25)*AV92+(1-EXP(-LN(2)/25))/(LN(2)/25)*Calculateur!AQ93*Calculateur!AS93*VLOOKUP('Données projet'!$B$10,Paramètres!$A$1:$I$89,3,0)*0.475*44/12</f>
        <v>6.7545199910083165</v>
      </c>
      <c r="AW93" s="23">
        <f>EXP(-LN(2)/2)*AW92+(1-EXP(-LN(2)/2))/(LN(2)/2)*AQ93*AT93*VLOOKUP('Données projet'!$B$10,Paramètres!$A$1:$I$89,3,0)*0.475*44/12</f>
        <v>1.0120474162331607E-11</v>
      </c>
      <c r="AX93" s="23">
        <f t="shared" si="60"/>
        <v>9.3591882970802001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-2.2737367544323206E-13</v>
      </c>
      <c r="O94" s="14">
        <f>N94*VLOOKUP('Données projet'!$B$9,Paramètres!$A$1:$I$89,3,0)*VLOOKUP('Données projet'!$B$9,Paramètres!$A$1:$I$89,5,0)</f>
        <v>-1.2710188457276673E-13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443.34220761968419</v>
      </c>
      <c r="T94" s="62">
        <f t="shared" si="88"/>
        <v>546.58234447298014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0.80853730347077435</v>
      </c>
      <c r="AB94" s="23">
        <f>EXP(-LN(2)/2)*AB93+(1-EXP(-LN(2)/2))/(LN(2)/2)*V94*Y94*VLOOKUP('Données projet'!$B$9,Paramètres!$A$1:$I$89,3,0)*0.475*44/12</f>
        <v>2.1984749852701491E-8</v>
      </c>
      <c r="AC94" s="24">
        <f t="shared" si="57"/>
        <v>0.80853732545552415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-1.7053025658242404E-13</v>
      </c>
      <c r="AJ94" s="14">
        <f>AI94*VLOOKUP('Données projet'!$B$10,Paramètres!$A$1:$I$89,3,0)*VLOOKUP('Données projet'!$B$10,Paramètres!$A$1:$I$89,5,0)</f>
        <v>-9.3109520094003535E-14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250.47640551318432</v>
      </c>
      <c r="AO94" s="62">
        <f t="shared" si="90"/>
        <v>361.92681160120975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2.553592349270688</v>
      </c>
      <c r="AV94" s="23">
        <f>EXP(-LN(2)/25)*AV93+(1-EXP(-LN(2)/25))/(LN(2)/25)*Calculateur!AQ94*Calculateur!AS94*VLOOKUP('Données projet'!$B$10,Paramètres!$A$1:$I$89,3,0)*0.475*44/12</f>
        <v>6.5698172866494255</v>
      </c>
      <c r="AW94" s="23">
        <f>EXP(-LN(2)/2)*AW93+(1-EXP(-LN(2)/2))/(LN(2)/2)*AQ94*AT94*VLOOKUP('Données projet'!$B$10,Paramètres!$A$1:$I$89,3,0)*0.475*44/12</f>
        <v>7.1562559090079239E-12</v>
      </c>
      <c r="AX94" s="23">
        <f t="shared" si="60"/>
        <v>9.1234096359272705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-2.2737367544323206E-13</v>
      </c>
      <c r="O95" s="14">
        <f>N95*VLOOKUP('Données projet'!$B$9,Paramètres!$A$1:$I$89,3,0)*VLOOKUP('Données projet'!$B$9,Paramètres!$A$1:$I$89,5,0)</f>
        <v>-1.2710188457276673E-13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443.34220761968419</v>
      </c>
      <c r="T95" s="62">
        <f t="shared" si="88"/>
        <v>546.58234447298014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0.78642780838823723</v>
      </c>
      <c r="AB95" s="23">
        <f>EXP(-LN(2)/2)*AB94+(1-EXP(-LN(2)/2))/(LN(2)/2)*V95*Y95*VLOOKUP('Données projet'!$B$9,Paramètres!$A$1:$I$89,3,0)*0.475*44/12</f>
        <v>1.5545565703535176E-8</v>
      </c>
      <c r="AC95" s="24">
        <f t="shared" si="57"/>
        <v>0.78642782393380295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-1.7053025658242404E-13</v>
      </c>
      <c r="AJ95" s="14">
        <f>AI95*VLOOKUP('Données projet'!$B$10,Paramètres!$A$1:$I$89,3,0)*VLOOKUP('Données projet'!$B$10,Paramètres!$A$1:$I$89,5,0)</f>
        <v>-9.3109520094003535E-14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250.47640551318432</v>
      </c>
      <c r="AO95" s="62">
        <f t="shared" si="90"/>
        <v>361.92681160120975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2.5035179608390288</v>
      </c>
      <c r="AV95" s="23">
        <f>EXP(-LN(2)/25)*AV94+(1-EXP(-LN(2)/25))/(LN(2)/25)*Calculateur!AQ95*Calculateur!AS95*VLOOKUP('Données projet'!$B$10,Paramètres!$A$1:$I$89,3,0)*0.475*44/12</f>
        <v>6.3901652874543213</v>
      </c>
      <c r="AW95" s="23">
        <f>EXP(-LN(2)/2)*AW94+(1-EXP(-LN(2)/2))/(LN(2)/2)*AQ95*AT95*VLOOKUP('Données projet'!$B$10,Paramètres!$A$1:$I$89,3,0)*0.475*44/12</f>
        <v>5.0602370811658045E-12</v>
      </c>
      <c r="AX95" s="23">
        <f t="shared" si="60"/>
        <v>8.8936832482984105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-2.2737367544323206E-13</v>
      </c>
      <c r="O96" s="14">
        <f>N96*VLOOKUP('Données projet'!$B$9,Paramètres!$A$1:$I$89,3,0)*VLOOKUP('Données projet'!$B$9,Paramètres!$A$1:$I$89,5,0)</f>
        <v>-1.2710188457276673E-13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443.34220761968419</v>
      </c>
      <c r="T96" s="62">
        <f t="shared" si="88"/>
        <v>546.58234447298014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0.76492289861141982</v>
      </c>
      <c r="AB96" s="23">
        <f>EXP(-LN(2)/2)*AB95+(1-EXP(-LN(2)/2))/(LN(2)/2)*V96*Y96*VLOOKUP('Données projet'!$B$9,Paramètres!$A$1:$I$89,3,0)*0.475*44/12</f>
        <v>1.0992374926350745E-8</v>
      </c>
      <c r="AC96" s="24">
        <f t="shared" si="57"/>
        <v>0.76492290960379472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-1.7053025658242404E-13</v>
      </c>
      <c r="AJ96" s="14">
        <f>AI96*VLOOKUP('Données projet'!$B$10,Paramètres!$A$1:$I$89,3,0)*VLOOKUP('Données projet'!$B$10,Paramètres!$A$1:$I$89,5,0)</f>
        <v>-9.3109520094003535E-14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250.47640551318432</v>
      </c>
      <c r="AO96" s="62">
        <f t="shared" si="90"/>
        <v>361.92681160120975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2.4544255006221531</v>
      </c>
      <c r="AV96" s="23">
        <f>EXP(-LN(2)/25)*AV95+(1-EXP(-LN(2)/25))/(LN(2)/25)*Calculateur!AQ96*Calculateur!AS96*VLOOKUP('Données projet'!$B$10,Paramètres!$A$1:$I$89,3,0)*0.475*44/12</f>
        <v>6.2154258816246957</v>
      </c>
      <c r="AW96" s="23">
        <f>EXP(-LN(2)/2)*AW95+(1-EXP(-LN(2)/2))/(LN(2)/2)*AQ96*AT96*VLOOKUP('Données projet'!$B$10,Paramètres!$A$1:$I$89,3,0)*0.475*44/12</f>
        <v>3.5781279545039627E-12</v>
      </c>
      <c r="AX96" s="23">
        <f t="shared" si="60"/>
        <v>8.6698513822504264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-2.2737367544323206E-13</v>
      </c>
      <c r="O97" s="14">
        <f>N97*VLOOKUP('Données projet'!$B$9,Paramètres!$A$1:$I$89,3,0)*VLOOKUP('Données projet'!$B$9,Paramètres!$A$1:$I$89,5,0)</f>
        <v>-1.2710188457276673E-13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443.34220761968419</v>
      </c>
      <c r="T97" s="62">
        <f t="shared" si="88"/>
        <v>546.58234447298014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0.74400604172334361</v>
      </c>
      <c r="AB97" s="23">
        <f>EXP(-LN(2)/2)*AB96+(1-EXP(-LN(2)/2))/(LN(2)/2)*V97*Y97*VLOOKUP('Données projet'!$B$9,Paramètres!$A$1:$I$89,3,0)*0.475*44/12</f>
        <v>7.772782851767588E-9</v>
      </c>
      <c r="AC97" s="24">
        <f t="shared" si="57"/>
        <v>0.74400604949612648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-1.7053025658242404E-13</v>
      </c>
      <c r="AJ97" s="14">
        <f>AI97*VLOOKUP('Données projet'!$B$10,Paramètres!$A$1:$I$89,3,0)*VLOOKUP('Données projet'!$B$10,Paramètres!$A$1:$I$89,5,0)</f>
        <v>-9.3109520094003535E-14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250.47640551318432</v>
      </c>
      <c r="AO97" s="62">
        <f t="shared" si="90"/>
        <v>361.92681160120975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2.4062957136066867</v>
      </c>
      <c r="AV97" s="23">
        <f>EXP(-LN(2)/25)*AV96+(1-EXP(-LN(2)/25))/(LN(2)/25)*Calculateur!AQ97*Calculateur!AS97*VLOOKUP('Données projet'!$B$10,Paramètres!$A$1:$I$89,3,0)*0.475*44/12</f>
        <v>6.045464734036627</v>
      </c>
      <c r="AW97" s="23">
        <f>EXP(-LN(2)/2)*AW96+(1-EXP(-LN(2)/2))/(LN(2)/2)*AQ97*AT97*VLOOKUP('Données projet'!$B$10,Paramètres!$A$1:$I$89,3,0)*0.475*44/12</f>
        <v>2.5301185405829026E-12</v>
      </c>
      <c r="AX97" s="23">
        <f t="shared" si="60"/>
        <v>8.4517604476458423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-2.2737367544323206E-13</v>
      </c>
      <c r="O98" s="14">
        <f>N98*VLOOKUP('Données projet'!$B$9,Paramètres!$A$1:$I$89,3,0)*VLOOKUP('Données projet'!$B$9,Paramètres!$A$1:$I$89,5,0)</f>
        <v>-1.2710188457276673E-13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443.34220761968419</v>
      </c>
      <c r="T98" s="62">
        <f t="shared" si="88"/>
        <v>546.58234447298014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0.72366115738684145</v>
      </c>
      <c r="AB98" s="23">
        <f>EXP(-LN(2)/2)*AB97+(1-EXP(-LN(2)/2))/(LN(2)/2)*V98*Y98*VLOOKUP('Données projet'!$B$9,Paramètres!$A$1:$I$89,3,0)*0.475*44/12</f>
        <v>5.4961874631753727E-9</v>
      </c>
      <c r="AC98" s="24">
        <f t="shared" si="57"/>
        <v>0.72366116288302895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-1.7053025658242404E-13</v>
      </c>
      <c r="AJ98" s="14">
        <f>AI98*VLOOKUP('Données projet'!$B$10,Paramètres!$A$1:$I$89,3,0)*VLOOKUP('Données projet'!$B$10,Paramètres!$A$1:$I$89,5,0)</f>
        <v>-9.3109520094003535E-14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250.47640551318432</v>
      </c>
      <c r="AO98" s="62">
        <f t="shared" si="90"/>
        <v>361.92681160120975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2.3591097223583222</v>
      </c>
      <c r="AV98" s="23">
        <f>EXP(-LN(2)/25)*AV97+(1-EXP(-LN(2)/25))/(LN(2)/25)*Calculateur!AQ98*Calculateur!AS98*VLOOKUP('Données projet'!$B$10,Paramètres!$A$1:$I$89,3,0)*0.475*44/12</f>
        <v>5.8801511829672224</v>
      </c>
      <c r="AW98" s="23">
        <f>EXP(-LN(2)/2)*AW97+(1-EXP(-LN(2)/2))/(LN(2)/2)*AQ98*AT98*VLOOKUP('Données projet'!$B$10,Paramètres!$A$1:$I$89,3,0)*0.475*44/12</f>
        <v>1.7890639772519816E-12</v>
      </c>
      <c r="AX98" s="23">
        <f t="shared" si="60"/>
        <v>8.2392609053273329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-2.2737367544323206E-13</v>
      </c>
      <c r="O99" s="14">
        <f>N99*VLOOKUP('Données projet'!$B$9,Paramètres!$A$1:$I$89,3,0)*VLOOKUP('Données projet'!$B$9,Paramètres!$A$1:$I$89,5,0)</f>
        <v>-1.2710188457276673E-13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443.34220761968419</v>
      </c>
      <c r="T99" s="62">
        <f t="shared" si="88"/>
        <v>546.58234447298014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0.703872604982412</v>
      </c>
      <c r="AB99" s="23">
        <f>EXP(-LN(2)/2)*AB98+(1-EXP(-LN(2)/2))/(LN(2)/2)*V99*Y99*VLOOKUP('Données projet'!$B$9,Paramètres!$A$1:$I$89,3,0)*0.475*44/12</f>
        <v>3.886391425883794E-9</v>
      </c>
      <c r="AC99" s="24">
        <f t="shared" si="57"/>
        <v>0.70387260886880343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-1.7053025658242404E-13</v>
      </c>
      <c r="AJ99" s="14">
        <f>AI99*VLOOKUP('Données projet'!$B$10,Paramètres!$A$1:$I$89,3,0)*VLOOKUP('Données projet'!$B$10,Paramètres!$A$1:$I$89,5,0)</f>
        <v>-9.3109520094003535E-14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250.47640551318432</v>
      </c>
      <c r="AO99" s="62">
        <f t="shared" si="90"/>
        <v>361.92681160120975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2.3128490196177252</v>
      </c>
      <c r="AV99" s="23">
        <f>EXP(-LN(2)/25)*AV98+(1-EXP(-LN(2)/25))/(LN(2)/25)*Calculateur!AQ99*Calculateur!AS99*VLOOKUP('Données projet'!$B$10,Paramètres!$A$1:$I$89,3,0)*0.475*44/12</f>
        <v>5.719358139645272</v>
      </c>
      <c r="AW99" s="23">
        <f>EXP(-LN(2)/2)*AW98+(1-EXP(-LN(2)/2))/(LN(2)/2)*AQ99*AT99*VLOOKUP('Données projet'!$B$10,Paramètres!$A$1:$I$89,3,0)*0.475*44/12</f>
        <v>1.2650592702914515E-12</v>
      </c>
      <c r="AX99" s="23">
        <f t="shared" si="60"/>
        <v>8.0322071592642619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-2.2737367544323206E-13</v>
      </c>
      <c r="O100" s="14">
        <f>N100*VLOOKUP('Données projet'!$B$9,Paramètres!$A$1:$I$89,3,0)*VLOOKUP('Données projet'!$B$9,Paramètres!$A$1:$I$89,5,0)</f>
        <v>-1.2710188457276673E-13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443.34220761968419</v>
      </c>
      <c r="T100" s="62">
        <f t="shared" si="88"/>
        <v>546.58234447298014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0.6846251715841164</v>
      </c>
      <c r="AB100" s="23">
        <f>EXP(-LN(2)/2)*AB99+(1-EXP(-LN(2)/2))/(LN(2)/2)*V100*Y100*VLOOKUP('Données projet'!$B$9,Paramètres!$A$1:$I$89,3,0)*0.475*44/12</f>
        <v>2.7480937315876864E-9</v>
      </c>
      <c r="AC100" s="24">
        <f t="shared" si="57"/>
        <v>0.68462517433221015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-1.7053025658242404E-13</v>
      </c>
      <c r="AJ100" s="14">
        <f>AI100*VLOOKUP('Données projet'!$B$10,Paramètres!$A$1:$I$89,3,0)*VLOOKUP('Données projet'!$B$10,Paramètres!$A$1:$I$89,5,0)</f>
        <v>-9.3109520094003535E-14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250.47640551318432</v>
      </c>
      <c r="AO100" s="62">
        <f t="shared" si="90"/>
        <v>361.92681160120975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2.2674954610416287</v>
      </c>
      <c r="AV100" s="23">
        <f>EXP(-LN(2)/25)*AV99+(1-EXP(-LN(2)/25))/(LN(2)/25)*Calculateur!AQ100*Calculateur!AS100*VLOOKUP('Données projet'!$B$10,Paramètres!$A$1:$I$89,3,0)*0.475*44/12</f>
        <v>5.5629619905486996</v>
      </c>
      <c r="AW100" s="23">
        <f>EXP(-LN(2)/2)*AW99+(1-EXP(-LN(2)/2))/(LN(2)/2)*AQ100*AT100*VLOOKUP('Données projet'!$B$10,Paramètres!$A$1:$I$89,3,0)*0.475*44/12</f>
        <v>8.9453198862599099E-13</v>
      </c>
      <c r="AX100" s="23">
        <f t="shared" si="60"/>
        <v>7.8304574515912231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-2.2737367544323206E-13</v>
      </c>
      <c r="O101" s="14">
        <f>N101*VLOOKUP('Données projet'!$B$9,Paramètres!$A$1:$I$89,3,0)*VLOOKUP('Données projet'!$B$9,Paramètres!$A$1:$I$89,5,0)</f>
        <v>-1.2710188457276673E-13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443.34220761968419</v>
      </c>
      <c r="T101" s="62">
        <f t="shared" si="88"/>
        <v>546.58234447298014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0.66590406026427573</v>
      </c>
      <c r="AB101" s="23">
        <f>EXP(-LN(2)/2)*AB100+(1-EXP(-LN(2)/2))/(LN(2)/2)*V101*Y101*VLOOKUP('Données projet'!$B$9,Paramètres!$A$1:$I$89,3,0)*0.475*44/12</f>
        <v>1.943195712941897E-9</v>
      </c>
      <c r="AC101" s="24">
        <f t="shared" si="57"/>
        <v>0.66590406220747145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-1.7053025658242404E-13</v>
      </c>
      <c r="AJ101" s="14">
        <f>AI101*VLOOKUP('Données projet'!$B$10,Paramètres!$A$1:$I$89,3,0)*VLOOKUP('Données projet'!$B$10,Paramètres!$A$1:$I$89,5,0)</f>
        <v>-9.3109520094003535E-14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250.47640551318432</v>
      </c>
      <c r="AO101" s="62">
        <f t="shared" si="90"/>
        <v>361.92681160120975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2.2230312580862703</v>
      </c>
      <c r="AV101" s="23">
        <f>EXP(-LN(2)/25)*AV100+(1-EXP(-LN(2)/25))/(LN(2)/25)*Calculateur!AQ101*Calculateur!AS101*VLOOKUP('Données projet'!$B$10,Paramètres!$A$1:$I$89,3,0)*0.475*44/12</f>
        <v>5.410842502373689</v>
      </c>
      <c r="AW101" s="23">
        <f>EXP(-LN(2)/2)*AW100+(1-EXP(-LN(2)/2))/(LN(2)/2)*AQ101*AT101*VLOOKUP('Données projet'!$B$10,Paramètres!$A$1:$I$89,3,0)*0.475*44/12</f>
        <v>6.3252963514572586E-13</v>
      </c>
      <c r="AX101" s="23">
        <f t="shared" si="60"/>
        <v>7.6338737604605917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-2.2737367544323206E-13</v>
      </c>
      <c r="O102" s="14">
        <f>N102*VLOOKUP('Données projet'!$B$9,Paramètres!$A$1:$I$89,3,0)*VLOOKUP('Données projet'!$B$9,Paramètres!$A$1:$I$89,5,0)</f>
        <v>-1.2710188457276673E-13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443.34220761968419</v>
      </c>
      <c r="T102" s="62">
        <f t="shared" si="88"/>
        <v>546.58234447298014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0.64769487871797649</v>
      </c>
      <c r="AB102" s="23">
        <f>EXP(-LN(2)/2)*AB101+(1-EXP(-LN(2)/2))/(LN(2)/2)*V102*Y102*VLOOKUP('Données projet'!$B$9,Paramètres!$A$1:$I$89,3,0)*0.475*44/12</f>
        <v>1.3740468657938432E-9</v>
      </c>
      <c r="AC102" s="24">
        <f t="shared" si="57"/>
        <v>0.64769488009202336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-1.7053025658242404E-13</v>
      </c>
      <c r="AJ102" s="14">
        <f>AI102*VLOOKUP('Données projet'!$B$10,Paramètres!$A$1:$I$89,3,0)*VLOOKUP('Données projet'!$B$10,Paramètres!$A$1:$I$89,5,0)</f>
        <v>-9.3109520094003535E-14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250.47640551318432</v>
      </c>
      <c r="AO102" s="62">
        <f t="shared" si="90"/>
        <v>361.92681160120975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2.1794389710303803</v>
      </c>
      <c r="AV102" s="23">
        <f>EXP(-LN(2)/25)*AV101+(1-EXP(-LN(2)/25))/(LN(2)/25)*Calculateur!AQ102*Calculateur!AS102*VLOOKUP('Données projet'!$B$10,Paramètres!$A$1:$I$89,3,0)*0.475*44/12</f>
        <v>5.2628827296024401</v>
      </c>
      <c r="AW102" s="23">
        <f>EXP(-LN(2)/2)*AW101+(1-EXP(-LN(2)/2))/(LN(2)/2)*AQ102*AT102*VLOOKUP('Données projet'!$B$10,Paramètres!$A$1:$I$89,3,0)*0.475*44/12</f>
        <v>4.4726599431299554E-13</v>
      </c>
      <c r="AX102" s="23">
        <f t="shared" si="60"/>
        <v>7.4423217006332685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-2.2737367544323206E-13</v>
      </c>
      <c r="O103" s="14">
        <f>N103*VLOOKUP('Données projet'!$B$9,Paramètres!$A$1:$I$89,3,0)*VLOOKUP('Données projet'!$B$9,Paramètres!$A$1:$I$89,5,0)</f>
        <v>-1.2710188457276673E-13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443.34220761968419</v>
      </c>
      <c r="T103" s="62">
        <f t="shared" si="88"/>
        <v>546.58234447298014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0.62998362819864007</v>
      </c>
      <c r="AB103" s="23">
        <f>EXP(-LN(2)/2)*AB102+(1-EXP(-LN(2)/2))/(LN(2)/2)*V103*Y103*VLOOKUP('Données projet'!$B$9,Paramètres!$A$1:$I$89,3,0)*0.475*44/12</f>
        <v>9.715978564709485E-10</v>
      </c>
      <c r="AC103" s="24">
        <f t="shared" si="57"/>
        <v>0.62998362917023787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-1.7053025658242404E-13</v>
      </c>
      <c r="AJ103" s="14">
        <f>AI103*VLOOKUP('Données projet'!$B$10,Paramètres!$A$1:$I$89,3,0)*VLOOKUP('Données projet'!$B$10,Paramètres!$A$1:$I$89,5,0)</f>
        <v>-9.3109520094003535E-14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250.47640551318432</v>
      </c>
      <c r="AO103" s="62">
        <f t="shared" si="90"/>
        <v>361.92681160120975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2.1367015021349869</v>
      </c>
      <c r="AV103" s="23">
        <f>EXP(-LN(2)/25)*AV102+(1-EXP(-LN(2)/25))/(LN(2)/25)*Calculateur!AQ103*Calculateur!AS103*VLOOKUP('Données projet'!$B$10,Paramètres!$A$1:$I$89,3,0)*0.475*44/12</f>
        <v>5.1189689245984873</v>
      </c>
      <c r="AW103" s="23">
        <f>EXP(-LN(2)/2)*AW102+(1-EXP(-LN(2)/2))/(LN(2)/2)*AQ103*AT103*VLOOKUP('Données projet'!$B$10,Paramètres!$A$1:$I$89,3,0)*0.475*44/12</f>
        <v>3.1626481757286298E-13</v>
      </c>
      <c r="AX103" s="23">
        <f t="shared" si="60"/>
        <v>7.2556704267337899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-2.2737367544323206E-13</v>
      </c>
      <c r="O104" s="14">
        <f>N104*VLOOKUP('Données projet'!$B$9,Paramètres!$A$1:$I$89,3,0)*VLOOKUP('Données projet'!$B$9,Paramètres!$A$1:$I$89,5,0)</f>
        <v>-1.2710188457276673E-13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443.34220761968419</v>
      </c>
      <c r="T104" s="62">
        <f t="shared" si="88"/>
        <v>546.58234447298014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0.61275669275614908</v>
      </c>
      <c r="AB104" s="23">
        <f>EXP(-LN(2)/2)*AB103+(1-EXP(-LN(2)/2))/(LN(2)/2)*V104*Y104*VLOOKUP('Données projet'!$B$9,Paramètres!$A$1:$I$89,3,0)*0.475*44/12</f>
        <v>6.8702343289692159E-10</v>
      </c>
      <c r="AC104" s="24">
        <f t="shared" si="57"/>
        <v>0.61275669344317252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-1.7053025658242404E-13</v>
      </c>
      <c r="AJ104" s="14">
        <f>AI104*VLOOKUP('Données projet'!$B$10,Paramètres!$A$1:$I$89,3,0)*VLOOKUP('Données projet'!$B$10,Paramètres!$A$1:$I$89,5,0)</f>
        <v>-9.3109520094003535E-14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250.47640551318432</v>
      </c>
      <c r="AO104" s="62">
        <f t="shared" si="90"/>
        <v>361.92681160120975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2.09480208893735</v>
      </c>
      <c r="AV104" s="23">
        <f>EXP(-LN(2)/25)*AV103+(1-EXP(-LN(2)/25))/(LN(2)/25)*Calculateur!AQ104*Calculateur!AS104*VLOOKUP('Données projet'!$B$10,Paramètres!$A$1:$I$89,3,0)*0.475*44/12</f>
        <v>4.9789904501604658</v>
      </c>
      <c r="AW104" s="23">
        <f>EXP(-LN(2)/2)*AW103+(1-EXP(-LN(2)/2))/(LN(2)/2)*AQ104*AT104*VLOOKUP('Données projet'!$B$10,Paramètres!$A$1:$I$89,3,0)*0.475*44/12</f>
        <v>2.236329971564978E-13</v>
      </c>
      <c r="AX104" s="23">
        <f t="shared" si="60"/>
        <v>7.0737925390980401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-2.2737367544323206E-13</v>
      </c>
      <c r="O105" s="14">
        <f>N105*VLOOKUP('Données projet'!$B$9,Paramètres!$A$1:$I$89,3,0)*VLOOKUP('Données projet'!$B$9,Paramètres!$A$1:$I$89,5,0)</f>
        <v>-1.2710188457276673E-13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443.34220761968419</v>
      </c>
      <c r="T105" s="62">
        <f t="shared" si="88"/>
        <v>546.58234447298014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0.5960008287692582</v>
      </c>
      <c r="AB105" s="23">
        <f>EXP(-LN(2)/2)*AB104+(1-EXP(-LN(2)/2))/(LN(2)/2)*V105*Y105*VLOOKUP('Données projet'!$B$9,Paramètres!$A$1:$I$89,3,0)*0.475*44/12</f>
        <v>4.8579892823547425E-10</v>
      </c>
      <c r="AC105" s="24">
        <f t="shared" si="57"/>
        <v>0.59600082925505715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-1.7053025658242404E-13</v>
      </c>
      <c r="AJ105" s="14">
        <f>AI105*VLOOKUP('Données projet'!$B$10,Paramètres!$A$1:$I$89,3,0)*VLOOKUP('Données projet'!$B$10,Paramètres!$A$1:$I$89,5,0)</f>
        <v>-9.3109520094003535E-14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250.47640551318432</v>
      </c>
      <c r="AO105" s="62">
        <f t="shared" si="90"/>
        <v>361.92681160120975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2.0537242976764003</v>
      </c>
      <c r="AV105" s="23">
        <f>EXP(-LN(2)/25)*AV104+(1-EXP(-LN(2)/25))/(LN(2)/25)*Calculateur!AQ105*Calculateur!AS105*VLOOKUP('Données projet'!$B$10,Paramètres!$A$1:$I$89,3,0)*0.475*44/12</f>
        <v>4.8428396944670995</v>
      </c>
      <c r="AW105" s="23">
        <f>EXP(-LN(2)/2)*AW104+(1-EXP(-LN(2)/2))/(LN(2)/2)*AQ105*AT105*VLOOKUP('Données projet'!$B$10,Paramètres!$A$1:$I$89,3,0)*0.475*44/12</f>
        <v>1.5813240878643152E-13</v>
      </c>
      <c r="AX105" s="23">
        <f t="shared" si="60"/>
        <v>6.8965639921436583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-2.2737367544323206E-13</v>
      </c>
      <c r="O106" s="14">
        <f>N106*VLOOKUP('Données projet'!$B$9,Paramètres!$A$1:$I$89,3,0)*VLOOKUP('Données projet'!$B$9,Paramètres!$A$1:$I$89,5,0)</f>
        <v>-1.2710188457276673E-13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443.34220761968419</v>
      </c>
      <c r="T106" s="62">
        <f t="shared" si="88"/>
        <v>546.58234447298014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0.57970315476424139</v>
      </c>
      <c r="AB106" s="23">
        <f>EXP(-LN(2)/2)*AB105+(1-EXP(-LN(2)/2))/(LN(2)/2)*V106*Y106*VLOOKUP('Données projet'!$B$9,Paramètres!$A$1:$I$89,3,0)*0.475*44/12</f>
        <v>3.435117164484608E-10</v>
      </c>
      <c r="AC106" s="24">
        <f t="shared" si="57"/>
        <v>0.57970315510775305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-1.7053025658242404E-13</v>
      </c>
      <c r="AJ106" s="14">
        <f>AI106*VLOOKUP('Données projet'!$B$10,Paramètres!$A$1:$I$89,3,0)*VLOOKUP('Données projet'!$B$10,Paramètres!$A$1:$I$89,5,0)</f>
        <v>-9.3109520094003535E-14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250.47640551318432</v>
      </c>
      <c r="AO106" s="62">
        <f t="shared" si="90"/>
        <v>361.92681160120975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2.0134520168470988</v>
      </c>
      <c r="AV106" s="23">
        <f>EXP(-LN(2)/25)*AV105+(1-EXP(-LN(2)/25))/(LN(2)/25)*Calculateur!AQ106*Calculateur!AS106*VLOOKUP('Données projet'!$B$10,Paramètres!$A$1:$I$89,3,0)*0.475*44/12</f>
        <v>4.7104119883480253</v>
      </c>
      <c r="AW106" s="23">
        <f>EXP(-LN(2)/2)*AW105+(1-EXP(-LN(2)/2))/(LN(2)/2)*AQ106*AT106*VLOOKUP('Données projet'!$B$10,Paramètres!$A$1:$I$89,3,0)*0.475*44/12</f>
        <v>1.1181649857824892E-13</v>
      </c>
      <c r="AX106" s="23">
        <f t="shared" si="60"/>
        <v>6.7238640051952361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-2.2737367544323206E-13</v>
      </c>
      <c r="O107" s="14">
        <f>N107*VLOOKUP('Données projet'!$B$9,Paramètres!$A$1:$I$89,3,0)*VLOOKUP('Données projet'!$B$9,Paramètres!$A$1:$I$89,5,0)</f>
        <v>-1.2710188457276673E-13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443.34220761968419</v>
      </c>
      <c r="T107" s="62">
        <f t="shared" si="88"/>
        <v>546.58234447298014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0.56385114151194926</v>
      </c>
      <c r="AB107" s="23">
        <f>EXP(-LN(2)/2)*AB106+(1-EXP(-LN(2)/2))/(LN(2)/2)*V107*Y107*VLOOKUP('Données projet'!$B$9,Paramètres!$A$1:$I$89,3,0)*0.475*44/12</f>
        <v>2.4289946411773712E-10</v>
      </c>
      <c r="AC107" s="24">
        <f t="shared" si="57"/>
        <v>0.56385114175484874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-1.7053025658242404E-13</v>
      </c>
      <c r="AJ107" s="14">
        <f>AI107*VLOOKUP('Données projet'!$B$10,Paramètres!$A$1:$I$89,3,0)*VLOOKUP('Données projet'!$B$10,Paramètres!$A$1:$I$89,5,0)</f>
        <v>-9.3109520094003535E-14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250.47640551318432</v>
      </c>
      <c r="AO107" s="62">
        <f t="shared" si="90"/>
        <v>361.92681160120975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1.9739694508811942</v>
      </c>
      <c r="AV107" s="23">
        <f>EXP(-LN(2)/25)*AV106+(1-EXP(-LN(2)/25))/(LN(2)/25)*Calculateur!AQ107*Calculateur!AS107*VLOOKUP('Données projet'!$B$10,Paramètres!$A$1:$I$89,3,0)*0.475*44/12</f>
        <v>4.5816055248168475</v>
      </c>
      <c r="AW107" s="23">
        <f>EXP(-LN(2)/2)*AW106+(1-EXP(-LN(2)/2))/(LN(2)/2)*AQ107*AT107*VLOOKUP('Données projet'!$B$10,Paramètres!$A$1:$I$89,3,0)*0.475*44/12</f>
        <v>7.9066204393215771E-14</v>
      </c>
      <c r="AX107" s="23">
        <f t="shared" si="60"/>
        <v>6.5555749756981205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-2.2737367544323206E-13</v>
      </c>
      <c r="O108" s="14">
        <f>N108*VLOOKUP('Données projet'!$B$9,Paramètres!$A$1:$I$89,3,0)*VLOOKUP('Données projet'!$B$9,Paramètres!$A$1:$I$89,5,0)</f>
        <v>-1.2710188457276673E-13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443.34220761968419</v>
      </c>
      <c r="T108" s="62">
        <f t="shared" si="88"/>
        <v>546.58234447298014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0.54843260239566216</v>
      </c>
      <c r="AB108" s="23">
        <f>EXP(-LN(2)/2)*AB107+(1-EXP(-LN(2)/2))/(LN(2)/2)*V108*Y108*VLOOKUP('Données projet'!$B$9,Paramètres!$A$1:$I$89,3,0)*0.475*44/12</f>
        <v>1.717558582242304E-10</v>
      </c>
      <c r="AC108" s="24">
        <f t="shared" si="57"/>
        <v>0.54843260256741799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-1.7053025658242404E-13</v>
      </c>
      <c r="AJ108" s="14">
        <f>AI108*VLOOKUP('Données projet'!$B$10,Paramètres!$A$1:$I$89,3,0)*VLOOKUP('Données projet'!$B$10,Paramètres!$A$1:$I$89,5,0)</f>
        <v>-9.3109520094003535E-14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250.47640551318432</v>
      </c>
      <c r="AO108" s="62">
        <f t="shared" si="90"/>
        <v>361.92681160120975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1.9352611139518936</v>
      </c>
      <c r="AV108" s="23">
        <f>EXP(-LN(2)/25)*AV107+(1-EXP(-LN(2)/25))/(LN(2)/25)*Calculateur!AQ108*Calculateur!AS108*VLOOKUP('Données projet'!$B$10,Paramètres!$A$1:$I$89,3,0)*0.475*44/12</f>
        <v>4.456321280804568</v>
      </c>
      <c r="AW108" s="23">
        <f>EXP(-LN(2)/2)*AW107+(1-EXP(-LN(2)/2))/(LN(2)/2)*AQ108*AT108*VLOOKUP('Données projet'!$B$10,Paramètres!$A$1:$I$89,3,0)*0.475*44/12</f>
        <v>5.5908249289124468E-14</v>
      </c>
      <c r="AX108" s="23">
        <f t="shared" si="60"/>
        <v>6.3915823947565178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-2.2737367544323206E-13</v>
      </c>
      <c r="O109" s="14">
        <f>N109*VLOOKUP('Données projet'!$B$9,Paramètres!$A$1:$I$89,3,0)*VLOOKUP('Données projet'!$B$9,Paramètres!$A$1:$I$89,5,0)</f>
        <v>-1.2710188457276673E-13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443.34220761968419</v>
      </c>
      <c r="T109" s="62">
        <f t="shared" si="88"/>
        <v>546.58234447298014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0.53343568404233566</v>
      </c>
      <c r="AB109" s="23">
        <f>EXP(-LN(2)/2)*AB108+(1-EXP(-LN(2)/2))/(LN(2)/2)*V109*Y109*VLOOKUP('Données projet'!$B$9,Paramètres!$A$1:$I$89,3,0)*0.475*44/12</f>
        <v>1.2144973205886856E-10</v>
      </c>
      <c r="AC109" s="24">
        <f t="shared" si="57"/>
        <v>0.5334356841637854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-1.7053025658242404E-13</v>
      </c>
      <c r="AJ109" s="14">
        <f>AI109*VLOOKUP('Données projet'!$B$10,Paramètres!$A$1:$I$89,3,0)*VLOOKUP('Données projet'!$B$10,Paramètres!$A$1:$I$89,5,0)</f>
        <v>-9.3109520094003535E-14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250.47640551318432</v>
      </c>
      <c r="AO109" s="62">
        <f t="shared" si="90"/>
        <v>361.92681160120975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1.8973118239000224</v>
      </c>
      <c r="AV109" s="23">
        <f>EXP(-LN(2)/25)*AV108+(1-EXP(-LN(2)/25))/(LN(2)/25)*Calculateur!AQ109*Calculateur!AS109*VLOOKUP('Données projet'!$B$10,Paramètres!$A$1:$I$89,3,0)*0.475*44/12</f>
        <v>4.3344629410332161</v>
      </c>
      <c r="AW109" s="23">
        <f>EXP(-LN(2)/2)*AW108+(1-EXP(-LN(2)/2))/(LN(2)/2)*AQ109*AT109*VLOOKUP('Données projet'!$B$10,Paramètres!$A$1:$I$89,3,0)*0.475*44/12</f>
        <v>3.9533102196607892E-14</v>
      </c>
      <c r="AX109" s="23">
        <f t="shared" si="60"/>
        <v>6.2317747649332782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-2.2737367544323206E-13</v>
      </c>
      <c r="O110" s="14">
        <f>N110*VLOOKUP('Données projet'!$B$9,Paramètres!$A$1:$I$89,3,0)*VLOOKUP('Données projet'!$B$9,Paramètres!$A$1:$I$89,5,0)</f>
        <v>-1.2710188457276673E-13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443.34220761968419</v>
      </c>
      <c r="T110" s="62">
        <f t="shared" si="88"/>
        <v>546.58234447298014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0.5188488572100346</v>
      </c>
      <c r="AB110" s="23">
        <f>EXP(-LN(2)/2)*AB109+(1-EXP(-LN(2)/2))/(LN(2)/2)*V110*Y110*VLOOKUP('Données projet'!$B$9,Paramètres!$A$1:$I$89,3,0)*0.475*44/12</f>
        <v>8.5877929112115199E-11</v>
      </c>
      <c r="AC110" s="24">
        <f t="shared" si="57"/>
        <v>0.51884885729591257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-1.7053025658242404E-13</v>
      </c>
      <c r="AJ110" s="14">
        <f>AI110*VLOOKUP('Données projet'!$B$10,Paramètres!$A$1:$I$89,3,0)*VLOOKUP('Données projet'!$B$10,Paramètres!$A$1:$I$89,5,0)</f>
        <v>-9.3109520094003535E-14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250.47640551318432</v>
      </c>
      <c r="AO110" s="62">
        <f t="shared" si="90"/>
        <v>361.92681160120975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1.8601066962792869</v>
      </c>
      <c r="AV110" s="23">
        <f>EXP(-LN(2)/25)*AV109+(1-EXP(-LN(2)/25))/(LN(2)/25)*Calculateur!AQ110*Calculateur!AS110*VLOOKUP('Données projet'!$B$10,Paramètres!$A$1:$I$89,3,0)*0.475*44/12</f>
        <v>4.2159368239711634</v>
      </c>
      <c r="AW110" s="23">
        <f>EXP(-LN(2)/2)*AW109+(1-EXP(-LN(2)/2))/(LN(2)/2)*AQ110*AT110*VLOOKUP('Données projet'!$B$10,Paramètres!$A$1:$I$89,3,0)*0.475*44/12</f>
        <v>2.795412464456224E-14</v>
      </c>
      <c r="AX110" s="23">
        <f t="shared" si="60"/>
        <v>6.0760435202504777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-2.2737367544323206E-13</v>
      </c>
      <c r="O111" s="14">
        <f>N111*VLOOKUP('Données projet'!$B$9,Paramètres!$A$1:$I$89,3,0)*VLOOKUP('Données projet'!$B$9,Paramètres!$A$1:$I$89,5,0)</f>
        <v>-1.2710188457276673E-13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443.34220761968419</v>
      </c>
      <c r="T111" s="62">
        <f t="shared" si="88"/>
        <v>546.58234447298014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0.50466090792455065</v>
      </c>
      <c r="AB111" s="23">
        <f>EXP(-LN(2)/2)*AB110+(1-EXP(-LN(2)/2))/(LN(2)/2)*V111*Y111*VLOOKUP('Données projet'!$B$9,Paramètres!$A$1:$I$89,3,0)*0.475*44/12</f>
        <v>6.0724866029434281E-11</v>
      </c>
      <c r="AC111" s="24">
        <f t="shared" si="57"/>
        <v>0.50466090798527552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-1.7053025658242404E-13</v>
      </c>
      <c r="AJ111" s="14">
        <f>AI111*VLOOKUP('Données projet'!$B$10,Paramètres!$A$1:$I$89,3,0)*VLOOKUP('Données projet'!$B$10,Paramètres!$A$1:$I$89,5,0)</f>
        <v>-9.3109520094003535E-14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250.47640551318432</v>
      </c>
      <c r="AO111" s="62">
        <f t="shared" si="90"/>
        <v>361.92681160120975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1.823631138518307</v>
      </c>
      <c r="AV111" s="23">
        <f>EXP(-LN(2)/25)*AV110+(1-EXP(-LN(2)/25))/(LN(2)/25)*Calculateur!AQ111*Calculateur!AS111*VLOOKUP('Données projet'!$B$10,Paramètres!$A$1:$I$89,3,0)*0.475*44/12</f>
        <v>4.1006518098131899</v>
      </c>
      <c r="AW111" s="23">
        <f>EXP(-LN(2)/2)*AW110+(1-EXP(-LN(2)/2))/(LN(2)/2)*AQ111*AT111*VLOOKUP('Données projet'!$B$10,Paramètres!$A$1:$I$89,3,0)*0.475*44/12</f>
        <v>1.9766551098303949E-14</v>
      </c>
      <c r="AX111" s="23">
        <f t="shared" si="60"/>
        <v>5.9242829483315163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-2.2737367544323206E-13</v>
      </c>
      <c r="O112" s="14">
        <f>N112*VLOOKUP('Données projet'!$B$9,Paramètres!$A$1:$I$89,3,0)*VLOOKUP('Données projet'!$B$9,Paramètres!$A$1:$I$89,5,0)</f>
        <v>-1.2710188457276673E-13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443.34220761968419</v>
      </c>
      <c r="T112" s="62">
        <f t="shared" si="88"/>
        <v>546.58234447298014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0.49086092885839006</v>
      </c>
      <c r="AB112" s="23">
        <f>EXP(-LN(2)/2)*AB111+(1-EXP(-LN(2)/2))/(LN(2)/2)*V112*Y112*VLOOKUP('Données projet'!$B$9,Paramètres!$A$1:$I$89,3,0)*0.475*44/12</f>
        <v>4.29389645560576E-11</v>
      </c>
      <c r="AC112" s="24">
        <f t="shared" si="57"/>
        <v>0.49086092890132904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-1.7053025658242404E-13</v>
      </c>
      <c r="AJ112" s="14">
        <f>AI112*VLOOKUP('Données projet'!$B$10,Paramètres!$A$1:$I$89,3,0)*VLOOKUP('Données projet'!$B$10,Paramètres!$A$1:$I$89,5,0)</f>
        <v>-9.3109520094003535E-14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250.47640551318432</v>
      </c>
      <c r="AO112" s="62">
        <f t="shared" si="90"/>
        <v>361.92681160120975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1.7878708441971265</v>
      </c>
      <c r="AV112" s="23">
        <f>EXP(-LN(2)/25)*AV111+(1-EXP(-LN(2)/25))/(LN(2)/25)*Calculateur!AQ112*Calculateur!AS112*VLOOKUP('Données projet'!$B$10,Paramètres!$A$1:$I$89,3,0)*0.475*44/12</f>
        <v>3.9885192704299417</v>
      </c>
      <c r="AW112" s="23">
        <f>EXP(-LN(2)/2)*AW111+(1-EXP(-LN(2)/2))/(LN(2)/2)*AQ112*AT112*VLOOKUP('Données projet'!$B$10,Paramètres!$A$1:$I$89,3,0)*0.475*44/12</f>
        <v>1.3977062322281122E-14</v>
      </c>
      <c r="AX112" s="23">
        <f t="shared" si="60"/>
        <v>5.7763901146270822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-2.2737367544323206E-13</v>
      </c>
      <c r="O113" s="14">
        <f>N113*VLOOKUP('Données projet'!$B$9,Paramètres!$A$1:$I$89,3,0)*VLOOKUP('Données projet'!$B$9,Paramètres!$A$1:$I$89,5,0)</f>
        <v>-1.2710188457276673E-13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443.34220761968419</v>
      </c>
      <c r="T113" s="62">
        <f t="shared" si="88"/>
        <v>546.58234447298014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0.47743831094550299</v>
      </c>
      <c r="AB113" s="23">
        <f>EXP(-LN(2)/2)*AB112+(1-EXP(-LN(2)/2))/(LN(2)/2)*V113*Y113*VLOOKUP('Données projet'!$B$9,Paramètres!$A$1:$I$89,3,0)*0.475*44/12</f>
        <v>3.0362433014717141E-11</v>
      </c>
      <c r="AC113" s="24">
        <f t="shared" si="57"/>
        <v>0.47743831097586542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-1.7053025658242404E-13</v>
      </c>
      <c r="AJ113" s="14">
        <f>AI113*VLOOKUP('Données projet'!$B$10,Paramètres!$A$1:$I$89,3,0)*VLOOKUP('Données projet'!$B$10,Paramètres!$A$1:$I$89,5,0)</f>
        <v>-9.3109520094003535E-14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250.47640551318432</v>
      </c>
      <c r="AO113" s="62">
        <f t="shared" si="90"/>
        <v>361.92681160120975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1.7528117874359586</v>
      </c>
      <c r="AV113" s="23">
        <f>EXP(-LN(2)/25)*AV112+(1-EXP(-LN(2)/25))/(LN(2)/25)*Calculateur!AQ113*Calculateur!AS113*VLOOKUP('Données projet'!$B$10,Paramètres!$A$1:$I$89,3,0)*0.475*44/12</f>
        <v>3.8794530012329225</v>
      </c>
      <c r="AW113" s="23">
        <f>EXP(-LN(2)/2)*AW112+(1-EXP(-LN(2)/2))/(LN(2)/2)*AQ113*AT113*VLOOKUP('Données projet'!$B$10,Paramètres!$A$1:$I$89,3,0)*0.475*44/12</f>
        <v>9.8832755491519761E-15</v>
      </c>
      <c r="AX113" s="23">
        <f t="shared" si="60"/>
        <v>5.6322647886688904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-2.2737367544323206E-13</v>
      </c>
      <c r="O114" s="14">
        <f>N114*VLOOKUP('Données projet'!$B$9,Paramètres!$A$1:$I$89,3,0)*VLOOKUP('Données projet'!$B$9,Paramètres!$A$1:$I$89,5,0)</f>
        <v>-1.2710188457276673E-13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443.34220761968419</v>
      </c>
      <c r="T114" s="62">
        <f t="shared" si="88"/>
        <v>546.58234447298014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0.46438273522530865</v>
      </c>
      <c r="AB114" s="23">
        <f>EXP(-LN(2)/2)*AB113+(1-EXP(-LN(2)/2))/(LN(2)/2)*V114*Y114*VLOOKUP('Données projet'!$B$9,Paramètres!$A$1:$I$89,3,0)*0.475*44/12</f>
        <v>2.14694822780288E-11</v>
      </c>
      <c r="AC114" s="24">
        <f t="shared" si="57"/>
        <v>0.46438273524677814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-1.7053025658242404E-13</v>
      </c>
      <c r="AJ114" s="14">
        <f>AI114*VLOOKUP('Données projet'!$B$10,Paramètres!$A$1:$I$89,3,0)*VLOOKUP('Données projet'!$B$10,Paramètres!$A$1:$I$89,5,0)</f>
        <v>-9.3109520094003535E-14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250.47640551318432</v>
      </c>
      <c r="AO114" s="62">
        <f t="shared" si="90"/>
        <v>361.92681160120975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1.7184402173939639</v>
      </c>
      <c r="AV114" s="23">
        <f>EXP(-LN(2)/25)*AV113+(1-EXP(-LN(2)/25))/(LN(2)/25)*Calculateur!AQ114*Calculateur!AS114*VLOOKUP('Données projet'!$B$10,Paramètres!$A$1:$I$89,3,0)*0.475*44/12</f>
        <v>3.7733691549026416</v>
      </c>
      <c r="AW114" s="23">
        <f>EXP(-LN(2)/2)*AW113+(1-EXP(-LN(2)/2))/(LN(2)/2)*AQ114*AT114*VLOOKUP('Données projet'!$B$10,Paramètres!$A$1:$I$89,3,0)*0.475*44/12</f>
        <v>6.9885311611405625E-15</v>
      </c>
      <c r="AX114" s="23">
        <f t="shared" si="60"/>
        <v>5.491809372296613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-2.2737367544323206E-13</v>
      </c>
      <c r="O115" s="14">
        <f>N115*VLOOKUP('Données projet'!$B$9,Paramètres!$A$1:$I$89,3,0)*VLOOKUP('Données projet'!$B$9,Paramètres!$A$1:$I$89,5,0)</f>
        <v>-1.2710188457276673E-13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443.34220761968419</v>
      </c>
      <c r="T115" s="62">
        <f t="shared" si="88"/>
        <v>546.58234447298014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0.45168416490974589</v>
      </c>
      <c r="AB115" s="23">
        <f>EXP(-LN(2)/2)*AB114+(1-EXP(-LN(2)/2))/(LN(2)/2)*V115*Y115*VLOOKUP('Données projet'!$B$9,Paramètres!$A$1:$I$89,3,0)*0.475*44/12</f>
        <v>1.518121650735857E-11</v>
      </c>
      <c r="AC115" s="24">
        <f t="shared" si="57"/>
        <v>0.45168416492492708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-1.7053025658242404E-13</v>
      </c>
      <c r="AJ115" s="14">
        <f>AI115*VLOOKUP('Données projet'!$B$10,Paramètres!$A$1:$I$89,3,0)*VLOOKUP('Données projet'!$B$10,Paramètres!$A$1:$I$89,5,0)</f>
        <v>-9.3109520094003535E-14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250.47640551318432</v>
      </c>
      <c r="AO115" s="62">
        <f t="shared" si="90"/>
        <v>361.92681160120975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1.6847426528759051</v>
      </c>
      <c r="AV115" s="23">
        <f>EXP(-LN(2)/25)*AV114+(1-EXP(-LN(2)/25))/(LN(2)/25)*Calculateur!AQ115*Calculateur!AS115*VLOOKUP('Données projet'!$B$10,Paramètres!$A$1:$I$89,3,0)*0.475*44/12</f>
        <v>3.670186176928969</v>
      </c>
      <c r="AW115" s="23">
        <f>EXP(-LN(2)/2)*AW114+(1-EXP(-LN(2)/2))/(LN(2)/2)*AQ115*AT115*VLOOKUP('Données projet'!$B$10,Paramètres!$A$1:$I$89,3,0)*0.475*44/12</f>
        <v>4.9416377745759888E-15</v>
      </c>
      <c r="AX115" s="23">
        <f t="shared" si="60"/>
        <v>5.3549288298048792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-2.2737367544323206E-13</v>
      </c>
      <c r="O116" s="14">
        <f>N116*VLOOKUP('Données projet'!$B$9,Paramètres!$A$1:$I$89,3,0)*VLOOKUP('Données projet'!$B$9,Paramètres!$A$1:$I$89,5,0)</f>
        <v>-1.2710188457276673E-13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443.34220761968419</v>
      </c>
      <c r="T116" s="62">
        <f t="shared" si="88"/>
        <v>546.58234447298014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0.43933283766725101</v>
      </c>
      <c r="AB116" s="23">
        <f>EXP(-LN(2)/2)*AB115+(1-EXP(-LN(2)/2))/(LN(2)/2)*V116*Y116*VLOOKUP('Données projet'!$B$9,Paramètres!$A$1:$I$89,3,0)*0.475*44/12</f>
        <v>1.07347411390144E-11</v>
      </c>
      <c r="AC116" s="24">
        <f t="shared" si="57"/>
        <v>0.43933283767798575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-1.7053025658242404E-13</v>
      </c>
      <c r="AJ116" s="14">
        <f>AI116*VLOOKUP('Données projet'!$B$10,Paramètres!$A$1:$I$89,3,0)*VLOOKUP('Données projet'!$B$10,Paramètres!$A$1:$I$89,5,0)</f>
        <v>-9.3109520094003535E-14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250.47640551318432</v>
      </c>
      <c r="AO116" s="62">
        <f t="shared" si="90"/>
        <v>361.92681160120975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1.6517058770445605</v>
      </c>
      <c r="AV116" s="23">
        <f>EXP(-LN(2)/25)*AV115+(1-EXP(-LN(2)/25))/(LN(2)/25)*Calculateur!AQ116*Calculateur!AS116*VLOOKUP('Données projet'!$B$10,Paramètres!$A$1:$I$89,3,0)*0.475*44/12</f>
        <v>3.5698247429141436</v>
      </c>
      <c r="AW116" s="23">
        <f>EXP(-LN(2)/2)*AW115+(1-EXP(-LN(2)/2))/(LN(2)/2)*AQ116*AT116*VLOOKUP('Données projet'!$B$10,Paramètres!$A$1:$I$89,3,0)*0.475*44/12</f>
        <v>3.4942655805702816E-15</v>
      </c>
      <c r="AX116" s="23">
        <f t="shared" si="60"/>
        <v>5.2215306199587079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-2.2737367544323206E-13</v>
      </c>
      <c r="O117" s="14">
        <f>N117*VLOOKUP('Données projet'!$B$9,Paramètres!$A$1:$I$89,3,0)*VLOOKUP('Données projet'!$B$9,Paramètres!$A$1:$I$89,5,0)</f>
        <v>-1.2710188457276673E-13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443.34220761968419</v>
      </c>
      <c r="T117" s="62">
        <f t="shared" si="88"/>
        <v>546.58234447298014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0.42731925811773019</v>
      </c>
      <c r="AB117" s="23">
        <f>EXP(-LN(2)/2)*AB116+(1-EXP(-LN(2)/2))/(LN(2)/2)*V117*Y117*VLOOKUP('Données projet'!$B$9,Paramètres!$A$1:$I$89,3,0)*0.475*44/12</f>
        <v>7.5906082536792851E-12</v>
      </c>
      <c r="AC117" s="24">
        <f t="shared" si="57"/>
        <v>0.42731925812532079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-1.7053025658242404E-13</v>
      </c>
      <c r="AJ117" s="14">
        <f>AI117*VLOOKUP('Données projet'!$B$10,Paramètres!$A$1:$I$89,3,0)*VLOOKUP('Données projet'!$B$10,Paramètres!$A$1:$I$89,5,0)</f>
        <v>-9.3109520094003535E-14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250.47640551318432</v>
      </c>
      <c r="AO117" s="62">
        <f t="shared" si="90"/>
        <v>361.92681160120975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1.619316932236825</v>
      </c>
      <c r="AV117" s="23">
        <f>EXP(-LN(2)/25)*AV116+(1-EXP(-LN(2)/25))/(LN(2)/25)*Calculateur!AQ117*Calculateur!AS117*VLOOKUP('Données projet'!$B$10,Paramètres!$A$1:$I$89,3,0)*0.475*44/12</f>
        <v>3.4722076975902323</v>
      </c>
      <c r="AW117" s="23">
        <f>EXP(-LN(2)/2)*AW116+(1-EXP(-LN(2)/2))/(LN(2)/2)*AQ117*AT117*VLOOKUP('Données projet'!$B$10,Paramètres!$A$1:$I$89,3,0)*0.475*44/12</f>
        <v>2.4708188872879948E-15</v>
      </c>
      <c r="AX117" s="23">
        <f t="shared" si="60"/>
        <v>5.0915246298270604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-2.2737367544323206E-13</v>
      </c>
      <c r="O118" s="14">
        <f>N118*VLOOKUP('Données projet'!$B$9,Paramètres!$A$1:$I$89,3,0)*VLOOKUP('Données projet'!$B$9,Paramètres!$A$1:$I$89,5,0)</f>
        <v>-1.2710188457276673E-13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443.34220761968419</v>
      </c>
      <c r="T118" s="62">
        <f t="shared" si="88"/>
        <v>546.58234447298014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0.41563419053275774</v>
      </c>
      <c r="AB118" s="23">
        <f>EXP(-LN(2)/2)*AB117+(1-EXP(-LN(2)/2))/(LN(2)/2)*V118*Y118*VLOOKUP('Données projet'!$B$9,Paramètres!$A$1:$I$89,3,0)*0.475*44/12</f>
        <v>5.3673705695071999E-12</v>
      </c>
      <c r="AC118" s="24">
        <f t="shared" si="57"/>
        <v>0.41563419053812511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-1.7053025658242404E-13</v>
      </c>
      <c r="AJ118" s="14">
        <f>AI118*VLOOKUP('Données projet'!$B$10,Paramètres!$A$1:$I$89,3,0)*VLOOKUP('Données projet'!$B$10,Paramètres!$A$1:$I$89,5,0)</f>
        <v>-9.3109520094003535E-14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250.47640551318432</v>
      </c>
      <c r="AO118" s="62">
        <f t="shared" si="90"/>
        <v>361.92681160120975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1.5875631148814637</v>
      </c>
      <c r="AV118" s="23">
        <f>EXP(-LN(2)/25)*AV117+(1-EXP(-LN(2)/25))/(LN(2)/25)*Calculateur!AQ118*Calculateur!AS118*VLOOKUP('Données projet'!$B$10,Paramètres!$A$1:$I$89,3,0)*0.475*44/12</f>
        <v>3.3772599955041605</v>
      </c>
      <c r="AW118" s="23">
        <f>EXP(-LN(2)/2)*AW117+(1-EXP(-LN(2)/2))/(LN(2)/2)*AQ118*AT118*VLOOKUP('Données projet'!$B$10,Paramètres!$A$1:$I$89,3,0)*0.475*44/12</f>
        <v>1.747132790285141E-15</v>
      </c>
      <c r="AX118" s="23">
        <f t="shared" si="60"/>
        <v>4.964823110385626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-2.2737367544323206E-13</v>
      </c>
      <c r="O119" s="14">
        <f>N119*VLOOKUP('Données projet'!$B$9,Paramètres!$A$1:$I$89,3,0)*VLOOKUP('Données projet'!$B$9,Paramètres!$A$1:$I$89,5,0)</f>
        <v>-1.2710188457276673E-13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443.34220761968419</v>
      </c>
      <c r="T119" s="62">
        <f t="shared" si="88"/>
        <v>546.58234447298014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0.40426865173538734</v>
      </c>
      <c r="AB119" s="23">
        <f>EXP(-LN(2)/2)*AB118+(1-EXP(-LN(2)/2))/(LN(2)/2)*V119*Y119*VLOOKUP('Données projet'!$B$9,Paramètres!$A$1:$I$89,3,0)*0.475*44/12</f>
        <v>3.7953041268396426E-12</v>
      </c>
      <c r="AC119" s="24">
        <f t="shared" si="57"/>
        <v>0.40426865173918264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-1.7053025658242404E-13</v>
      </c>
      <c r="AJ119" s="14">
        <f>AI119*VLOOKUP('Données projet'!$B$10,Paramètres!$A$1:$I$89,3,0)*VLOOKUP('Données projet'!$B$10,Paramètres!$A$1:$I$89,5,0)</f>
        <v>-9.3109520094003535E-14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250.47640551318432</v>
      </c>
      <c r="AO119" s="62">
        <f t="shared" si="90"/>
        <v>361.92681160120975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1.5564319705165248</v>
      </c>
      <c r="AV119" s="23">
        <f>EXP(-LN(2)/25)*AV118+(1-EXP(-LN(2)/25))/(LN(2)/25)*Calculateur!AQ119*Calculateur!AS119*VLOOKUP('Données projet'!$B$10,Paramètres!$A$1:$I$89,3,0)*0.475*44/12</f>
        <v>3.284908643324715</v>
      </c>
      <c r="AW119" s="23">
        <f>EXP(-LN(2)/2)*AW118+(1-EXP(-LN(2)/2))/(LN(2)/2)*AQ119*AT119*VLOOKUP('Données projet'!$B$10,Paramètres!$A$1:$I$89,3,0)*0.475*44/12</f>
        <v>1.2354094436439976E-15</v>
      </c>
      <c r="AX119" s="23">
        <f t="shared" si="60"/>
        <v>4.8413406138412407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-2.2737367544323206E-13</v>
      </c>
      <c r="O120" s="14">
        <f>N120*VLOOKUP('Données projet'!$B$9,Paramètres!$A$1:$I$89,3,0)*VLOOKUP('Données projet'!$B$9,Paramètres!$A$1:$I$89,5,0)</f>
        <v>-1.2710188457276673E-13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443.34220761968419</v>
      </c>
      <c r="T120" s="62">
        <f t="shared" si="88"/>
        <v>546.58234447298014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0.39321390419411872</v>
      </c>
      <c r="AB120" s="23">
        <f>EXP(-LN(2)/2)*AB119+(1-EXP(-LN(2)/2))/(LN(2)/2)*V120*Y120*VLOOKUP('Données projet'!$B$9,Paramètres!$A$1:$I$89,3,0)*0.475*44/12</f>
        <v>2.6836852847536E-12</v>
      </c>
      <c r="AC120" s="24">
        <f t="shared" si="57"/>
        <v>0.39321390419680241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-1.7053025658242404E-13</v>
      </c>
      <c r="AJ120" s="14">
        <f>AI120*VLOOKUP('Données projet'!$B$10,Paramètres!$A$1:$I$89,3,0)*VLOOKUP('Données projet'!$B$10,Paramètres!$A$1:$I$89,5,0)</f>
        <v>-9.3109520094003535E-14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250.47640551318432</v>
      </c>
      <c r="AO120" s="62">
        <f t="shared" si="90"/>
        <v>361.92681160120975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1.5259112889044593</v>
      </c>
      <c r="AV120" s="23">
        <f>EXP(-LN(2)/25)*AV119+(1-EXP(-LN(2)/25))/(LN(2)/25)*Calculateur!AQ120*Calculateur!AS120*VLOOKUP('Données projet'!$B$10,Paramètres!$A$1:$I$89,3,0)*0.475*44/12</f>
        <v>3.1950826437271629</v>
      </c>
      <c r="AW120" s="23">
        <f>EXP(-LN(2)/2)*AW119+(1-EXP(-LN(2)/2))/(LN(2)/2)*AQ120*AT120*VLOOKUP('Données projet'!$B$10,Paramètres!$A$1:$I$89,3,0)*0.475*44/12</f>
        <v>8.735663951425707E-16</v>
      </c>
      <c r="AX120" s="23">
        <f t="shared" si="60"/>
        <v>4.7209939326316226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-2.2737367544323206E-13</v>
      </c>
      <c r="O121" s="14">
        <f>N121*VLOOKUP('Données projet'!$B$9,Paramètres!$A$1:$I$89,3,0)*VLOOKUP('Données projet'!$B$9,Paramètres!$A$1:$I$89,5,0)</f>
        <v>-1.2710188457276673E-13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443.34220761968419</v>
      </c>
      <c r="T121" s="62">
        <f t="shared" si="88"/>
        <v>546.58234447298014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0.38246144930571002</v>
      </c>
      <c r="AB121" s="23">
        <f>EXP(-LN(2)/2)*AB120+(1-EXP(-LN(2)/2))/(LN(2)/2)*V121*Y121*VLOOKUP('Données projet'!$B$9,Paramètres!$A$1:$I$89,3,0)*0.475*44/12</f>
        <v>1.8976520634198213E-12</v>
      </c>
      <c r="AC121" s="24">
        <f t="shared" si="57"/>
        <v>0.38246144930760767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-1.7053025658242404E-13</v>
      </c>
      <c r="AJ121" s="14">
        <f>AI121*VLOOKUP('Données projet'!$B$10,Paramètres!$A$1:$I$89,3,0)*VLOOKUP('Données projet'!$B$10,Paramètres!$A$1:$I$89,5,0)</f>
        <v>-9.3109520094003535E-14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250.47640551318432</v>
      </c>
      <c r="AO121" s="62">
        <f t="shared" si="90"/>
        <v>361.92681160120975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1.4959890992430287</v>
      </c>
      <c r="AV121" s="23">
        <f>EXP(-LN(2)/25)*AV120+(1-EXP(-LN(2)/25))/(LN(2)/25)*Calculateur!AQ121*Calculateur!AS121*VLOOKUP('Données projet'!$B$10,Paramètres!$A$1:$I$89,3,0)*0.475*44/12</f>
        <v>3.1077129408123501</v>
      </c>
      <c r="AW121" s="23">
        <f>EXP(-LN(2)/2)*AW120+(1-EXP(-LN(2)/2))/(LN(2)/2)*AQ121*AT121*VLOOKUP('Données projet'!$B$10,Paramètres!$A$1:$I$89,3,0)*0.475*44/12</f>
        <v>6.177047218219989E-16</v>
      </c>
      <c r="AX121" s="23">
        <f t="shared" si="60"/>
        <v>4.6037020400553796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-2.2737367544323206E-13</v>
      </c>
      <c r="O122" s="14">
        <f>N122*VLOOKUP('Données projet'!$B$9,Paramètres!$A$1:$I$89,3,0)*VLOOKUP('Données projet'!$B$9,Paramètres!$A$1:$I$89,5,0)</f>
        <v>-1.2710188457276673E-13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443.34220761968419</v>
      </c>
      <c r="T122" s="62">
        <f t="shared" si="88"/>
        <v>546.58234447298014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0.37200302086167186</v>
      </c>
      <c r="AB122" s="23">
        <f>EXP(-LN(2)/2)*AB121+(1-EXP(-LN(2)/2))/(LN(2)/2)*V122*Y122*VLOOKUP('Données projet'!$B$9,Paramètres!$A$1:$I$89,3,0)*0.475*44/12</f>
        <v>1.3418426423768E-12</v>
      </c>
      <c r="AC122" s="24">
        <f t="shared" si="57"/>
        <v>0.37200302086301368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-1.7053025658242404E-13</v>
      </c>
      <c r="AJ122" s="14">
        <f>AI122*VLOOKUP('Données projet'!$B$10,Paramètres!$A$1:$I$89,3,0)*VLOOKUP('Données projet'!$B$10,Paramètres!$A$1:$I$89,5,0)</f>
        <v>-9.3109520094003535E-14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250.47640551318432</v>
      </c>
      <c r="AO122" s="62">
        <f t="shared" si="90"/>
        <v>361.92681160120975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1.4666536654701252</v>
      </c>
      <c r="AV122" s="23">
        <f>EXP(-LN(2)/25)*AV121+(1-EXP(-LN(2)/25))/(LN(2)/25)*Calculateur!AQ122*Calculateur!AS122*VLOOKUP('Données projet'!$B$10,Paramètres!$A$1:$I$89,3,0)*0.475*44/12</f>
        <v>3.0227323670183157</v>
      </c>
      <c r="AW122" s="23">
        <f>EXP(-LN(2)/2)*AW121+(1-EXP(-LN(2)/2))/(LN(2)/2)*AQ122*AT122*VLOOKUP('Données projet'!$B$10,Paramètres!$A$1:$I$89,3,0)*0.475*44/12</f>
        <v>4.367831975712854E-16</v>
      </c>
      <c r="AX122" s="23">
        <f t="shared" si="60"/>
        <v>4.4893860324884409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-2.2737367544323206E-13</v>
      </c>
      <c r="O123" s="14">
        <f>N123*VLOOKUP('Données projet'!$B$9,Paramètres!$A$1:$I$89,3,0)*VLOOKUP('Données projet'!$B$9,Paramètres!$A$1:$I$89,5,0)</f>
        <v>-1.2710188457276673E-13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443.34220761968419</v>
      </c>
      <c r="T123" s="62">
        <f t="shared" si="88"/>
        <v>546.58234447298014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0.36183057869342078</v>
      </c>
      <c r="AB123" s="23">
        <f>EXP(-LN(2)/2)*AB122+(1-EXP(-LN(2)/2))/(LN(2)/2)*V123*Y123*VLOOKUP('Données projet'!$B$9,Paramètres!$A$1:$I$89,3,0)*0.475*44/12</f>
        <v>9.4882603170991064E-13</v>
      </c>
      <c r="AC123" s="24">
        <f t="shared" si="57"/>
        <v>0.36183057869436963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-1.7053025658242404E-13</v>
      </c>
      <c r="AJ123" s="14">
        <f>AI123*VLOOKUP('Données projet'!$B$10,Paramètres!$A$1:$I$89,3,0)*VLOOKUP('Données projet'!$B$10,Paramètres!$A$1:$I$89,5,0)</f>
        <v>-9.3109520094003535E-14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250.47640551318432</v>
      </c>
      <c r="AO123" s="62">
        <f t="shared" si="90"/>
        <v>361.92681160120975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1.4378934816606606</v>
      </c>
      <c r="AV123" s="23">
        <f>EXP(-LN(2)/25)*AV122+(1-EXP(-LN(2)/25))/(LN(2)/25)*Calculateur!AQ123*Calculateur!AS123*VLOOKUP('Données projet'!$B$10,Paramètres!$A$1:$I$89,3,0)*0.475*44/12</f>
        <v>2.9400755914836134</v>
      </c>
      <c r="AW123" s="23">
        <f>EXP(-LN(2)/2)*AW122+(1-EXP(-LN(2)/2))/(LN(2)/2)*AQ123*AT123*VLOOKUP('Données projet'!$B$10,Paramètres!$A$1:$I$89,3,0)*0.475*44/12</f>
        <v>3.088523609109995E-16</v>
      </c>
      <c r="AX123" s="23">
        <f t="shared" si="60"/>
        <v>4.377969073144274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-2.2737367544323206E-13</v>
      </c>
      <c r="O124" s="14">
        <f>N124*VLOOKUP('Données projet'!$B$9,Paramètres!$A$1:$I$89,3,0)*VLOOKUP('Données projet'!$B$9,Paramètres!$A$1:$I$89,5,0)</f>
        <v>-1.2710188457276673E-13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443.34220761968419</v>
      </c>
      <c r="T124" s="62">
        <f t="shared" si="88"/>
        <v>546.58234447298014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0.35193630249120605</v>
      </c>
      <c r="AB124" s="23">
        <f>EXP(-LN(2)/2)*AB123+(1-EXP(-LN(2)/2))/(LN(2)/2)*V124*Y124*VLOOKUP('Données projet'!$B$9,Paramètres!$A$1:$I$89,3,0)*0.475*44/12</f>
        <v>6.7092132118839999E-13</v>
      </c>
      <c r="AC124" s="24">
        <f t="shared" si="57"/>
        <v>0.35193630249187696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-1.7053025658242404E-13</v>
      </c>
      <c r="AJ124" s="14">
        <f>AI124*VLOOKUP('Données projet'!$B$10,Paramètres!$A$1:$I$89,3,0)*VLOOKUP('Données projet'!$B$10,Paramètres!$A$1:$I$89,5,0)</f>
        <v>-9.3109520094003535E-14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250.47640551318432</v>
      </c>
      <c r="AO124" s="62">
        <f t="shared" si="90"/>
        <v>361.92681160120975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1.4096972675137194</v>
      </c>
      <c r="AV124" s="23">
        <f>EXP(-LN(2)/25)*AV123+(1-EXP(-LN(2)/25))/(LN(2)/25)*Calculateur!AQ124*Calculateur!AS124*VLOOKUP('Données projet'!$B$10,Paramètres!$A$1:$I$89,3,0)*0.475*44/12</f>
        <v>2.8596790698226382</v>
      </c>
      <c r="AW124" s="23">
        <f>EXP(-LN(2)/2)*AW123+(1-EXP(-LN(2)/2))/(LN(2)/2)*AQ124*AT124*VLOOKUP('Données projet'!$B$10,Paramètres!$A$1:$I$89,3,0)*0.475*44/12</f>
        <v>2.1839159878564275E-16</v>
      </c>
      <c r="AX124" s="23">
        <f t="shared" si="60"/>
        <v>4.2693763373363574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-2.2737367544323206E-13</v>
      </c>
      <c r="O125" s="14">
        <f>N125*VLOOKUP('Données projet'!$B$9,Paramètres!$A$1:$I$89,3,0)*VLOOKUP('Données projet'!$B$9,Paramètres!$A$1:$I$89,5,0)</f>
        <v>-1.2710188457276673E-13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443.34220761968419</v>
      </c>
      <c r="T125" s="62">
        <f t="shared" si="88"/>
        <v>546.58234447298014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0.34231258579205825</v>
      </c>
      <c r="AB125" s="23">
        <f>EXP(-LN(2)/2)*AB124+(1-EXP(-LN(2)/2))/(LN(2)/2)*V125*Y125*VLOOKUP('Données projet'!$B$9,Paramètres!$A$1:$I$89,3,0)*0.475*44/12</f>
        <v>4.7441301585495532E-13</v>
      </c>
      <c r="AC125" s="24">
        <f t="shared" si="57"/>
        <v>0.34231258579253265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-1.7053025658242404E-13</v>
      </c>
      <c r="AJ125" s="14">
        <f>AI125*VLOOKUP('Données projet'!$B$10,Paramètres!$A$1:$I$89,3,0)*VLOOKUP('Données projet'!$B$10,Paramètres!$A$1:$I$89,5,0)</f>
        <v>-9.3109520094003535E-14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250.47640551318432</v>
      </c>
      <c r="AO125" s="62">
        <f t="shared" si="90"/>
        <v>361.92681160120975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1.3820539639282072</v>
      </c>
      <c r="AV125" s="23">
        <f>EXP(-LN(2)/25)*AV124+(1-EXP(-LN(2)/25))/(LN(2)/25)*Calculateur!AQ125*Calculateur!AS125*VLOOKUP('Données projet'!$B$10,Paramètres!$A$1:$I$89,3,0)*0.475*44/12</f>
        <v>2.7814809952743516</v>
      </c>
      <c r="AW125" s="23">
        <f>EXP(-LN(2)/2)*AW124+(1-EXP(-LN(2)/2))/(LN(2)/2)*AQ125*AT125*VLOOKUP('Données projet'!$B$10,Paramètres!$A$1:$I$89,3,0)*0.475*44/12</f>
        <v>1.5442618045549977E-16</v>
      </c>
      <c r="AX125" s="23">
        <f t="shared" si="60"/>
        <v>4.1635349592025586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-2.2737367544323206E-13</v>
      </c>
      <c r="O126" s="14">
        <f>N126*VLOOKUP('Données projet'!$B$9,Paramètres!$A$1:$I$89,3,0)*VLOOKUP('Données projet'!$B$9,Paramètres!$A$1:$I$89,5,0)</f>
        <v>-1.2710188457276673E-13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443.34220761968419</v>
      </c>
      <c r="T126" s="62">
        <f t="shared" si="88"/>
        <v>546.58234447298014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0.33295203013213792</v>
      </c>
      <c r="AB126" s="23">
        <f>EXP(-LN(2)/2)*AB125+(1-EXP(-LN(2)/2))/(LN(2)/2)*V126*Y126*VLOOKUP('Données projet'!$B$9,Paramètres!$A$1:$I$89,3,0)*0.475*44/12</f>
        <v>3.354606605942E-13</v>
      </c>
      <c r="AC126" s="24">
        <f t="shared" si="57"/>
        <v>0.33295203013247338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-1.7053025658242404E-13</v>
      </c>
      <c r="AJ126" s="14">
        <f>AI126*VLOOKUP('Données projet'!$B$10,Paramètres!$A$1:$I$89,3,0)*VLOOKUP('Données projet'!$B$10,Paramètres!$A$1:$I$89,5,0)</f>
        <v>-9.3109520094003535E-14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250.47640551318432</v>
      </c>
      <c r="AO126" s="62">
        <f t="shared" si="90"/>
        <v>361.92681160120975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1.3549527286652567</v>
      </c>
      <c r="AV126" s="23">
        <f>EXP(-LN(2)/25)*AV125+(1-EXP(-LN(2)/25))/(LN(2)/25)*Calculateur!AQ126*Calculateur!AS126*VLOOKUP('Données projet'!$B$10,Paramètres!$A$1:$I$89,3,0)*0.475*44/12</f>
        <v>2.7054212511868458</v>
      </c>
      <c r="AW126" s="23">
        <f>EXP(-LN(2)/2)*AW125+(1-EXP(-LN(2)/2))/(LN(2)/2)*AQ126*AT126*VLOOKUP('Données projet'!$B$10,Paramètres!$A$1:$I$89,3,0)*0.475*44/12</f>
        <v>1.0919579939282139E-16</v>
      </c>
      <c r="AX126" s="23">
        <f t="shared" si="60"/>
        <v>4.0603739798521028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-2.2737367544323206E-13</v>
      </c>
      <c r="O127" s="14">
        <f>N127*VLOOKUP('Données projet'!$B$9,Paramètres!$A$1:$I$89,3,0)*VLOOKUP('Données projet'!$B$9,Paramètres!$A$1:$I$89,5,0)</f>
        <v>-1.2710188457276673E-13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443.34220761968419</v>
      </c>
      <c r="T127" s="62">
        <f t="shared" si="88"/>
        <v>546.58234447298014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0.3238474393589883</v>
      </c>
      <c r="AB127" s="23">
        <f>EXP(-LN(2)/2)*AB126+(1-EXP(-LN(2)/2))/(LN(2)/2)*V127*Y127*VLOOKUP('Données projet'!$B$9,Paramètres!$A$1:$I$89,3,0)*0.475*44/12</f>
        <v>2.3720650792747766E-13</v>
      </c>
      <c r="AC127" s="24">
        <f t="shared" si="57"/>
        <v>0.3238474393592255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-1.7053025658242404E-13</v>
      </c>
      <c r="AJ127" s="14">
        <f>AI127*VLOOKUP('Données projet'!$B$10,Paramètres!$A$1:$I$89,3,0)*VLOOKUP('Données projet'!$B$10,Paramètres!$A$1:$I$89,5,0)</f>
        <v>-9.3109520094003535E-14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250.47640551318432</v>
      </c>
      <c r="AO127" s="62">
        <f t="shared" si="90"/>
        <v>361.92681160120975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1.3283829320956915</v>
      </c>
      <c r="AV127" s="23">
        <f>EXP(-LN(2)/25)*AV126+(1-EXP(-LN(2)/25))/(LN(2)/25)*Calculateur!AQ127*Calculateur!AS127*VLOOKUP('Données projet'!$B$10,Paramètres!$A$1:$I$89,3,0)*0.475*44/12</f>
        <v>2.6314413648012214</v>
      </c>
      <c r="AW127" s="23">
        <f>EXP(-LN(2)/2)*AW126+(1-EXP(-LN(2)/2))/(LN(2)/2)*AQ127*AT127*VLOOKUP('Données projet'!$B$10,Paramètres!$A$1:$I$89,3,0)*0.475*44/12</f>
        <v>7.7213090227749899E-17</v>
      </c>
      <c r="AX127" s="23">
        <f t="shared" si="60"/>
        <v>3.9598242968969126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-2.2737367544323206E-13</v>
      </c>
      <c r="O128" s="14">
        <f>N128*VLOOKUP('Données projet'!$B$9,Paramètres!$A$1:$I$89,3,0)*VLOOKUP('Données projet'!$B$9,Paramètres!$A$1:$I$89,5,0)</f>
        <v>-1.2710188457276673E-13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443.34220761968419</v>
      </c>
      <c r="T128" s="62">
        <f t="shared" si="88"/>
        <v>546.58234447298014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0.31499181409932009</v>
      </c>
      <c r="AB128" s="23">
        <f>EXP(-LN(2)/2)*AB127+(1-EXP(-LN(2)/2))/(LN(2)/2)*V128*Y128*VLOOKUP('Données projet'!$B$9,Paramètres!$A$1:$I$89,3,0)*0.475*44/12</f>
        <v>1.677303302971E-13</v>
      </c>
      <c r="AC128" s="24">
        <f t="shared" si="57"/>
        <v>0.31499181409948784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-1.7053025658242404E-13</v>
      </c>
      <c r="AJ128" s="14">
        <f>AI128*VLOOKUP('Données projet'!$B$10,Paramètres!$A$1:$I$89,3,0)*VLOOKUP('Données projet'!$B$10,Paramètres!$A$1:$I$89,5,0)</f>
        <v>-9.3109520094003535E-14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250.47640551318432</v>
      </c>
      <c r="AO128" s="62">
        <f t="shared" si="90"/>
        <v>361.92681160120975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1.3023341530308796</v>
      </c>
      <c r="AV128" s="23">
        <f>EXP(-LN(2)/25)*AV127+(1-EXP(-LN(2)/25))/(LN(2)/25)*Calculateur!AQ128*Calculateur!AS128*VLOOKUP('Données projet'!$B$10,Paramètres!$A$1:$I$89,3,0)*0.475*44/12</f>
        <v>2.559484462299245</v>
      </c>
      <c r="AW128" s="23">
        <f>EXP(-LN(2)/2)*AW127+(1-EXP(-LN(2)/2))/(LN(2)/2)*AQ128*AT128*VLOOKUP('Données projet'!$B$10,Paramètres!$A$1:$I$89,3,0)*0.475*44/12</f>
        <v>5.45978996964107E-17</v>
      </c>
      <c r="AX128" s="23">
        <f t="shared" si="60"/>
        <v>3.8618186153301246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-2.2737367544323206E-13</v>
      </c>
      <c r="O129" s="14">
        <f>N129*VLOOKUP('Données projet'!$B$9,Paramètres!$A$1:$I$89,3,0)*VLOOKUP('Données projet'!$B$9,Paramètres!$A$1:$I$89,5,0)</f>
        <v>-1.2710188457276673E-13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443.34220761968419</v>
      </c>
      <c r="T129" s="62">
        <f t="shared" si="88"/>
        <v>546.58234447298014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0.3063783463780746</v>
      </c>
      <c r="AB129" s="23">
        <f>EXP(-LN(2)/2)*AB128+(1-EXP(-LN(2)/2))/(LN(2)/2)*V129*Y129*VLOOKUP('Données projet'!$B$9,Paramètres!$A$1:$I$89,3,0)*0.475*44/12</f>
        <v>1.1860325396373883E-13</v>
      </c>
      <c r="AC129" s="24">
        <f t="shared" si="57"/>
        <v>0.30637834637819322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-1.7053025658242404E-13</v>
      </c>
      <c r="AJ129" s="14">
        <f>AI129*VLOOKUP('Données projet'!$B$10,Paramètres!$A$1:$I$89,3,0)*VLOOKUP('Données projet'!$B$10,Paramètres!$A$1:$I$89,5,0)</f>
        <v>-9.3109520094003535E-14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250.47640551318432</v>
      </c>
      <c r="AO129" s="62">
        <f t="shared" si="90"/>
        <v>361.92681160120975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1.2767961746353422</v>
      </c>
      <c r="AV129" s="23">
        <f>EXP(-LN(2)/25)*AV128+(1-EXP(-LN(2)/25))/(LN(2)/25)*Calculateur!AQ129*Calculateur!AS129*VLOOKUP('Données projet'!$B$10,Paramètres!$A$1:$I$89,3,0)*0.475*44/12</f>
        <v>2.4894952250802342</v>
      </c>
      <c r="AW129" s="23">
        <f>EXP(-LN(2)/2)*AW128+(1-EXP(-LN(2)/2))/(LN(2)/2)*AQ129*AT129*VLOOKUP('Données projet'!$B$10,Paramètres!$A$1:$I$89,3,0)*0.475*44/12</f>
        <v>3.8606545113874956E-17</v>
      </c>
      <c r="AX129" s="23">
        <f t="shared" si="60"/>
        <v>3.7662913997155765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-2.2737367544323206E-13</v>
      </c>
      <c r="O130" s="14">
        <f>N130*VLOOKUP('Données projet'!$B$9,Paramètres!$A$1:$I$89,3,0)*VLOOKUP('Données projet'!$B$9,Paramètres!$A$1:$I$89,5,0)</f>
        <v>-1.2710188457276673E-13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443.34220761968419</v>
      </c>
      <c r="T130" s="62">
        <f t="shared" si="88"/>
        <v>546.58234447298014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0.29800041438462915</v>
      </c>
      <c r="AB130" s="23">
        <f>EXP(-LN(2)/2)*AB129+(1-EXP(-LN(2)/2))/(LN(2)/2)*V130*Y130*VLOOKUP('Données projet'!$B$9,Paramètres!$A$1:$I$89,3,0)*0.475*44/12</f>
        <v>8.3865165148549999E-14</v>
      </c>
      <c r="AC130" s="24">
        <f t="shared" si="57"/>
        <v>0.29800041438471303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-1.7053025658242404E-13</v>
      </c>
      <c r="AJ130" s="14">
        <f>AI130*VLOOKUP('Données projet'!$B$10,Paramètres!$A$1:$I$89,3,0)*VLOOKUP('Données projet'!$B$10,Paramètres!$A$1:$I$89,5,0)</f>
        <v>-9.3109520094003535E-14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250.47640551318432</v>
      </c>
      <c r="AO130" s="62">
        <f t="shared" si="90"/>
        <v>361.92681160120975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1.2517589804195126</v>
      </c>
      <c r="AV130" s="23">
        <f>EXP(-LN(2)/25)*AV129+(1-EXP(-LN(2)/25))/(LN(2)/25)*Calculateur!AQ130*Calculateur!AS130*VLOOKUP('Données projet'!$B$10,Paramètres!$A$1:$I$89,3,0)*0.475*44/12</f>
        <v>2.4214198472335511</v>
      </c>
      <c r="AW130" s="23">
        <f>EXP(-LN(2)/2)*AW129+(1-EXP(-LN(2)/2))/(LN(2)/2)*AQ130*AT130*VLOOKUP('Données projet'!$B$10,Paramètres!$A$1:$I$89,3,0)*0.475*44/12</f>
        <v>2.7298949848205356E-17</v>
      </c>
      <c r="AX130" s="23">
        <f t="shared" si="60"/>
        <v>3.6731788276530635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-2.2737367544323206E-13</v>
      </c>
      <c r="O131" s="14">
        <f>N131*VLOOKUP('Données projet'!$B$9,Paramètres!$A$1:$I$89,3,0)*VLOOKUP('Données projet'!$B$9,Paramètres!$A$1:$I$89,5,0)</f>
        <v>-1.2710188457276673E-13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443.34220761968419</v>
      </c>
      <c r="T131" s="62">
        <f t="shared" si="88"/>
        <v>546.58234447298014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0.28985157738212075</v>
      </c>
      <c r="AB131" s="23">
        <f>EXP(-LN(2)/2)*AB130+(1-EXP(-LN(2)/2))/(LN(2)/2)*V131*Y131*VLOOKUP('Données projet'!$B$9,Paramètres!$A$1:$I$89,3,0)*0.475*44/12</f>
        <v>5.9301626981869415E-14</v>
      </c>
      <c r="AC131" s="24">
        <f t="shared" si="57"/>
        <v>0.28985157738218004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-1.7053025658242404E-13</v>
      </c>
      <c r="AJ131" s="14">
        <f>AI131*VLOOKUP('Données projet'!$B$10,Paramètres!$A$1:$I$89,3,0)*VLOOKUP('Données projet'!$B$10,Paramètres!$A$1:$I$89,5,0)</f>
        <v>-9.3109520094003535E-14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250.47640551318432</v>
      </c>
      <c r="AO131" s="62">
        <f t="shared" si="90"/>
        <v>361.92681160120975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1.2272127503110748</v>
      </c>
      <c r="AV131" s="23">
        <f>EXP(-LN(2)/25)*AV130+(1-EXP(-LN(2)/25))/(LN(2)/25)*Calculateur!AQ131*Calculateur!AS131*VLOOKUP('Données projet'!$B$10,Paramètres!$A$1:$I$89,3,0)*0.475*44/12</f>
        <v>2.355205994174014</v>
      </c>
      <c r="AW131" s="23">
        <f>EXP(-LN(2)/2)*AW130+(1-EXP(-LN(2)/2))/(LN(2)/2)*AQ131*AT131*VLOOKUP('Données projet'!$B$10,Paramètres!$A$1:$I$89,3,0)*0.475*44/12</f>
        <v>1.9303272556937481E-17</v>
      </c>
      <c r="AX131" s="23">
        <f t="shared" si="60"/>
        <v>3.5824187444850888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-2.2737367544323206E-13</v>
      </c>
      <c r="O132" s="14">
        <f>N132*VLOOKUP('Données projet'!$B$9,Paramètres!$A$1:$I$89,3,0)*VLOOKUP('Données projet'!$B$9,Paramètres!$A$1:$I$89,5,0)</f>
        <v>-1.2710188457276673E-13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443.34220761968419</v>
      </c>
      <c r="T132" s="62">
        <f t="shared" si="88"/>
        <v>546.58234447298014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0.28192557075597469</v>
      </c>
      <c r="AB132" s="23">
        <f>EXP(-LN(2)/2)*AB131+(1-EXP(-LN(2)/2))/(LN(2)/2)*V132*Y132*VLOOKUP('Données projet'!$B$9,Paramètres!$A$1:$I$89,3,0)*0.475*44/12</f>
        <v>4.1932582574275E-14</v>
      </c>
      <c r="AC132" s="24">
        <f t="shared" ref="AC132:AC153" si="111">SUM(Z132:AB132)</f>
        <v>0.2819255707560166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-1.7053025658242404E-13</v>
      </c>
      <c r="AJ132" s="14">
        <f>AI132*VLOOKUP('Données projet'!$B$10,Paramètres!$A$1:$I$89,3,0)*VLOOKUP('Données projet'!$B$10,Paramètres!$A$1:$I$89,5,0)</f>
        <v>-9.3109520094003535E-14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250.47640551318432</v>
      </c>
      <c r="AO132" s="62">
        <f t="shared" si="90"/>
        <v>361.92681160120975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1.2031478568033416</v>
      </c>
      <c r="AV132" s="23">
        <f>EXP(-LN(2)/25)*AV131+(1-EXP(-LN(2)/25))/(LN(2)/25)*Calculateur!AQ132*Calculateur!AS132*VLOOKUP('Données projet'!$B$10,Paramètres!$A$1:$I$89,3,0)*0.475*44/12</f>
        <v>2.2908027624084251</v>
      </c>
      <c r="AW132" s="23">
        <f>EXP(-LN(2)/2)*AW131+(1-EXP(-LN(2)/2))/(LN(2)/2)*AQ132*AT132*VLOOKUP('Données projet'!$B$10,Paramètres!$A$1:$I$89,3,0)*0.475*44/12</f>
        <v>1.364947492410268E-17</v>
      </c>
      <c r="AX132" s="23">
        <f t="shared" ref="AX132:AX153" si="114">SUM(AU132:AW132)</f>
        <v>3.4939506192117666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-2.2737367544323206E-13</v>
      </c>
      <c r="O133" s="14">
        <f>N133*VLOOKUP('Données projet'!$B$9,Paramètres!$A$1:$I$89,3,0)*VLOOKUP('Données projet'!$B$9,Paramètres!$A$1:$I$89,5,0)</f>
        <v>-1.2710188457276673E-13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443.34220761968419</v>
      </c>
      <c r="T133" s="62">
        <f t="shared" ref="T133:T196" si="142">$T$3</f>
        <v>546.58234447298014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0.27421630119783114</v>
      </c>
      <c r="AB133" s="23">
        <f>EXP(-LN(2)/2)*AB132+(1-EXP(-LN(2)/2))/(LN(2)/2)*V133*Y133*VLOOKUP('Données projet'!$B$9,Paramètres!$A$1:$I$89,3,0)*0.475*44/12</f>
        <v>2.9650813490934708E-14</v>
      </c>
      <c r="AC133" s="24">
        <f t="shared" si="111"/>
        <v>0.27421630119786078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-1.7053025658242404E-13</v>
      </c>
      <c r="AJ133" s="14">
        <f>AI133*VLOOKUP('Données projet'!$B$10,Paramètres!$A$1:$I$89,3,0)*VLOOKUP('Données projet'!$B$10,Paramètres!$A$1:$I$89,5,0)</f>
        <v>-9.3109520094003535E-14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250.47640551318432</v>
      </c>
      <c r="AO133" s="62">
        <f t="shared" ref="AO133:AO196" si="144">$AO$3</f>
        <v>361.92681160120975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1.1795548611791593</v>
      </c>
      <c r="AV133" s="23">
        <f>EXP(-LN(2)/25)*AV132+(1-EXP(-LN(2)/25))/(LN(2)/25)*Calculateur!AQ133*Calculateur!AS133*VLOOKUP('Données projet'!$B$10,Paramètres!$A$1:$I$89,3,0)*0.475*44/12</f>
        <v>2.2281606404022849</v>
      </c>
      <c r="AW133" s="23">
        <f>EXP(-LN(2)/2)*AW132+(1-EXP(-LN(2)/2))/(LN(2)/2)*AQ133*AT133*VLOOKUP('Données projet'!$B$10,Paramètres!$A$1:$I$89,3,0)*0.475*44/12</f>
        <v>9.651636278468742E-18</v>
      </c>
      <c r="AX133" s="23">
        <f t="shared" si="114"/>
        <v>3.4077155015814444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-2.2737367544323206E-13</v>
      </c>
      <c r="O134" s="14">
        <f>N134*VLOOKUP('Données projet'!$B$9,Paramètres!$A$1:$I$89,3,0)*VLOOKUP('Données projet'!$B$9,Paramètres!$A$1:$I$89,5,0)</f>
        <v>-1.2710188457276673E-13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443.34220761968419</v>
      </c>
      <c r="T134" s="62">
        <f t="shared" si="142"/>
        <v>546.58234447298014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0.26671784202116788</v>
      </c>
      <c r="AB134" s="23">
        <f>EXP(-LN(2)/2)*AB133+(1-EXP(-LN(2)/2))/(LN(2)/2)*V134*Y134*VLOOKUP('Données projet'!$B$9,Paramètres!$A$1:$I$89,3,0)*0.475*44/12</f>
        <v>2.09662912871375E-14</v>
      </c>
      <c r="AC134" s="24">
        <f t="shared" si="111"/>
        <v>0.26671784202118887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-1.7053025658242404E-13</v>
      </c>
      <c r="AJ134" s="14">
        <f>AI134*VLOOKUP('Données projet'!$B$10,Paramètres!$A$1:$I$89,3,0)*VLOOKUP('Données projet'!$B$10,Paramètres!$A$1:$I$89,5,0)</f>
        <v>-9.3109520094003535E-14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250.47640551318432</v>
      </c>
      <c r="AO134" s="62">
        <f t="shared" si="144"/>
        <v>361.92681160120975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1.1564245098088608</v>
      </c>
      <c r="AV134" s="23">
        <f>EXP(-LN(2)/25)*AV133+(1-EXP(-LN(2)/25))/(LN(2)/25)*Calculateur!AQ134*Calculateur!AS134*VLOOKUP('Données projet'!$B$10,Paramètres!$A$1:$I$89,3,0)*0.475*44/12</f>
        <v>2.1672314705166089</v>
      </c>
      <c r="AW134" s="23">
        <f>EXP(-LN(2)/2)*AW133+(1-EXP(-LN(2)/2))/(LN(2)/2)*AQ134*AT134*VLOOKUP('Données projet'!$B$10,Paramètres!$A$1:$I$89,3,0)*0.475*44/12</f>
        <v>6.8247374620513413E-18</v>
      </c>
      <c r="AX134" s="23">
        <f t="shared" si="114"/>
        <v>3.3236559803254697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-2.2737367544323206E-13</v>
      </c>
      <c r="O135" s="14">
        <f>N135*VLOOKUP('Données projet'!$B$9,Paramètres!$A$1:$I$89,3,0)*VLOOKUP('Données projet'!$B$9,Paramètres!$A$1:$I$89,5,0)</f>
        <v>-1.2710188457276673E-13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443.34220761968419</v>
      </c>
      <c r="T135" s="62">
        <f t="shared" si="142"/>
        <v>546.58234447298014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0.25942442860501735</v>
      </c>
      <c r="AB135" s="23">
        <f>EXP(-LN(2)/2)*AB134+(1-EXP(-LN(2)/2))/(LN(2)/2)*V135*Y135*VLOOKUP('Données projet'!$B$9,Paramètres!$A$1:$I$89,3,0)*0.475*44/12</f>
        <v>1.4825406745467354E-14</v>
      </c>
      <c r="AC135" s="24">
        <f t="shared" si="111"/>
        <v>0.25942442860503218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-1.7053025658242404E-13</v>
      </c>
      <c r="AJ135" s="14">
        <f>AI135*VLOOKUP('Données projet'!$B$10,Paramètres!$A$1:$I$89,3,0)*VLOOKUP('Données projet'!$B$10,Paramètres!$A$1:$I$89,5,0)</f>
        <v>-9.3109520094003535E-14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250.47640551318432</v>
      </c>
      <c r="AO135" s="62">
        <f t="shared" si="144"/>
        <v>361.92681160120975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1.1337477305208126</v>
      </c>
      <c r="AV135" s="23">
        <f>EXP(-LN(2)/25)*AV134+(1-EXP(-LN(2)/25))/(LN(2)/25)*Calculateur!AQ135*Calculateur!AS135*VLOOKUP('Données projet'!$B$10,Paramètres!$A$1:$I$89,3,0)*0.475*44/12</f>
        <v>2.1079684119855826</v>
      </c>
      <c r="AW135" s="23">
        <f>EXP(-LN(2)/2)*AW134+(1-EXP(-LN(2)/2))/(LN(2)/2)*AQ135*AT135*VLOOKUP('Données projet'!$B$10,Paramètres!$A$1:$I$89,3,0)*0.475*44/12</f>
        <v>4.8258181392343718E-18</v>
      </c>
      <c r="AX135" s="23">
        <f t="shared" si="114"/>
        <v>3.2417161425063954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-2.2737367544323206E-13</v>
      </c>
      <c r="O136" s="14">
        <f>N136*VLOOKUP('Données projet'!$B$9,Paramètres!$A$1:$I$89,3,0)*VLOOKUP('Données projet'!$B$9,Paramètres!$A$1:$I$89,5,0)</f>
        <v>-1.2710188457276673E-13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443.34220761968419</v>
      </c>
      <c r="T136" s="62">
        <f t="shared" si="142"/>
        <v>546.58234447298014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0.25233045396227538</v>
      </c>
      <c r="AB136" s="23">
        <f>EXP(-LN(2)/2)*AB135+(1-EXP(-LN(2)/2))/(LN(2)/2)*V136*Y136*VLOOKUP('Données projet'!$B$9,Paramètres!$A$1:$I$89,3,0)*0.475*44/12</f>
        <v>1.048314564356875E-14</v>
      </c>
      <c r="AC136" s="24">
        <f t="shared" si="111"/>
        <v>0.25233045396228587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-1.7053025658242404E-13</v>
      </c>
      <c r="AJ136" s="14">
        <f>AI136*VLOOKUP('Données projet'!$B$10,Paramètres!$A$1:$I$89,3,0)*VLOOKUP('Données projet'!$B$10,Paramètres!$A$1:$I$89,5,0)</f>
        <v>-9.3109520094003535E-14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250.47640551318432</v>
      </c>
      <c r="AO136" s="62">
        <f t="shared" si="144"/>
        <v>361.92681160120975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1.1115156290431334</v>
      </c>
      <c r="AV136" s="23">
        <f>EXP(-LN(2)/25)*AV135+(1-EXP(-LN(2)/25))/(LN(2)/25)*Calculateur!AQ136*Calculateur!AS136*VLOOKUP('Données projet'!$B$10,Paramètres!$A$1:$I$89,3,0)*0.475*44/12</f>
        <v>2.0503259049065958</v>
      </c>
      <c r="AW136" s="23">
        <f>EXP(-LN(2)/2)*AW135+(1-EXP(-LN(2)/2))/(LN(2)/2)*AQ136*AT136*VLOOKUP('Données projet'!$B$10,Paramètres!$A$1:$I$89,3,0)*0.475*44/12</f>
        <v>3.4123687310256711E-18</v>
      </c>
      <c r="AX136" s="23">
        <f t="shared" si="114"/>
        <v>3.1618415339497292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-2.2737367544323206E-13</v>
      </c>
      <c r="O137" s="14">
        <f>N137*VLOOKUP('Données projet'!$B$9,Paramètres!$A$1:$I$89,3,0)*VLOOKUP('Données projet'!$B$9,Paramètres!$A$1:$I$89,5,0)</f>
        <v>-1.2710188457276673E-13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443.34220761968419</v>
      </c>
      <c r="T137" s="62">
        <f t="shared" si="142"/>
        <v>546.58234447298014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0.24543046442919508</v>
      </c>
      <c r="AB137" s="23">
        <f>EXP(-LN(2)/2)*AB136+(1-EXP(-LN(2)/2))/(LN(2)/2)*V137*Y137*VLOOKUP('Données projet'!$B$9,Paramètres!$A$1:$I$89,3,0)*0.475*44/12</f>
        <v>7.4127033727336769E-15</v>
      </c>
      <c r="AC137" s="24">
        <f t="shared" si="111"/>
        <v>0.24543046442920249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-1.7053025658242404E-13</v>
      </c>
      <c r="AJ137" s="14">
        <f>AI137*VLOOKUP('Données projet'!$B$10,Paramètres!$A$1:$I$89,3,0)*VLOOKUP('Données projet'!$B$10,Paramètres!$A$1:$I$89,5,0)</f>
        <v>-9.3109520094003535E-14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250.47640551318432</v>
      </c>
      <c r="AO137" s="62">
        <f t="shared" si="144"/>
        <v>361.92681160120975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1.0897194855151886</v>
      </c>
      <c r="AV137" s="23">
        <f>EXP(-LN(2)/25)*AV136+(1-EXP(-LN(2)/25))/(LN(2)/25)*Calculateur!AQ137*Calculateur!AS137*VLOOKUP('Données projet'!$B$10,Paramètres!$A$1:$I$89,3,0)*0.475*44/12</f>
        <v>1.9942596352149717</v>
      </c>
      <c r="AW137" s="23">
        <f>EXP(-LN(2)/2)*AW136+(1-EXP(-LN(2)/2))/(LN(2)/2)*AQ137*AT137*VLOOKUP('Données projet'!$B$10,Paramètres!$A$1:$I$89,3,0)*0.475*44/12</f>
        <v>2.4129090696171863E-18</v>
      </c>
      <c r="AX137" s="23">
        <f t="shared" si="114"/>
        <v>3.0839791207301603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-2.2737367544323206E-13</v>
      </c>
      <c r="O138" s="14">
        <f>N138*VLOOKUP('Données projet'!$B$9,Paramètres!$A$1:$I$89,3,0)*VLOOKUP('Données projet'!$B$9,Paramètres!$A$1:$I$89,5,0)</f>
        <v>-1.2710188457276673E-13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443.34220761968419</v>
      </c>
      <c r="T138" s="62">
        <f t="shared" si="142"/>
        <v>546.58234447298014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0.23871915547275155</v>
      </c>
      <c r="AB138" s="23">
        <f>EXP(-LN(2)/2)*AB137+(1-EXP(-LN(2)/2))/(LN(2)/2)*V138*Y138*VLOOKUP('Données projet'!$B$9,Paramètres!$A$1:$I$89,3,0)*0.475*44/12</f>
        <v>5.2415728217843749E-15</v>
      </c>
      <c r="AC138" s="24">
        <f t="shared" si="111"/>
        <v>0.23871915547275679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-1.7053025658242404E-13</v>
      </c>
      <c r="AJ138" s="14">
        <f>AI138*VLOOKUP('Données projet'!$B$10,Paramètres!$A$1:$I$89,3,0)*VLOOKUP('Données projet'!$B$10,Paramètres!$A$1:$I$89,5,0)</f>
        <v>-9.3109520094003535E-14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250.47640551318432</v>
      </c>
      <c r="AO138" s="62">
        <f t="shared" si="144"/>
        <v>361.92681160120975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1.0683507510674919</v>
      </c>
      <c r="AV138" s="23">
        <f>EXP(-LN(2)/25)*AV137+(1-EXP(-LN(2)/25))/(LN(2)/25)*Calculateur!AQ138*Calculateur!AS138*VLOOKUP('Données projet'!$B$10,Paramètres!$A$1:$I$89,3,0)*0.475*44/12</f>
        <v>1.9397265006164621</v>
      </c>
      <c r="AW138" s="23">
        <f>EXP(-LN(2)/2)*AW137+(1-EXP(-LN(2)/2))/(LN(2)/2)*AQ138*AT138*VLOOKUP('Données projet'!$B$10,Paramètres!$A$1:$I$89,3,0)*0.475*44/12</f>
        <v>1.7061843655128359E-18</v>
      </c>
      <c r="AX138" s="23">
        <f t="shared" si="114"/>
        <v>3.0080772516839538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-2.2737367544323206E-13</v>
      </c>
      <c r="O139" s="14">
        <f>N139*VLOOKUP('Données projet'!$B$9,Paramètres!$A$1:$I$89,3,0)*VLOOKUP('Données projet'!$B$9,Paramètres!$A$1:$I$89,5,0)</f>
        <v>-1.2710188457276673E-13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443.34220761968419</v>
      </c>
      <c r="T139" s="62">
        <f t="shared" si="142"/>
        <v>546.58234447298014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0.23219136761265438</v>
      </c>
      <c r="AB139" s="23">
        <f>EXP(-LN(2)/2)*AB138+(1-EXP(-LN(2)/2))/(LN(2)/2)*V139*Y139*VLOOKUP('Données projet'!$B$9,Paramètres!$A$1:$I$89,3,0)*0.475*44/12</f>
        <v>3.7063516863668384E-15</v>
      </c>
      <c r="AC139" s="24">
        <f t="shared" si="111"/>
        <v>0.2321913676126581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-1.7053025658242404E-13</v>
      </c>
      <c r="AJ139" s="14">
        <f>AI139*VLOOKUP('Données projet'!$B$10,Paramètres!$A$1:$I$89,3,0)*VLOOKUP('Données projet'!$B$10,Paramètres!$A$1:$I$89,5,0)</f>
        <v>-9.3109520094003535E-14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250.47640551318432</v>
      </c>
      <c r="AO139" s="62">
        <f t="shared" si="144"/>
        <v>361.92681160120975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1.0474010444686734</v>
      </c>
      <c r="AV139" s="23">
        <f>EXP(-LN(2)/25)*AV138+(1-EXP(-LN(2)/25))/(LN(2)/25)*Calculateur!AQ139*Calculateur!AS139*VLOOKUP('Données projet'!$B$10,Paramètres!$A$1:$I$89,3,0)*0.475*44/12</f>
        <v>1.8866845774513217</v>
      </c>
      <c r="AW139" s="23">
        <f>EXP(-LN(2)/2)*AW138+(1-EXP(-LN(2)/2))/(LN(2)/2)*AQ139*AT139*VLOOKUP('Données projet'!$B$10,Paramètres!$A$1:$I$89,3,0)*0.475*44/12</f>
        <v>1.2064545348085933E-18</v>
      </c>
      <c r="AX139" s="23">
        <f t="shared" si="114"/>
        <v>2.9340856219199951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-2.2737367544323206E-13</v>
      </c>
      <c r="O140" s="14">
        <f>N140*VLOOKUP('Données projet'!$B$9,Paramètres!$A$1:$I$89,3,0)*VLOOKUP('Données projet'!$B$9,Paramètres!$A$1:$I$89,5,0)</f>
        <v>-1.2710188457276673E-13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443.34220761968419</v>
      </c>
      <c r="T140" s="62">
        <f t="shared" si="142"/>
        <v>546.58234447298014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0.225842082454873</v>
      </c>
      <c r="AB140" s="23">
        <f>EXP(-LN(2)/2)*AB139+(1-EXP(-LN(2)/2))/(LN(2)/2)*V140*Y140*VLOOKUP('Données projet'!$B$9,Paramètres!$A$1:$I$89,3,0)*0.475*44/12</f>
        <v>2.6207864108921875E-15</v>
      </c>
      <c r="AC140" s="24">
        <f t="shared" si="111"/>
        <v>0.22584208245487561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-1.7053025658242404E-13</v>
      </c>
      <c r="AJ140" s="14">
        <f>AI140*VLOOKUP('Données projet'!$B$10,Paramètres!$A$1:$I$89,3,0)*VLOOKUP('Données projet'!$B$10,Paramètres!$A$1:$I$89,5,0)</f>
        <v>-9.3109520094003535E-14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250.47640551318432</v>
      </c>
      <c r="AO140" s="62">
        <f t="shared" si="144"/>
        <v>361.92681160120975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1.0268621488381986</v>
      </c>
      <c r="AV140" s="23">
        <f>EXP(-LN(2)/25)*AV139+(1-EXP(-LN(2)/25))/(LN(2)/25)*Calculateur!AQ140*Calculateur!AS140*VLOOKUP('Données projet'!$B$10,Paramètres!$A$1:$I$89,3,0)*0.475*44/12</f>
        <v>1.8350930884644854</v>
      </c>
      <c r="AW140" s="23">
        <f>EXP(-LN(2)/2)*AW139+(1-EXP(-LN(2)/2))/(LN(2)/2)*AQ140*AT140*VLOOKUP('Données projet'!$B$10,Paramètres!$A$1:$I$89,3,0)*0.475*44/12</f>
        <v>8.5309218275641805E-19</v>
      </c>
      <c r="AX140" s="23">
        <f t="shared" si="114"/>
        <v>2.8619552373026842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-2.2737367544323206E-13</v>
      </c>
      <c r="O141" s="14">
        <f>N141*VLOOKUP('Données projet'!$B$9,Paramètres!$A$1:$I$89,3,0)*VLOOKUP('Données projet'!$B$9,Paramètres!$A$1:$I$89,5,0)</f>
        <v>-1.2710188457276673E-13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443.34220761968419</v>
      </c>
      <c r="T141" s="62">
        <f t="shared" si="142"/>
        <v>546.58234447298014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0.21966641883362556</v>
      </c>
      <c r="AB141" s="23">
        <f>EXP(-LN(2)/2)*AB140+(1-EXP(-LN(2)/2))/(LN(2)/2)*V141*Y141*VLOOKUP('Données projet'!$B$9,Paramètres!$A$1:$I$89,3,0)*0.475*44/12</f>
        <v>1.8531758431834192E-15</v>
      </c>
      <c r="AC141" s="24">
        <f t="shared" si="111"/>
        <v>0.21966641883362742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-1.7053025658242404E-13</v>
      </c>
      <c r="AJ141" s="14">
        <f>AI141*VLOOKUP('Données projet'!$B$10,Paramètres!$A$1:$I$89,3,0)*VLOOKUP('Données projet'!$B$10,Paramètres!$A$1:$I$89,5,0)</f>
        <v>-9.3109520094003535E-14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250.47640551318432</v>
      </c>
      <c r="AO141" s="62">
        <f t="shared" si="144"/>
        <v>361.92681160120975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1.0067260084235479</v>
      </c>
      <c r="AV141" s="23">
        <f>EXP(-LN(2)/25)*AV140+(1-EXP(-LN(2)/25))/(LN(2)/25)*Calculateur!AQ141*Calculateur!AS141*VLOOKUP('Données projet'!$B$10,Paramètres!$A$1:$I$89,3,0)*0.475*44/12</f>
        <v>1.7849123714570727</v>
      </c>
      <c r="AW141" s="23">
        <f>EXP(-LN(2)/2)*AW140+(1-EXP(-LN(2)/2))/(LN(2)/2)*AQ141*AT141*VLOOKUP('Données projet'!$B$10,Paramètres!$A$1:$I$89,3,0)*0.475*44/12</f>
        <v>6.0322726740429676E-19</v>
      </c>
      <c r="AX141" s="23">
        <f t="shared" si="114"/>
        <v>2.7916383798806206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-2.2737367544323206E-13</v>
      </c>
      <c r="O142" s="14">
        <f>N142*VLOOKUP('Données projet'!$B$9,Paramètres!$A$1:$I$89,3,0)*VLOOKUP('Données projet'!$B$9,Paramètres!$A$1:$I$89,5,0)</f>
        <v>-1.2710188457276673E-13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443.34220761968419</v>
      </c>
      <c r="T142" s="62">
        <f t="shared" si="142"/>
        <v>546.58234447298014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0.21365962905886515</v>
      </c>
      <c r="AB142" s="23">
        <f>EXP(-LN(2)/2)*AB141+(1-EXP(-LN(2)/2))/(LN(2)/2)*V142*Y142*VLOOKUP('Données projet'!$B$9,Paramètres!$A$1:$I$89,3,0)*0.475*44/12</f>
        <v>1.3103932054460937E-15</v>
      </c>
      <c r="AC142" s="24">
        <f t="shared" si="111"/>
        <v>0.21365962905886646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-1.7053025658242404E-13</v>
      </c>
      <c r="AJ142" s="14">
        <f>AI142*VLOOKUP('Données projet'!$B$10,Paramètres!$A$1:$I$89,3,0)*VLOOKUP('Données projet'!$B$10,Paramètres!$A$1:$I$89,5,0)</f>
        <v>-9.3109520094003535E-14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250.47640551318432</v>
      </c>
      <c r="AO142" s="62">
        <f t="shared" si="144"/>
        <v>361.92681160120975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0.98698472544059557</v>
      </c>
      <c r="AV142" s="23">
        <f>EXP(-LN(2)/25)*AV141+(1-EXP(-LN(2)/25))/(LN(2)/25)*Calculateur!AQ142*Calculateur!AS142*VLOOKUP('Données projet'!$B$10,Paramètres!$A$1:$I$89,3,0)*0.475*44/12</f>
        <v>1.7361038487951168</v>
      </c>
      <c r="AW142" s="23">
        <f>EXP(-LN(2)/2)*AW141+(1-EXP(-LN(2)/2))/(LN(2)/2)*AQ142*AT142*VLOOKUP('Données projet'!$B$10,Paramètres!$A$1:$I$89,3,0)*0.475*44/12</f>
        <v>4.2654609137820907E-19</v>
      </c>
      <c r="AX142" s="23">
        <f t="shared" si="114"/>
        <v>2.7230885742357125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-2.2737367544323206E-13</v>
      </c>
      <c r="O143" s="14">
        <f>N143*VLOOKUP('Données projet'!$B$9,Paramètres!$A$1:$I$89,3,0)*VLOOKUP('Données projet'!$B$9,Paramètres!$A$1:$I$89,5,0)</f>
        <v>-1.2710188457276673E-13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443.34220761968419</v>
      </c>
      <c r="T143" s="62">
        <f t="shared" si="142"/>
        <v>546.58234447298014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0.20781709526637893</v>
      </c>
      <c r="AB143" s="23">
        <f>EXP(-LN(2)/2)*AB142+(1-EXP(-LN(2)/2))/(LN(2)/2)*V143*Y143*VLOOKUP('Données projet'!$B$9,Paramètres!$A$1:$I$89,3,0)*0.475*44/12</f>
        <v>9.2658792159170961E-16</v>
      </c>
      <c r="AC143" s="24">
        <f t="shared" si="111"/>
        <v>0.20781709526637984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-1.7053025658242404E-13</v>
      </c>
      <c r="AJ143" s="14">
        <f>AI143*VLOOKUP('Données projet'!$B$10,Paramètres!$A$1:$I$89,3,0)*VLOOKUP('Données projet'!$B$10,Paramètres!$A$1:$I$89,5,0)</f>
        <v>-9.3109520094003535E-14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250.47640551318432</v>
      </c>
      <c r="AO143" s="62">
        <f t="shared" si="144"/>
        <v>361.92681160120975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0.96763055697594536</v>
      </c>
      <c r="AV143" s="23">
        <f>EXP(-LN(2)/25)*AV142+(1-EXP(-LN(2)/25))/(LN(2)/25)*Calculateur!AQ143*Calculateur!AS143*VLOOKUP('Données projet'!$B$10,Paramètres!$A$1:$I$89,3,0)*0.475*44/12</f>
        <v>1.6886299977520809</v>
      </c>
      <c r="AW143" s="23">
        <f>EXP(-LN(2)/2)*AW142+(1-EXP(-LN(2)/2))/(LN(2)/2)*AQ143*AT143*VLOOKUP('Données projet'!$B$10,Paramètres!$A$1:$I$89,3,0)*0.475*44/12</f>
        <v>3.0161363370214843E-19</v>
      </c>
      <c r="AX143" s="23">
        <f t="shared" si="114"/>
        <v>2.6562605547280262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-2.2737367544323206E-13</v>
      </c>
      <c r="O144" s="14">
        <f>N144*VLOOKUP('Données projet'!$B$9,Paramètres!$A$1:$I$89,3,0)*VLOOKUP('Données projet'!$B$9,Paramètres!$A$1:$I$89,5,0)</f>
        <v>-1.2710188457276673E-13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443.34220761968419</v>
      </c>
      <c r="T144" s="62">
        <f t="shared" si="142"/>
        <v>546.58234447298014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0.20213432586769373</v>
      </c>
      <c r="AB144" s="23">
        <f>EXP(-LN(2)/2)*AB143+(1-EXP(-LN(2)/2))/(LN(2)/2)*V144*Y144*VLOOKUP('Données projet'!$B$9,Paramètres!$A$1:$I$89,3,0)*0.475*44/12</f>
        <v>6.5519660272304687E-16</v>
      </c>
      <c r="AC144" s="24">
        <f t="shared" si="111"/>
        <v>0.20213432586769439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-1.7053025658242404E-13</v>
      </c>
      <c r="AJ144" s="14">
        <f>AI144*VLOOKUP('Données projet'!$B$10,Paramètres!$A$1:$I$89,3,0)*VLOOKUP('Données projet'!$B$10,Paramètres!$A$1:$I$89,5,0)</f>
        <v>-9.3109520094003535E-14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250.47640551318432</v>
      </c>
      <c r="AO144" s="62">
        <f t="shared" si="144"/>
        <v>361.92681160120975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0.94865591195000976</v>
      </c>
      <c r="AV144" s="23">
        <f>EXP(-LN(2)/25)*AV143+(1-EXP(-LN(2)/25))/(LN(2)/25)*Calculateur!AQ144*Calculateur!AS144*VLOOKUP('Données projet'!$B$10,Paramètres!$A$1:$I$89,3,0)*0.475*44/12</f>
        <v>1.6424543216623582</v>
      </c>
      <c r="AW144" s="23">
        <f>EXP(-LN(2)/2)*AW143+(1-EXP(-LN(2)/2))/(LN(2)/2)*AQ144*AT144*VLOOKUP('Données projet'!$B$10,Paramètres!$A$1:$I$89,3,0)*0.475*44/12</f>
        <v>2.1327304568910459E-19</v>
      </c>
      <c r="AX144" s="23">
        <f t="shared" si="114"/>
        <v>2.5911102336123681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-2.2737367544323206E-13</v>
      </c>
      <c r="O145" s="14">
        <f>N145*VLOOKUP('Données projet'!$B$9,Paramètres!$A$1:$I$89,3,0)*VLOOKUP('Données projet'!$B$9,Paramètres!$A$1:$I$89,5,0)</f>
        <v>-1.2710188457276673E-13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443.34220761968419</v>
      </c>
      <c r="T145" s="62">
        <f t="shared" si="142"/>
        <v>546.58234447298014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0.19660695209705942</v>
      </c>
      <c r="AB145" s="23">
        <f>EXP(-LN(2)/2)*AB144+(1-EXP(-LN(2)/2))/(LN(2)/2)*V145*Y145*VLOOKUP('Données projet'!$B$9,Paramètres!$A$1:$I$89,3,0)*0.475*44/12</f>
        <v>4.6329396079585481E-16</v>
      </c>
      <c r="AC145" s="24">
        <f t="shared" si="111"/>
        <v>0.19660695209705989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-1.7053025658242404E-13</v>
      </c>
      <c r="AJ145" s="14">
        <f>AI145*VLOOKUP('Données projet'!$B$10,Paramètres!$A$1:$I$89,3,0)*VLOOKUP('Données projet'!$B$10,Paramètres!$A$1:$I$89,5,0)</f>
        <v>-9.3109520094003535E-14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250.47640551318432</v>
      </c>
      <c r="AO145" s="62">
        <f t="shared" si="144"/>
        <v>361.92681160120975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0.93005334813964213</v>
      </c>
      <c r="AV145" s="23">
        <f>EXP(-LN(2)/25)*AV144+(1-EXP(-LN(2)/25))/(LN(2)/25)*Calculateur!AQ145*Calculateur!AS145*VLOOKUP('Données projet'!$B$10,Paramètres!$A$1:$I$89,3,0)*0.475*44/12</f>
        <v>1.5975413218635821</v>
      </c>
      <c r="AW145" s="23">
        <f>EXP(-LN(2)/2)*AW144+(1-EXP(-LN(2)/2))/(LN(2)/2)*AQ145*AT145*VLOOKUP('Données projet'!$B$10,Paramètres!$A$1:$I$89,3,0)*0.475*44/12</f>
        <v>1.5080681685107424E-19</v>
      </c>
      <c r="AX145" s="23">
        <f t="shared" si="114"/>
        <v>2.5275946700032241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-2.2737367544323206E-13</v>
      </c>
      <c r="O146" s="14">
        <f>N146*VLOOKUP('Données projet'!$B$9,Paramètres!$A$1:$I$89,3,0)*VLOOKUP('Données projet'!$B$9,Paramètres!$A$1:$I$89,5,0)</f>
        <v>-1.2710188457276673E-13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443.34220761968419</v>
      </c>
      <c r="T146" s="62">
        <f t="shared" si="142"/>
        <v>546.58234447298014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0.19123072465285507</v>
      </c>
      <c r="AB146" s="23">
        <f>EXP(-LN(2)/2)*AB145+(1-EXP(-LN(2)/2))/(LN(2)/2)*V146*Y146*VLOOKUP('Données projet'!$B$9,Paramètres!$A$1:$I$89,3,0)*0.475*44/12</f>
        <v>3.2759830136152343E-16</v>
      </c>
      <c r="AC146" s="24">
        <f t="shared" si="111"/>
        <v>0.1912307246528554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-1.7053025658242404E-13</v>
      </c>
      <c r="AJ146" s="14">
        <f>AI146*VLOOKUP('Données projet'!$B$10,Paramètres!$A$1:$I$89,3,0)*VLOOKUP('Données projet'!$B$10,Paramètres!$A$1:$I$89,5,0)</f>
        <v>-9.3109520094003535E-14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250.47640551318432</v>
      </c>
      <c r="AO146" s="62">
        <f t="shared" si="144"/>
        <v>361.92681160120975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0.91181556925915219</v>
      </c>
      <c r="AV146" s="23">
        <f>EXP(-LN(2)/25)*AV145+(1-EXP(-LN(2)/25))/(LN(2)/25)*Calculateur!AQ146*Calculateur!AS146*VLOOKUP('Données projet'!$B$10,Paramètres!$A$1:$I$89,3,0)*0.475*44/12</f>
        <v>1.5538564704061755</v>
      </c>
      <c r="AW146" s="23">
        <f>EXP(-LN(2)/2)*AW145+(1-EXP(-LN(2)/2))/(LN(2)/2)*AQ146*AT146*VLOOKUP('Données projet'!$B$10,Paramètres!$A$1:$I$89,3,0)*0.475*44/12</f>
        <v>1.066365228445523E-19</v>
      </c>
      <c r="AX146" s="23">
        <f t="shared" si="114"/>
        <v>2.4656720396653276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-2.2737367544323206E-13</v>
      </c>
      <c r="O147" s="14">
        <f>N147*VLOOKUP('Données projet'!$B$9,Paramètres!$A$1:$I$89,3,0)*VLOOKUP('Données projet'!$B$9,Paramètres!$A$1:$I$89,5,0)</f>
        <v>-1.2710188457276673E-13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443.34220761968419</v>
      </c>
      <c r="T147" s="62">
        <f t="shared" si="142"/>
        <v>546.58234447298014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0.18600151043083599</v>
      </c>
      <c r="AB147" s="23">
        <f>EXP(-LN(2)/2)*AB146+(1-EXP(-LN(2)/2))/(LN(2)/2)*V147*Y147*VLOOKUP('Données projet'!$B$9,Paramètres!$A$1:$I$89,3,0)*0.475*44/12</f>
        <v>2.316469803979274E-16</v>
      </c>
      <c r="AC147" s="24">
        <f t="shared" si="111"/>
        <v>0.18600151043083621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-1.7053025658242404E-13</v>
      </c>
      <c r="AJ147" s="14">
        <f>AI147*VLOOKUP('Données projet'!$B$10,Paramètres!$A$1:$I$89,3,0)*VLOOKUP('Données projet'!$B$10,Paramètres!$A$1:$I$89,5,0)</f>
        <v>-9.3109520094003535E-14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250.47640551318432</v>
      </c>
      <c r="AO147" s="62">
        <f t="shared" si="144"/>
        <v>361.92681160120975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0.89393542209856192</v>
      </c>
      <c r="AV147" s="23">
        <f>EXP(-LN(2)/25)*AV146+(1-EXP(-LN(2)/25))/(LN(2)/25)*Calculateur!AQ147*Calculateur!AS147*VLOOKUP('Données projet'!$B$10,Paramètres!$A$1:$I$89,3,0)*0.475*44/12</f>
        <v>1.5113661835091583</v>
      </c>
      <c r="AW147" s="23">
        <f>EXP(-LN(2)/2)*AW146+(1-EXP(-LN(2)/2))/(LN(2)/2)*AQ147*AT147*VLOOKUP('Données projet'!$B$10,Paramètres!$A$1:$I$89,3,0)*0.475*44/12</f>
        <v>7.5403408425537131E-20</v>
      </c>
      <c r="AX147" s="23">
        <f t="shared" si="114"/>
        <v>2.4053016056077201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-2.2737367544323206E-13</v>
      </c>
      <c r="O148" s="14">
        <f>N148*VLOOKUP('Données projet'!$B$9,Paramètres!$A$1:$I$89,3,0)*VLOOKUP('Données projet'!$B$9,Paramètres!$A$1:$I$89,5,0)</f>
        <v>-1.2710188457276673E-13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443.34220761968419</v>
      </c>
      <c r="T148" s="62">
        <f t="shared" si="142"/>
        <v>546.58234447298014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0.18091528934671045</v>
      </c>
      <c r="AB148" s="23">
        <f>EXP(-LN(2)/2)*AB147+(1-EXP(-LN(2)/2))/(LN(2)/2)*V148*Y148*VLOOKUP('Données projet'!$B$9,Paramètres!$A$1:$I$89,3,0)*0.475*44/12</f>
        <v>1.6379915068076172E-16</v>
      </c>
      <c r="AC148" s="24">
        <f t="shared" si="111"/>
        <v>0.18091528934671061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-1.7053025658242404E-13</v>
      </c>
      <c r="AJ148" s="14">
        <f>AI148*VLOOKUP('Données projet'!$B$10,Paramètres!$A$1:$I$89,3,0)*VLOOKUP('Données projet'!$B$10,Paramètres!$A$1:$I$89,5,0)</f>
        <v>-9.3109520094003535E-14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250.47640551318432</v>
      </c>
      <c r="AO148" s="62">
        <f t="shared" si="144"/>
        <v>361.92681160120975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0.87640589371797795</v>
      </c>
      <c r="AV148" s="23">
        <f>EXP(-LN(2)/25)*AV147+(1-EXP(-LN(2)/25))/(LN(2)/25)*Calculateur!AQ148*Calculateur!AS148*VLOOKUP('Données projet'!$B$10,Paramètres!$A$1:$I$89,3,0)*0.475*44/12</f>
        <v>1.4700377957418072</v>
      </c>
      <c r="AW148" s="23">
        <f>EXP(-LN(2)/2)*AW147+(1-EXP(-LN(2)/2))/(LN(2)/2)*AQ148*AT148*VLOOKUP('Données projet'!$B$10,Paramètres!$A$1:$I$89,3,0)*0.475*44/12</f>
        <v>5.3318261422276164E-20</v>
      </c>
      <c r="AX148" s="23">
        <f t="shared" si="114"/>
        <v>2.3464436894597851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-2.2737367544323206E-13</v>
      </c>
      <c r="O149" s="14">
        <f>N149*VLOOKUP('Données projet'!$B$9,Paramètres!$A$1:$I$89,3,0)*VLOOKUP('Données projet'!$B$9,Paramètres!$A$1:$I$89,5,0)</f>
        <v>-1.2710188457276673E-13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443.34220761968419</v>
      </c>
      <c r="T149" s="62">
        <f t="shared" si="142"/>
        <v>546.58234447298014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0.17596815124560305</v>
      </c>
      <c r="AB149" s="23">
        <f>EXP(-LN(2)/2)*AB148+(1-EXP(-LN(2)/2))/(LN(2)/2)*V149*Y149*VLOOKUP('Données projet'!$B$9,Paramètres!$A$1:$I$89,3,0)*0.475*44/12</f>
        <v>1.158234901989637E-16</v>
      </c>
      <c r="AC149" s="24">
        <f t="shared" si="111"/>
        <v>0.17596815124560317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-1.7053025658242404E-13</v>
      </c>
      <c r="AJ149" s="14">
        <f>AI149*VLOOKUP('Données projet'!$B$10,Paramètres!$A$1:$I$89,3,0)*VLOOKUP('Données projet'!$B$10,Paramètres!$A$1:$I$89,5,0)</f>
        <v>-9.3109520094003535E-14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250.47640551318432</v>
      </c>
      <c r="AO149" s="62">
        <f t="shared" si="144"/>
        <v>361.92681160120975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0.85922010869698062</v>
      </c>
      <c r="AV149" s="23">
        <f>EXP(-LN(2)/25)*AV148+(1-EXP(-LN(2)/25))/(LN(2)/25)*Calculateur!AQ149*Calculateur!AS149*VLOOKUP('Données projet'!$B$10,Paramètres!$A$1:$I$89,3,0)*0.475*44/12</f>
        <v>1.4298395349113195</v>
      </c>
      <c r="AW149" s="23">
        <f>EXP(-LN(2)/2)*AW148+(1-EXP(-LN(2)/2))/(LN(2)/2)*AQ149*AT149*VLOOKUP('Données projet'!$B$10,Paramètres!$A$1:$I$89,3,0)*0.475*44/12</f>
        <v>3.7701704212768572E-20</v>
      </c>
      <c r="AX149" s="23">
        <f t="shared" si="114"/>
        <v>2.2890596436082999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-2.2737367544323206E-13</v>
      </c>
      <c r="O150" s="14">
        <f>N150*VLOOKUP('Données projet'!$B$9,Paramètres!$A$1:$I$89,3,0)*VLOOKUP('Données projet'!$B$9,Paramètres!$A$1:$I$89,5,0)</f>
        <v>-1.2710188457276673E-13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443.34220761968419</v>
      </c>
      <c r="T150" s="62">
        <f t="shared" si="142"/>
        <v>546.58234447298014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0.17115629289602916</v>
      </c>
      <c r="AB150" s="23">
        <f>EXP(-LN(2)/2)*AB149+(1-EXP(-LN(2)/2))/(LN(2)/2)*V150*Y150*VLOOKUP('Données projet'!$B$9,Paramètres!$A$1:$I$89,3,0)*0.475*44/12</f>
        <v>8.1899575340380859E-17</v>
      </c>
      <c r="AC150" s="24">
        <f t="shared" si="111"/>
        <v>0.17115629289602924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-1.7053025658242404E-13</v>
      </c>
      <c r="AJ150" s="14">
        <f>AI150*VLOOKUP('Données projet'!$B$10,Paramètres!$A$1:$I$89,3,0)*VLOOKUP('Données projet'!$B$10,Paramètres!$A$1:$I$89,5,0)</f>
        <v>-9.3109520094003535E-14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250.47640551318432</v>
      </c>
      <c r="AO150" s="62">
        <f t="shared" si="144"/>
        <v>361.92681160120975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0.84237132643795132</v>
      </c>
      <c r="AV150" s="23">
        <f>EXP(-LN(2)/25)*AV149+(1-EXP(-LN(2)/25))/(LN(2)/25)*Calculateur!AQ150*Calculateur!AS150*VLOOKUP('Données projet'!$B$10,Paramètres!$A$1:$I$89,3,0)*0.475*44/12</f>
        <v>1.3907404976371762</v>
      </c>
      <c r="AW150" s="23">
        <f>EXP(-LN(2)/2)*AW149+(1-EXP(-LN(2)/2))/(LN(2)/2)*AQ150*AT150*VLOOKUP('Données projet'!$B$10,Paramètres!$A$1:$I$89,3,0)*0.475*44/12</f>
        <v>2.6659130711138085E-20</v>
      </c>
      <c r="AX150" s="23">
        <f t="shared" si="114"/>
        <v>2.2331118240751273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-2.2737367544323206E-13</v>
      </c>
      <c r="O151" s="14">
        <f>N151*VLOOKUP('Données projet'!$B$9,Paramètres!$A$1:$I$89,3,0)*VLOOKUP('Données projet'!$B$9,Paramètres!$A$1:$I$89,5,0)</f>
        <v>-1.2710188457276673E-13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443.34220761968419</v>
      </c>
      <c r="T151" s="62">
        <f t="shared" si="142"/>
        <v>546.58234447298014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0.16647601506606899</v>
      </c>
      <c r="AB151" s="23">
        <f>EXP(-LN(2)/2)*AB150+(1-EXP(-LN(2)/2))/(LN(2)/2)*V151*Y151*VLOOKUP('Données projet'!$B$9,Paramètres!$A$1:$I$89,3,0)*0.475*44/12</f>
        <v>5.7911745099481851E-17</v>
      </c>
      <c r="AC151" s="24">
        <f t="shared" si="111"/>
        <v>0.16647601506606904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-1.7053025658242404E-13</v>
      </c>
      <c r="AJ151" s="14">
        <f>AI151*VLOOKUP('Données projet'!$B$10,Paramètres!$A$1:$I$89,3,0)*VLOOKUP('Données projet'!$B$10,Paramètres!$A$1:$I$89,5,0)</f>
        <v>-9.3109520094003535E-14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250.47640551318432</v>
      </c>
      <c r="AO151" s="62">
        <f t="shared" si="144"/>
        <v>361.92681160120975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0.82585293852227915</v>
      </c>
      <c r="AV151" s="23">
        <f>EXP(-LN(2)/25)*AV150+(1-EXP(-LN(2)/25))/(LN(2)/25)*Calculateur!AQ151*Calculateur!AS151*VLOOKUP('Données projet'!$B$10,Paramètres!$A$1:$I$89,3,0)*0.475*44/12</f>
        <v>1.3527106255934234</v>
      </c>
      <c r="AW151" s="23">
        <f>EXP(-LN(2)/2)*AW150+(1-EXP(-LN(2)/2))/(LN(2)/2)*AQ151*AT151*VLOOKUP('Données projet'!$B$10,Paramètres!$A$1:$I$89,3,0)*0.475*44/12</f>
        <v>1.8850852106384289E-20</v>
      </c>
      <c r="AX151" s="23">
        <f t="shared" si="114"/>
        <v>2.1785635641157026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-2.2737367544323206E-13</v>
      </c>
      <c r="O152" s="14">
        <f>N152*VLOOKUP('Données projet'!$B$9,Paramètres!$A$1:$I$89,3,0)*VLOOKUP('Données projet'!$B$9,Paramètres!$A$1:$I$89,5,0)</f>
        <v>-1.2710188457276673E-13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443.34220761968419</v>
      </c>
      <c r="T152" s="62">
        <f t="shared" si="142"/>
        <v>546.58234447298014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0.16192371967949418</v>
      </c>
      <c r="AB152" s="23">
        <f>EXP(-LN(2)/2)*AB151+(1-EXP(-LN(2)/2))/(LN(2)/2)*V152*Y152*VLOOKUP('Données projet'!$B$9,Paramètres!$A$1:$I$89,3,0)*0.475*44/12</f>
        <v>4.0949787670190429E-17</v>
      </c>
      <c r="AC152" s="24">
        <f t="shared" si="111"/>
        <v>0.1619237196794942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-1.7053025658242404E-13</v>
      </c>
      <c r="AJ152" s="14">
        <f>AI152*VLOOKUP('Données projet'!$B$10,Paramètres!$A$1:$I$89,3,0)*VLOOKUP('Données projet'!$B$10,Paramètres!$A$1:$I$89,5,0)</f>
        <v>-9.3109520094003535E-14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250.47640551318432</v>
      </c>
      <c r="AO152" s="62">
        <f t="shared" si="144"/>
        <v>361.92681160120975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0.80965846611841152</v>
      </c>
      <c r="AV152" s="23">
        <f>EXP(-LN(2)/25)*AV151+(1-EXP(-LN(2)/25))/(LN(2)/25)*Calculateur!AQ152*Calculateur!AS152*VLOOKUP('Données projet'!$B$10,Paramètres!$A$1:$I$89,3,0)*0.475*44/12</f>
        <v>1.3157206824006111</v>
      </c>
      <c r="AW152" s="23">
        <f>EXP(-LN(2)/2)*AW151+(1-EXP(-LN(2)/2))/(LN(2)/2)*AQ152*AT152*VLOOKUP('Données projet'!$B$10,Paramètres!$A$1:$I$89,3,0)*0.475*44/12</f>
        <v>1.3329565355569044E-20</v>
      </c>
      <c r="AX152" s="23">
        <f t="shared" si="114"/>
        <v>2.1253791485190225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-2.2737367544323206E-13</v>
      </c>
      <c r="O153" s="14">
        <f>N153*VLOOKUP('Données projet'!$B$9,Paramètres!$A$1:$I$89,3,0)*VLOOKUP('Données projet'!$B$9,Paramètres!$A$1:$I$89,5,0)</f>
        <v>-1.2710188457276673E-13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443.34220761968419</v>
      </c>
      <c r="T153" s="62">
        <f t="shared" si="142"/>
        <v>546.58234447298014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0.15749590704966007</v>
      </c>
      <c r="AB153" s="23">
        <f>EXP(-LN(2)/2)*AB152+(1-EXP(-LN(2)/2))/(LN(2)/2)*V153*Y153*VLOOKUP('Données projet'!$B$9,Paramètres!$A$1:$I$89,3,0)*0.475*44/12</f>
        <v>2.8955872549740925E-17</v>
      </c>
      <c r="AC153" s="24">
        <f t="shared" si="111"/>
        <v>0.1574959070496601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-1.7053025658242404E-13</v>
      </c>
      <c r="AJ153" s="14">
        <f>AI153*VLOOKUP('Données projet'!$B$10,Paramètres!$A$1:$I$89,3,0)*VLOOKUP('Données projet'!$B$10,Paramètres!$A$1:$I$89,5,0)</f>
        <v>-9.3109520094003535E-14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250.47640551318432</v>
      </c>
      <c r="AO153" s="62">
        <f t="shared" si="144"/>
        <v>361.92681160120975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0.79378155744073087</v>
      </c>
      <c r="AV153" s="23">
        <f>EXP(-LN(2)/25)*AV152+(1-EXP(-LN(2)/25))/(LN(2)/25)*Calculateur!AQ153*Calculateur!AS153*VLOOKUP('Données projet'!$B$10,Paramètres!$A$1:$I$89,3,0)*0.475*44/12</f>
        <v>1.2797422311496229</v>
      </c>
      <c r="AW153" s="23">
        <f>EXP(-LN(2)/2)*AW152+(1-EXP(-LN(2)/2))/(LN(2)/2)*AQ153*AT153*VLOOKUP('Données projet'!$B$10,Paramètres!$A$1:$I$89,3,0)*0.475*44/12</f>
        <v>9.4254260531921459E-21</v>
      </c>
      <c r="AX153" s="23">
        <f t="shared" si="114"/>
        <v>2.0735237885903537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-2.2737367544323206E-13</v>
      </c>
      <c r="O154" s="14">
        <f>N154*VLOOKUP('Données projet'!$B$9,Paramètres!$A$1:$I$89,3,0)*VLOOKUP('Données projet'!$B$9,Paramètres!$A$1:$I$89,5,0)</f>
        <v>-1.2710188457276673E-13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443.34220761968419</v>
      </c>
      <c r="T154" s="62">
        <f t="shared" si="142"/>
        <v>546.58234447298014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0.15318917318903733</v>
      </c>
      <c r="AB154" s="23">
        <f>EXP(-LN(2)/2)*AB153+(1-EXP(-LN(2)/2))/(LN(2)/2)*V154*Y154*VLOOKUP('Données projet'!$B$9,Paramètres!$A$1:$I$89,3,0)*0.475*44/12</f>
        <v>2.0474893835095215E-17</v>
      </c>
      <c r="AC154" s="24">
        <f t="shared" ref="AC154:AC203" si="163">SUM(Z154:AB154)</f>
        <v>0.15318917318903735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-1.7053025658242404E-13</v>
      </c>
      <c r="AJ154" s="14">
        <f>AI154*VLOOKUP('Données projet'!$B$10,Paramètres!$A$1:$I$89,3,0)*VLOOKUP('Données projet'!$B$10,Paramètres!$A$1:$I$89,5,0)</f>
        <v>-9.3109520094003535E-14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250.47640551318432</v>
      </c>
      <c r="AO154" s="62">
        <f t="shared" si="144"/>
        <v>361.92681160120975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0.77821598525826141</v>
      </c>
      <c r="AV154" s="23">
        <f>EXP(-LN(2)/25)*AV153+(1-EXP(-LN(2)/25))/(LN(2)/25)*Calculateur!AQ154*Calculateur!AS154*VLOOKUP('Données projet'!$B$10,Paramètres!$A$1:$I$89,3,0)*0.475*44/12</f>
        <v>1.2447476125401173</v>
      </c>
      <c r="AW154" s="23">
        <f>EXP(-LN(2)/2)*AW153+(1-EXP(-LN(2)/2))/(LN(2)/2)*AQ154*AT154*VLOOKUP('Données projet'!$B$10,Paramètres!$A$1:$I$89,3,0)*0.475*44/12</f>
        <v>6.6647826777845236E-21</v>
      </c>
      <c r="AX154" s="23">
        <f t="shared" ref="AX154:AX203" si="166">SUM(AU154:AW154)</f>
        <v>2.0229635977983786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-2.2737367544323206E-13</v>
      </c>
      <c r="O155" s="14">
        <f>N155*VLOOKUP('Données projet'!$B$9,Paramètres!$A$1:$I$89,3,0)*VLOOKUP('Données projet'!$B$9,Paramètres!$A$1:$I$89,5,0)</f>
        <v>-1.2710188457276673E-13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443.34220761968419</v>
      </c>
      <c r="T155" s="62">
        <f t="shared" si="142"/>
        <v>546.58234447298014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0.1490002071923146</v>
      </c>
      <c r="AB155" s="23">
        <f>EXP(-LN(2)/2)*AB154+(1-EXP(-LN(2)/2))/(LN(2)/2)*V155*Y155*VLOOKUP('Données projet'!$B$9,Paramètres!$A$1:$I$89,3,0)*0.475*44/12</f>
        <v>1.4477936274870463E-17</v>
      </c>
      <c r="AC155" s="24">
        <f t="shared" si="163"/>
        <v>0.14900020719231463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-1.7053025658242404E-13</v>
      </c>
      <c r="AJ155" s="14">
        <f>AI155*VLOOKUP('Données projet'!$B$10,Paramètres!$A$1:$I$89,3,0)*VLOOKUP('Données projet'!$B$10,Paramètres!$A$1:$I$89,5,0)</f>
        <v>-9.3109520094003535E-14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250.47640551318432</v>
      </c>
      <c r="AO155" s="62">
        <f t="shared" si="144"/>
        <v>361.92681160120975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0.76295564445222863</v>
      </c>
      <c r="AV155" s="23">
        <f>EXP(-LN(2)/25)*AV154+(1-EXP(-LN(2)/25))/(LN(2)/25)*Calculateur!AQ155*Calculateur!AS155*VLOOKUP('Données projet'!$B$10,Paramètres!$A$1:$I$89,3,0)*0.475*44/12</f>
        <v>1.2107099236167758</v>
      </c>
      <c r="AW155" s="23">
        <f>EXP(-LN(2)/2)*AW154+(1-EXP(-LN(2)/2))/(LN(2)/2)*AQ155*AT155*VLOOKUP('Données projet'!$B$10,Paramètres!$A$1:$I$89,3,0)*0.475*44/12</f>
        <v>4.7127130265960737E-21</v>
      </c>
      <c r="AX155" s="23">
        <f t="shared" si="166"/>
        <v>1.9736655680690043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-2.2737367544323206E-13</v>
      </c>
      <c r="O156" s="14">
        <f>N156*VLOOKUP('Données projet'!$B$9,Paramètres!$A$1:$I$89,3,0)*VLOOKUP('Données projet'!$B$9,Paramètres!$A$1:$I$89,5,0)</f>
        <v>-1.2710188457276673E-13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443.34220761968419</v>
      </c>
      <c r="T156" s="62">
        <f t="shared" si="142"/>
        <v>546.58234447298014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0.1449257886910604</v>
      </c>
      <c r="AB156" s="23">
        <f>EXP(-LN(2)/2)*AB155+(1-EXP(-LN(2)/2))/(LN(2)/2)*V156*Y156*VLOOKUP('Données projet'!$B$9,Paramètres!$A$1:$I$89,3,0)*0.475*44/12</f>
        <v>1.0237446917547607E-17</v>
      </c>
      <c r="AC156" s="24">
        <f t="shared" si="163"/>
        <v>0.1449257886910604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-1.7053025658242404E-13</v>
      </c>
      <c r="AJ156" s="14">
        <f>AI156*VLOOKUP('Données projet'!$B$10,Paramètres!$A$1:$I$89,3,0)*VLOOKUP('Données projet'!$B$10,Paramètres!$A$1:$I$89,5,0)</f>
        <v>-9.3109520094003535E-14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250.47640551318432</v>
      </c>
      <c r="AO156" s="62">
        <f t="shared" si="144"/>
        <v>361.92681160120975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0.74799454962151335</v>
      </c>
      <c r="AV156" s="23">
        <f>EXP(-LN(2)/25)*AV155+(1-EXP(-LN(2)/25))/(LN(2)/25)*Calculateur!AQ156*Calculateur!AS156*VLOOKUP('Données projet'!$B$10,Paramètres!$A$1:$I$89,3,0)*0.475*44/12</f>
        <v>1.1776029970870072</v>
      </c>
      <c r="AW156" s="23">
        <f>EXP(-LN(2)/2)*AW155+(1-EXP(-LN(2)/2))/(LN(2)/2)*AQ156*AT156*VLOOKUP('Données projet'!$B$10,Paramètres!$A$1:$I$89,3,0)*0.475*44/12</f>
        <v>3.3323913388922622E-21</v>
      </c>
      <c r="AX156" s="23">
        <f t="shared" si="166"/>
        <v>1.9255975467085205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-2.2737367544323206E-13</v>
      </c>
      <c r="O157" s="14">
        <f>N157*VLOOKUP('Données projet'!$B$9,Paramètres!$A$1:$I$89,3,0)*VLOOKUP('Données projet'!$B$9,Paramètres!$A$1:$I$89,5,0)</f>
        <v>-1.2710188457276673E-13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443.34220761968419</v>
      </c>
      <c r="T157" s="62">
        <f t="shared" si="142"/>
        <v>546.58234447298014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0.14096278537798737</v>
      </c>
      <c r="AB157" s="23">
        <f>EXP(-LN(2)/2)*AB156+(1-EXP(-LN(2)/2))/(LN(2)/2)*V157*Y157*VLOOKUP('Données projet'!$B$9,Paramètres!$A$1:$I$89,3,0)*0.475*44/12</f>
        <v>7.2389681374352313E-18</v>
      </c>
      <c r="AC157" s="24">
        <f t="shared" si="163"/>
        <v>0.14096278537798737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-1.7053025658242404E-13</v>
      </c>
      <c r="AJ157" s="14">
        <f>AI157*VLOOKUP('Données projet'!$B$10,Paramètres!$A$1:$I$89,3,0)*VLOOKUP('Données projet'!$B$10,Paramètres!$A$1:$I$89,5,0)</f>
        <v>-9.3109520094003535E-14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250.47640551318432</v>
      </c>
      <c r="AO157" s="62">
        <f t="shared" si="144"/>
        <v>361.92681160120975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0.73332683273506161</v>
      </c>
      <c r="AV157" s="23">
        <f>EXP(-LN(2)/25)*AV156+(1-EXP(-LN(2)/25))/(LN(2)/25)*Calculateur!AQ157*Calculateur!AS157*VLOOKUP('Données projet'!$B$10,Paramètres!$A$1:$I$89,3,0)*0.475*44/12</f>
        <v>1.1454013812042128</v>
      </c>
      <c r="AW157" s="23">
        <f>EXP(-LN(2)/2)*AW156+(1-EXP(-LN(2)/2))/(LN(2)/2)*AQ157*AT157*VLOOKUP('Données projet'!$B$10,Paramètres!$A$1:$I$89,3,0)*0.475*44/12</f>
        <v>2.3563565132980372E-21</v>
      </c>
      <c r="AX157" s="23">
        <f t="shared" si="166"/>
        <v>1.8787282139392745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-2.2737367544323206E-13</v>
      </c>
      <c r="O158" s="14">
        <f>N158*VLOOKUP('Données projet'!$B$9,Paramètres!$A$1:$I$89,3,0)*VLOOKUP('Données projet'!$B$9,Paramètres!$A$1:$I$89,5,0)</f>
        <v>-1.2710188457276673E-13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443.34220761968419</v>
      </c>
      <c r="T158" s="62">
        <f t="shared" si="142"/>
        <v>546.58234447298014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0.1371081505989156</v>
      </c>
      <c r="AB158" s="23">
        <f>EXP(-LN(2)/2)*AB157+(1-EXP(-LN(2)/2))/(LN(2)/2)*V158*Y158*VLOOKUP('Données projet'!$B$9,Paramètres!$A$1:$I$89,3,0)*0.475*44/12</f>
        <v>5.1187234587738037E-18</v>
      </c>
      <c r="AC158" s="24">
        <f t="shared" si="163"/>
        <v>0.1371081505989156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-1.7053025658242404E-13</v>
      </c>
      <c r="AJ158" s="14">
        <f>AI158*VLOOKUP('Données projet'!$B$10,Paramètres!$A$1:$I$89,3,0)*VLOOKUP('Données projet'!$B$10,Paramètres!$A$1:$I$89,5,0)</f>
        <v>-9.3109520094003535E-14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250.47640551318432</v>
      </c>
      <c r="AO158" s="62">
        <f t="shared" si="144"/>
        <v>361.92681160120975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0.71894674083032928</v>
      </c>
      <c r="AV158" s="23">
        <f>EXP(-LN(2)/25)*AV157+(1-EXP(-LN(2)/25))/(LN(2)/25)*Calculateur!AQ158*Calculateur!AS158*VLOOKUP('Données projet'!$B$10,Paramètres!$A$1:$I$89,3,0)*0.475*44/12</f>
        <v>1.1140803202011427</v>
      </c>
      <c r="AW158" s="23">
        <f>EXP(-LN(2)/2)*AW157+(1-EXP(-LN(2)/2))/(LN(2)/2)*AQ158*AT158*VLOOKUP('Données projet'!$B$10,Paramètres!$A$1:$I$89,3,0)*0.475*44/12</f>
        <v>1.6661956694461315E-21</v>
      </c>
      <c r="AX158" s="23">
        <f t="shared" si="166"/>
        <v>1.8330270610314718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-2.2737367544323206E-13</v>
      </c>
      <c r="O159" s="14">
        <f>N159*VLOOKUP('Données projet'!$B$9,Paramètres!$A$1:$I$89,3,0)*VLOOKUP('Données projet'!$B$9,Paramètres!$A$1:$I$89,5,0)</f>
        <v>-1.2710188457276673E-13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443.34220761968419</v>
      </c>
      <c r="T159" s="62">
        <f t="shared" si="142"/>
        <v>546.58234447298014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0.13335892101058397</v>
      </c>
      <c r="AB159" s="23">
        <f>EXP(-LN(2)/2)*AB158+(1-EXP(-LN(2)/2))/(LN(2)/2)*V159*Y159*VLOOKUP('Données projet'!$B$9,Paramètres!$A$1:$I$89,3,0)*0.475*44/12</f>
        <v>3.6194840687176157E-18</v>
      </c>
      <c r="AC159" s="24">
        <f t="shared" si="163"/>
        <v>0.13335892101058397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-1.7053025658242404E-13</v>
      </c>
      <c r="AJ159" s="14">
        <f>AI159*VLOOKUP('Données projet'!$B$10,Paramètres!$A$1:$I$89,3,0)*VLOOKUP('Données projet'!$B$10,Paramètres!$A$1:$I$89,5,0)</f>
        <v>-9.3109520094003535E-14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250.47640551318432</v>
      </c>
      <c r="AO159" s="62">
        <f t="shared" si="144"/>
        <v>361.92681160120975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0.7048486337568588</v>
      </c>
      <c r="AV159" s="23">
        <f>EXP(-LN(2)/25)*AV158+(1-EXP(-LN(2)/25))/(LN(2)/25)*Calculateur!AQ159*Calculateur!AS159*VLOOKUP('Données projet'!$B$10,Paramètres!$A$1:$I$89,3,0)*0.475*44/12</f>
        <v>1.0836157352583047</v>
      </c>
      <c r="AW159" s="23">
        <f>EXP(-LN(2)/2)*AW158+(1-EXP(-LN(2)/2))/(LN(2)/2)*AQ159*AT159*VLOOKUP('Données projet'!$B$10,Paramètres!$A$1:$I$89,3,0)*0.475*44/12</f>
        <v>1.1781782566490188E-21</v>
      </c>
      <c r="AX159" s="23">
        <f t="shared" si="166"/>
        <v>1.7884643690151636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-2.2737367544323206E-13</v>
      </c>
      <c r="O160" s="14">
        <f>N160*VLOOKUP('Données projet'!$B$9,Paramètres!$A$1:$I$89,3,0)*VLOOKUP('Données projet'!$B$9,Paramètres!$A$1:$I$89,5,0)</f>
        <v>-1.2710188457276673E-13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443.34220761968419</v>
      </c>
      <c r="T160" s="62">
        <f t="shared" si="142"/>
        <v>546.58234447298014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0.12971221430250868</v>
      </c>
      <c r="AB160" s="23">
        <f>EXP(-LN(2)/2)*AB159+(1-EXP(-LN(2)/2))/(LN(2)/2)*V160*Y160*VLOOKUP('Données projet'!$B$9,Paramètres!$A$1:$I$89,3,0)*0.475*44/12</f>
        <v>2.5593617293869018E-18</v>
      </c>
      <c r="AC160" s="24">
        <f t="shared" si="163"/>
        <v>0.12971221430250868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-1.7053025658242404E-13</v>
      </c>
      <c r="AJ160" s="14">
        <f>AI160*VLOOKUP('Données projet'!$B$10,Paramètres!$A$1:$I$89,3,0)*VLOOKUP('Données projet'!$B$10,Paramètres!$A$1:$I$89,5,0)</f>
        <v>-9.3109520094003535E-14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250.47640551318432</v>
      </c>
      <c r="AO160" s="62">
        <f t="shared" si="144"/>
        <v>361.92681160120975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0.69102698196410284</v>
      </c>
      <c r="AV160" s="23">
        <f>EXP(-LN(2)/25)*AV159+(1-EXP(-LN(2)/25))/(LN(2)/25)*Calculateur!AQ160*Calculateur!AS160*VLOOKUP('Données projet'!$B$10,Paramètres!$A$1:$I$89,3,0)*0.475*44/12</f>
        <v>1.0539842059927915</v>
      </c>
      <c r="AW160" s="23">
        <f>EXP(-LN(2)/2)*AW159+(1-EXP(-LN(2)/2))/(LN(2)/2)*AQ160*AT160*VLOOKUP('Données projet'!$B$10,Paramètres!$A$1:$I$89,3,0)*0.475*44/12</f>
        <v>8.3309783472306582E-22</v>
      </c>
      <c r="AX160" s="23">
        <f t="shared" si="166"/>
        <v>1.7450111879568944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-2.2737367544323206E-13</v>
      </c>
      <c r="O161" s="14">
        <f>N161*VLOOKUP('Données projet'!$B$9,Paramètres!$A$1:$I$89,3,0)*VLOOKUP('Données projet'!$B$9,Paramètres!$A$1:$I$89,5,0)</f>
        <v>-1.2710188457276673E-13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443.34220761968419</v>
      </c>
      <c r="T161" s="62">
        <f t="shared" si="142"/>
        <v>546.58234447298014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0.12616522698113769</v>
      </c>
      <c r="AB161" s="23">
        <f>EXP(-LN(2)/2)*AB160+(1-EXP(-LN(2)/2))/(LN(2)/2)*V161*Y161*VLOOKUP('Données projet'!$B$9,Paramètres!$A$1:$I$89,3,0)*0.475*44/12</f>
        <v>1.8097420343588078E-18</v>
      </c>
      <c r="AC161" s="24">
        <f t="shared" si="163"/>
        <v>0.12616522698113769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-1.7053025658242404E-13</v>
      </c>
      <c r="AJ161" s="14">
        <f>AI161*VLOOKUP('Données projet'!$B$10,Paramètres!$A$1:$I$89,3,0)*VLOOKUP('Données projet'!$B$10,Paramètres!$A$1:$I$89,5,0)</f>
        <v>-9.3109520094003535E-14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250.47640551318432</v>
      </c>
      <c r="AO161" s="62">
        <f t="shared" si="144"/>
        <v>361.92681160120975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0.67747636433262759</v>
      </c>
      <c r="AV161" s="23">
        <f>EXP(-LN(2)/25)*AV160+(1-EXP(-LN(2)/25))/(LN(2)/25)*Calculateur!AQ161*Calculateur!AS161*VLOOKUP('Données projet'!$B$10,Paramètres!$A$1:$I$89,3,0)*0.475*44/12</f>
        <v>1.0251629524532981</v>
      </c>
      <c r="AW161" s="23">
        <f>EXP(-LN(2)/2)*AW160+(1-EXP(-LN(2)/2))/(LN(2)/2)*AQ161*AT161*VLOOKUP('Données projet'!$B$10,Paramètres!$A$1:$I$89,3,0)*0.475*44/12</f>
        <v>5.890891283245095E-22</v>
      </c>
      <c r="AX161" s="23">
        <f t="shared" si="166"/>
        <v>1.7026393167859257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-2.2737367544323206E-13</v>
      </c>
      <c r="O162" s="14">
        <f>N162*VLOOKUP('Données projet'!$B$9,Paramètres!$A$1:$I$89,3,0)*VLOOKUP('Données projet'!$B$9,Paramètres!$A$1:$I$89,5,0)</f>
        <v>-1.2710188457276673E-13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443.34220761968419</v>
      </c>
      <c r="T162" s="62">
        <f t="shared" si="142"/>
        <v>546.58234447298014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0.12271523221459754</v>
      </c>
      <c r="AB162" s="23">
        <f>EXP(-LN(2)/2)*AB161+(1-EXP(-LN(2)/2))/(LN(2)/2)*V162*Y162*VLOOKUP('Données projet'!$B$9,Paramètres!$A$1:$I$89,3,0)*0.475*44/12</f>
        <v>1.2796808646934509E-18</v>
      </c>
      <c r="AC162" s="24">
        <f t="shared" si="163"/>
        <v>0.12271523221459754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-1.7053025658242404E-13</v>
      </c>
      <c r="AJ162" s="14">
        <f>AI162*VLOOKUP('Données projet'!$B$10,Paramètres!$A$1:$I$89,3,0)*VLOOKUP('Données projet'!$B$10,Paramètres!$A$1:$I$89,5,0)</f>
        <v>-9.3109520094003535E-14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250.47640551318432</v>
      </c>
      <c r="AO162" s="62">
        <f t="shared" si="144"/>
        <v>361.92681160120975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0.66419146604784496</v>
      </c>
      <c r="AV162" s="23">
        <f>EXP(-LN(2)/25)*AV161+(1-EXP(-LN(2)/25))/(LN(2)/25)*Calculateur!AQ162*Calculateur!AS162*VLOOKUP('Données projet'!$B$10,Paramètres!$A$1:$I$89,3,0)*0.475*44/12</f>
        <v>0.99712981760748609</v>
      </c>
      <c r="AW162" s="23">
        <f>EXP(-LN(2)/2)*AW161+(1-EXP(-LN(2)/2))/(LN(2)/2)*AQ162*AT162*VLOOKUP('Données projet'!$B$10,Paramètres!$A$1:$I$89,3,0)*0.475*44/12</f>
        <v>4.1654891736153296E-22</v>
      </c>
      <c r="AX162" s="23">
        <f t="shared" si="166"/>
        <v>1.661321283655331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-2.2737367544323206E-13</v>
      </c>
      <c r="O163" s="14">
        <f>N163*VLOOKUP('Données projet'!$B$9,Paramètres!$A$1:$I$89,3,0)*VLOOKUP('Données projet'!$B$9,Paramètres!$A$1:$I$89,5,0)</f>
        <v>-1.2710188457276673E-13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443.34220761968419</v>
      </c>
      <c r="T163" s="62">
        <f t="shared" si="142"/>
        <v>546.58234447298014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0.11935957773637577</v>
      </c>
      <c r="AB163" s="23">
        <f>EXP(-LN(2)/2)*AB162+(1-EXP(-LN(2)/2))/(LN(2)/2)*V163*Y163*VLOOKUP('Données projet'!$B$9,Paramètres!$A$1:$I$89,3,0)*0.475*44/12</f>
        <v>9.0487101717940392E-19</v>
      </c>
      <c r="AC163" s="24">
        <f t="shared" si="163"/>
        <v>0.11935957773637577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-1.7053025658242404E-13</v>
      </c>
      <c r="AJ163" s="14">
        <f>AI163*VLOOKUP('Données projet'!$B$10,Paramètres!$A$1:$I$89,3,0)*VLOOKUP('Données projet'!$B$10,Paramètres!$A$1:$I$89,5,0)</f>
        <v>-9.3109520094003535E-14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250.47640551318432</v>
      </c>
      <c r="AO163" s="62">
        <f t="shared" si="144"/>
        <v>361.92681160120975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0.65116707651543904</v>
      </c>
      <c r="AV163" s="23">
        <f>EXP(-LN(2)/25)*AV162+(1-EXP(-LN(2)/25))/(LN(2)/25)*Calculateur!AQ163*Calculateur!AS163*VLOOKUP('Données projet'!$B$10,Paramètres!$A$1:$I$89,3,0)*0.475*44/12</f>
        <v>0.96986325030823128</v>
      </c>
      <c r="AW163" s="23">
        <f>EXP(-LN(2)/2)*AW162+(1-EXP(-LN(2)/2))/(LN(2)/2)*AQ163*AT163*VLOOKUP('Données projet'!$B$10,Paramètres!$A$1:$I$89,3,0)*0.475*44/12</f>
        <v>2.945445641622548E-22</v>
      </c>
      <c r="AX163" s="23">
        <f t="shared" si="166"/>
        <v>1.6210303268236703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-2.2737367544323206E-13</v>
      </c>
      <c r="O164" s="14">
        <f>N164*VLOOKUP('Données projet'!$B$9,Paramètres!$A$1:$I$89,3,0)*VLOOKUP('Données projet'!$B$9,Paramètres!$A$1:$I$89,5,0)</f>
        <v>-1.2710188457276673E-13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443.34220761968419</v>
      </c>
      <c r="T164" s="62">
        <f t="shared" si="142"/>
        <v>546.58234447298014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0.11609568380632719</v>
      </c>
      <c r="AB164" s="23">
        <f>EXP(-LN(2)/2)*AB163+(1-EXP(-LN(2)/2))/(LN(2)/2)*V164*Y164*VLOOKUP('Données projet'!$B$9,Paramètres!$A$1:$I$89,3,0)*0.475*44/12</f>
        <v>6.3984043234672546E-19</v>
      </c>
      <c r="AC164" s="24">
        <f t="shared" si="163"/>
        <v>0.11609568380632719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-1.7053025658242404E-13</v>
      </c>
      <c r="AJ164" s="14">
        <f>AI164*VLOOKUP('Données projet'!$B$10,Paramètres!$A$1:$I$89,3,0)*VLOOKUP('Données projet'!$B$10,Paramètres!$A$1:$I$89,5,0)</f>
        <v>-9.3109520094003535E-14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250.47640551318432</v>
      </c>
      <c r="AO164" s="62">
        <f t="shared" si="144"/>
        <v>361.92681160120975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0.63839808731767045</v>
      </c>
      <c r="AV164" s="23">
        <f>EXP(-LN(2)/25)*AV163+(1-EXP(-LN(2)/25))/(LN(2)/25)*Calculateur!AQ164*Calculateur!AS164*VLOOKUP('Données projet'!$B$10,Paramètres!$A$1:$I$89,3,0)*0.475*44/12</f>
        <v>0.94334228872566106</v>
      </c>
      <c r="AW164" s="23">
        <f>EXP(-LN(2)/2)*AW163+(1-EXP(-LN(2)/2))/(LN(2)/2)*AQ164*AT164*VLOOKUP('Données projet'!$B$10,Paramètres!$A$1:$I$89,3,0)*0.475*44/12</f>
        <v>2.0827445868076653E-22</v>
      </c>
      <c r="AX164" s="23">
        <f t="shared" si="166"/>
        <v>1.5817403760433315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-2.2737367544323206E-13</v>
      </c>
      <c r="O165" s="14">
        <f>N165*VLOOKUP('Données projet'!$B$9,Paramètres!$A$1:$I$89,3,0)*VLOOKUP('Données projet'!$B$9,Paramètres!$A$1:$I$89,5,0)</f>
        <v>-1.2710188457276673E-13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443.34220761968419</v>
      </c>
      <c r="T165" s="62">
        <f t="shared" si="142"/>
        <v>546.58234447298014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0.1129210412274365</v>
      </c>
      <c r="AB165" s="23">
        <f>EXP(-LN(2)/2)*AB164+(1-EXP(-LN(2)/2))/(LN(2)/2)*V165*Y165*VLOOKUP('Données projet'!$B$9,Paramètres!$A$1:$I$89,3,0)*0.475*44/12</f>
        <v>4.5243550858970196E-19</v>
      </c>
      <c r="AC165" s="24">
        <f t="shared" si="163"/>
        <v>0.1129210412274365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-1.7053025658242404E-13</v>
      </c>
      <c r="AJ165" s="14">
        <f>AI165*VLOOKUP('Données projet'!$B$10,Paramètres!$A$1:$I$89,3,0)*VLOOKUP('Données projet'!$B$10,Paramètres!$A$1:$I$89,5,0)</f>
        <v>-9.3109520094003535E-14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250.47640551318432</v>
      </c>
      <c r="AO165" s="62">
        <f t="shared" si="144"/>
        <v>361.92681160120975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0.62587949020975564</v>
      </c>
      <c r="AV165" s="23">
        <f>EXP(-LN(2)/25)*AV164+(1-EXP(-LN(2)/25))/(LN(2)/25)*Calculateur!AQ165*Calculateur!AS165*VLOOKUP('Données projet'!$B$10,Paramètres!$A$1:$I$89,3,0)*0.475*44/12</f>
        <v>0.91754654423224291</v>
      </c>
      <c r="AW165" s="23">
        <f>EXP(-LN(2)/2)*AW164+(1-EXP(-LN(2)/2))/(LN(2)/2)*AQ165*AT165*VLOOKUP('Données projet'!$B$10,Paramètres!$A$1:$I$89,3,0)*0.475*44/12</f>
        <v>1.4727228208112742E-22</v>
      </c>
      <c r="AX165" s="23">
        <f t="shared" si="166"/>
        <v>1.5434260344419986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-2.2737367544323206E-13</v>
      </c>
      <c r="O166" s="14">
        <f>N166*VLOOKUP('Données projet'!$B$9,Paramètres!$A$1:$I$89,3,0)*VLOOKUP('Données projet'!$B$9,Paramètres!$A$1:$I$89,5,0)</f>
        <v>-1.2710188457276673E-13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443.34220761968419</v>
      </c>
      <c r="T166" s="62">
        <f t="shared" si="142"/>
        <v>546.58234447298014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0.10983320941681278</v>
      </c>
      <c r="AB166" s="23">
        <f>EXP(-LN(2)/2)*AB165+(1-EXP(-LN(2)/2))/(LN(2)/2)*V166*Y166*VLOOKUP('Données projet'!$B$9,Paramètres!$A$1:$I$89,3,0)*0.475*44/12</f>
        <v>3.1992021617336273E-19</v>
      </c>
      <c r="AC166" s="24">
        <f t="shared" si="163"/>
        <v>0.10983320941681278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-1.7053025658242404E-13</v>
      </c>
      <c r="AJ166" s="14">
        <f>AI166*VLOOKUP('Données projet'!$B$10,Paramètres!$A$1:$I$89,3,0)*VLOOKUP('Données projet'!$B$10,Paramètres!$A$1:$I$89,5,0)</f>
        <v>-9.3109520094003535E-14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250.47640551318432</v>
      </c>
      <c r="AO166" s="62">
        <f t="shared" si="144"/>
        <v>361.92681160120975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0.61360637515553684</v>
      </c>
      <c r="AV166" s="23">
        <f>EXP(-LN(2)/25)*AV165+(1-EXP(-LN(2)/25))/(LN(2)/25)*Calculateur!AQ166*Calculateur!AS166*VLOOKUP('Données projet'!$B$10,Paramètres!$A$1:$I$89,3,0)*0.475*44/12</f>
        <v>0.89245618572853658</v>
      </c>
      <c r="AW166" s="23">
        <f>EXP(-LN(2)/2)*AW165+(1-EXP(-LN(2)/2))/(LN(2)/2)*AQ166*AT166*VLOOKUP('Données projet'!$B$10,Paramètres!$A$1:$I$89,3,0)*0.475*44/12</f>
        <v>1.0413722934038327E-22</v>
      </c>
      <c r="AX166" s="23">
        <f t="shared" si="166"/>
        <v>1.5060625608840734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-2.2737367544323206E-13</v>
      </c>
      <c r="O167" s="14">
        <f>N167*VLOOKUP('Données projet'!$B$9,Paramètres!$A$1:$I$89,3,0)*VLOOKUP('Données projet'!$B$9,Paramètres!$A$1:$I$89,5,0)</f>
        <v>-1.2710188457276673E-13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443.34220761968419</v>
      </c>
      <c r="T167" s="62">
        <f t="shared" si="142"/>
        <v>546.58234447298014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0.10682981452943258</v>
      </c>
      <c r="AB167" s="23">
        <f>EXP(-LN(2)/2)*AB166+(1-EXP(-LN(2)/2))/(LN(2)/2)*V167*Y167*VLOOKUP('Données projet'!$B$9,Paramètres!$A$1:$I$89,3,0)*0.475*44/12</f>
        <v>2.2621775429485098E-19</v>
      </c>
      <c r="AC167" s="24">
        <f t="shared" si="163"/>
        <v>0.10682981452943258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-1.7053025658242404E-13</v>
      </c>
      <c r="AJ167" s="14">
        <f>AI167*VLOOKUP('Données projet'!$B$10,Paramètres!$A$1:$I$89,3,0)*VLOOKUP('Données projet'!$B$10,Paramètres!$A$1:$I$89,5,0)</f>
        <v>-9.3109520094003535E-14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250.47640551318432</v>
      </c>
      <c r="AO167" s="62">
        <f t="shared" si="144"/>
        <v>361.92681160120975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0.60157392840167023</v>
      </c>
      <c r="AV167" s="23">
        <f>EXP(-LN(2)/25)*AV166+(1-EXP(-LN(2)/25))/(LN(2)/25)*Calculateur!AQ167*Calculateur!AS167*VLOOKUP('Données projet'!$B$10,Paramètres!$A$1:$I$89,3,0)*0.475*44/12</f>
        <v>0.86805192439755863</v>
      </c>
      <c r="AW167" s="23">
        <f>EXP(-LN(2)/2)*AW166+(1-EXP(-LN(2)/2))/(LN(2)/2)*AQ167*AT167*VLOOKUP('Données projet'!$B$10,Paramètres!$A$1:$I$89,3,0)*0.475*44/12</f>
        <v>7.3636141040563722E-23</v>
      </c>
      <c r="AX167" s="23">
        <f t="shared" si="166"/>
        <v>1.4696258527992287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-2.2737367544323206E-13</v>
      </c>
      <c r="O168" s="14">
        <f>N168*VLOOKUP('Données projet'!$B$9,Paramètres!$A$1:$I$89,3,0)*VLOOKUP('Données projet'!$B$9,Paramètres!$A$1:$I$89,5,0)</f>
        <v>-1.2710188457276673E-13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443.34220761968419</v>
      </c>
      <c r="T168" s="62">
        <f t="shared" si="142"/>
        <v>546.58234447298014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0.10390854763318946</v>
      </c>
      <c r="AB168" s="23">
        <f>EXP(-LN(2)/2)*AB167+(1-EXP(-LN(2)/2))/(LN(2)/2)*V168*Y168*VLOOKUP('Données projet'!$B$9,Paramètres!$A$1:$I$89,3,0)*0.475*44/12</f>
        <v>1.5996010808668136E-19</v>
      </c>
      <c r="AC168" s="24">
        <f t="shared" si="163"/>
        <v>0.10390854763318946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-1.7053025658242404E-13</v>
      </c>
      <c r="AJ168" s="14">
        <f>AI168*VLOOKUP('Données projet'!$B$10,Paramètres!$A$1:$I$89,3,0)*VLOOKUP('Données projet'!$B$10,Paramètres!$A$1:$I$89,5,0)</f>
        <v>-9.3109520094003535E-14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250.47640551318432</v>
      </c>
      <c r="AO168" s="62">
        <f t="shared" si="144"/>
        <v>361.92681160120975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0.5897774305895791</v>
      </c>
      <c r="AV168" s="23">
        <f>EXP(-LN(2)/25)*AV167+(1-EXP(-LN(2)/25))/(LN(2)/25)*Calculateur!AQ168*Calculateur!AS168*VLOOKUP('Données projet'!$B$10,Paramètres!$A$1:$I$89,3,0)*0.475*44/12</f>
        <v>0.84431499887604067</v>
      </c>
      <c r="AW168" s="23">
        <f>EXP(-LN(2)/2)*AW167+(1-EXP(-LN(2)/2))/(LN(2)/2)*AQ168*AT168*VLOOKUP('Données projet'!$B$10,Paramètres!$A$1:$I$89,3,0)*0.475*44/12</f>
        <v>5.2068614670191649E-23</v>
      </c>
      <c r="AX168" s="23">
        <f t="shared" si="166"/>
        <v>1.4340924294656197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-2.2737367544323206E-13</v>
      </c>
      <c r="O169" s="14">
        <f>N169*VLOOKUP('Données projet'!$B$9,Paramètres!$A$1:$I$89,3,0)*VLOOKUP('Données projet'!$B$9,Paramètres!$A$1:$I$89,5,0)</f>
        <v>-1.2710188457276673E-13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443.34220761968419</v>
      </c>
      <c r="T169" s="62">
        <f t="shared" si="142"/>
        <v>546.58234447298014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0.10106716293384686</v>
      </c>
      <c r="AB169" s="23">
        <f>EXP(-LN(2)/2)*AB168+(1-EXP(-LN(2)/2))/(LN(2)/2)*V169*Y169*VLOOKUP('Données projet'!$B$9,Paramètres!$A$1:$I$89,3,0)*0.475*44/12</f>
        <v>1.1310887714742549E-19</v>
      </c>
      <c r="AC169" s="24">
        <f t="shared" si="163"/>
        <v>0.10106716293384686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-1.7053025658242404E-13</v>
      </c>
      <c r="AJ169" s="14">
        <f>AI169*VLOOKUP('Données projet'!$B$10,Paramètres!$A$1:$I$89,3,0)*VLOOKUP('Données projet'!$B$10,Paramètres!$A$1:$I$89,5,0)</f>
        <v>-9.3109520094003535E-14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250.47640551318432</v>
      </c>
      <c r="AO169" s="62">
        <f t="shared" si="144"/>
        <v>361.92681160120975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0.57821225490442985</v>
      </c>
      <c r="AV169" s="23">
        <f>EXP(-LN(2)/25)*AV168+(1-EXP(-LN(2)/25))/(LN(2)/25)*Calculateur!AQ169*Calculateur!AS169*VLOOKUP('Données projet'!$B$10,Paramètres!$A$1:$I$89,3,0)*0.475*44/12</f>
        <v>0.8212271608311793</v>
      </c>
      <c r="AW169" s="23">
        <f>EXP(-LN(2)/2)*AW168+(1-EXP(-LN(2)/2))/(LN(2)/2)*AQ169*AT169*VLOOKUP('Données projet'!$B$10,Paramètres!$A$1:$I$89,3,0)*0.475*44/12</f>
        <v>3.6818070520281867E-23</v>
      </c>
      <c r="AX169" s="23">
        <f t="shared" si="166"/>
        <v>1.3994394157356091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-2.2737367544323206E-13</v>
      </c>
      <c r="O170" s="14">
        <f>N170*VLOOKUP('Données projet'!$B$9,Paramètres!$A$1:$I$89,3,0)*VLOOKUP('Données projet'!$B$9,Paramètres!$A$1:$I$89,5,0)</f>
        <v>-1.2710188457276673E-13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443.34220761968419</v>
      </c>
      <c r="T170" s="62">
        <f t="shared" si="142"/>
        <v>546.58234447298014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9.8303476048529709E-2</v>
      </c>
      <c r="AB170" s="23">
        <f>EXP(-LN(2)/2)*AB169+(1-EXP(-LN(2)/2))/(LN(2)/2)*V170*Y170*VLOOKUP('Données projet'!$B$9,Paramètres!$A$1:$I$89,3,0)*0.475*44/12</f>
        <v>7.9980054043340682E-20</v>
      </c>
      <c r="AC170" s="24">
        <f t="shared" si="163"/>
        <v>9.8303476048529709E-2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-1.7053025658242404E-13</v>
      </c>
      <c r="AJ170" s="14">
        <f>AI170*VLOOKUP('Données projet'!$B$10,Paramètres!$A$1:$I$89,3,0)*VLOOKUP('Données projet'!$B$10,Paramètres!$A$1:$I$89,5,0)</f>
        <v>-9.3109520094003535E-14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250.47640551318432</v>
      </c>
      <c r="AO170" s="62">
        <f t="shared" si="144"/>
        <v>361.92681160120975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0.56687386526040573</v>
      </c>
      <c r="AV170" s="23">
        <f>EXP(-LN(2)/25)*AV169+(1-EXP(-LN(2)/25))/(LN(2)/25)*Calculateur!AQ170*Calculateur!AS170*VLOOKUP('Données projet'!$B$10,Paramètres!$A$1:$I$89,3,0)*0.475*44/12</f>
        <v>0.79877066093179128</v>
      </c>
      <c r="AW170" s="23">
        <f>EXP(-LN(2)/2)*AW169+(1-EXP(-LN(2)/2))/(LN(2)/2)*AQ170*AT170*VLOOKUP('Données projet'!$B$10,Paramètres!$A$1:$I$89,3,0)*0.475*44/12</f>
        <v>2.6034307335095827E-23</v>
      </c>
      <c r="AX170" s="23">
        <f t="shared" si="166"/>
        <v>1.365644526192197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-2.2737367544323206E-13</v>
      </c>
      <c r="O171" s="14">
        <f>N171*VLOOKUP('Données projet'!$B$9,Paramètres!$A$1:$I$89,3,0)*VLOOKUP('Données projet'!$B$9,Paramètres!$A$1:$I$89,5,0)</f>
        <v>-1.2710188457276673E-13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443.34220761968419</v>
      </c>
      <c r="T171" s="62">
        <f t="shared" si="142"/>
        <v>546.58234447298014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9.5615362326427533E-2</v>
      </c>
      <c r="AB171" s="23">
        <f>EXP(-LN(2)/2)*AB170+(1-EXP(-LN(2)/2))/(LN(2)/2)*V171*Y171*VLOOKUP('Données projet'!$B$9,Paramètres!$A$1:$I$89,3,0)*0.475*44/12</f>
        <v>5.6554438573712745E-20</v>
      </c>
      <c r="AC171" s="24">
        <f t="shared" si="163"/>
        <v>9.5615362326427533E-2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-1.7053025658242404E-13</v>
      </c>
      <c r="AJ171" s="14">
        <f>AI171*VLOOKUP('Données projet'!$B$10,Paramètres!$A$1:$I$89,3,0)*VLOOKUP('Données projet'!$B$10,Paramètres!$A$1:$I$89,5,0)</f>
        <v>-9.3109520094003535E-14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250.47640551318432</v>
      </c>
      <c r="AO171" s="62">
        <f t="shared" si="144"/>
        <v>361.92681160120975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0.55575781452156614</v>
      </c>
      <c r="AV171" s="23">
        <f>EXP(-LN(2)/25)*AV170+(1-EXP(-LN(2)/25))/(LN(2)/25)*Calculateur!AQ171*Calculateur!AS171*VLOOKUP('Données projet'!$B$10,Paramètres!$A$1:$I$89,3,0)*0.475*44/12</f>
        <v>0.77692823520308796</v>
      </c>
      <c r="AW171" s="23">
        <f>EXP(-LN(2)/2)*AW170+(1-EXP(-LN(2)/2))/(LN(2)/2)*AQ171*AT171*VLOOKUP('Données projet'!$B$10,Paramètres!$A$1:$I$89,3,0)*0.475*44/12</f>
        <v>1.8409035260140936E-23</v>
      </c>
      <c r="AX171" s="23">
        <f t="shared" si="166"/>
        <v>1.332686049724654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-2.2737367544323206E-13</v>
      </c>
      <c r="O172" s="14">
        <f>N172*VLOOKUP('Données projet'!$B$9,Paramètres!$A$1:$I$89,3,0)*VLOOKUP('Données projet'!$B$9,Paramètres!$A$1:$I$89,5,0)</f>
        <v>-1.2710188457276673E-13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443.34220761968419</v>
      </c>
      <c r="T172" s="62">
        <f t="shared" si="142"/>
        <v>546.58234447298014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9.3000755215417993E-2</v>
      </c>
      <c r="AB172" s="23">
        <f>EXP(-LN(2)/2)*AB171+(1-EXP(-LN(2)/2))/(LN(2)/2)*V172*Y172*VLOOKUP('Données projet'!$B$9,Paramètres!$A$1:$I$89,3,0)*0.475*44/12</f>
        <v>3.9990027021670341E-20</v>
      </c>
      <c r="AC172" s="24">
        <f t="shared" si="163"/>
        <v>9.3000755215417993E-2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-1.7053025658242404E-13</v>
      </c>
      <c r="AJ172" s="14">
        <f>AI172*VLOOKUP('Données projet'!$B$10,Paramètres!$A$1:$I$89,3,0)*VLOOKUP('Données projet'!$B$10,Paramètres!$A$1:$I$89,5,0)</f>
        <v>-9.3109520094003535E-14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250.47640551318432</v>
      </c>
      <c r="AO172" s="62">
        <f t="shared" si="144"/>
        <v>361.92681160120975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0.54485974275759375</v>
      </c>
      <c r="AV172" s="23">
        <f>EXP(-LN(2)/25)*AV171+(1-EXP(-LN(2)/25))/(LN(2)/25)*Calculateur!AQ172*Calculateur!AS172*VLOOKUP('Données projet'!$B$10,Paramètres!$A$1:$I$89,3,0)*0.475*44/12</f>
        <v>0.75568309175457937</v>
      </c>
      <c r="AW172" s="23">
        <f>EXP(-LN(2)/2)*AW171+(1-EXP(-LN(2)/2))/(LN(2)/2)*AQ172*AT172*VLOOKUP('Données projet'!$B$10,Paramètres!$A$1:$I$89,3,0)*0.475*44/12</f>
        <v>1.3017153667547917E-23</v>
      </c>
      <c r="AX172" s="23">
        <f t="shared" si="166"/>
        <v>1.3005428345121732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-2.2737367544323206E-13</v>
      </c>
      <c r="O173" s="14">
        <f>N173*VLOOKUP('Données projet'!$B$9,Paramètres!$A$1:$I$89,3,0)*VLOOKUP('Données projet'!$B$9,Paramètres!$A$1:$I$89,5,0)</f>
        <v>-1.2710188457276673E-13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443.34220761968419</v>
      </c>
      <c r="T173" s="62">
        <f t="shared" si="142"/>
        <v>546.58234447298014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9.0457644673355223E-2</v>
      </c>
      <c r="AB173" s="23">
        <f>EXP(-LN(2)/2)*AB172+(1-EXP(-LN(2)/2))/(LN(2)/2)*V173*Y173*VLOOKUP('Données projet'!$B$9,Paramètres!$A$1:$I$89,3,0)*0.475*44/12</f>
        <v>2.8277219286856372E-20</v>
      </c>
      <c r="AC173" s="24">
        <f t="shared" si="163"/>
        <v>9.0457644673355223E-2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-1.7053025658242404E-13</v>
      </c>
      <c r="AJ173" s="14">
        <f>AI173*VLOOKUP('Données projet'!$B$10,Paramètres!$A$1:$I$89,3,0)*VLOOKUP('Données projet'!$B$10,Paramètres!$A$1:$I$89,5,0)</f>
        <v>-9.3109520094003535E-14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250.47640551318432</v>
      </c>
      <c r="AO173" s="62">
        <f t="shared" si="144"/>
        <v>361.92681160120975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0.53417537553374539</v>
      </c>
      <c r="AV173" s="23">
        <f>EXP(-LN(2)/25)*AV172+(1-EXP(-LN(2)/25))/(LN(2)/25)*Calculateur!AQ173*Calculateur!AS173*VLOOKUP('Données projet'!$B$10,Paramètres!$A$1:$I$89,3,0)*0.475*44/12</f>
        <v>0.73501889787090369</v>
      </c>
      <c r="AW173" s="23">
        <f>EXP(-LN(2)/2)*AW172+(1-EXP(-LN(2)/2))/(LN(2)/2)*AQ173*AT173*VLOOKUP('Données projet'!$B$10,Paramètres!$A$1:$I$89,3,0)*0.475*44/12</f>
        <v>9.2045176300704697E-24</v>
      </c>
      <c r="AX173" s="23">
        <f t="shared" si="166"/>
        <v>1.2691942734046491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-2.2737367544323206E-13</v>
      </c>
      <c r="O174" s="14">
        <f>N174*VLOOKUP('Données projet'!$B$9,Paramètres!$A$1:$I$89,3,0)*VLOOKUP('Données projet'!$B$9,Paramètres!$A$1:$I$89,5,0)</f>
        <v>-1.2710188457276673E-13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443.34220761968419</v>
      </c>
      <c r="T174" s="62">
        <f t="shared" si="142"/>
        <v>546.58234447298014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8.7984075622801527E-2</v>
      </c>
      <c r="AB174" s="23">
        <f>EXP(-LN(2)/2)*AB173+(1-EXP(-LN(2)/2))/(LN(2)/2)*V174*Y174*VLOOKUP('Données projet'!$B$9,Paramètres!$A$1:$I$89,3,0)*0.475*44/12</f>
        <v>1.9995013510835171E-20</v>
      </c>
      <c r="AC174" s="24">
        <f t="shared" si="163"/>
        <v>8.7984075622801527E-2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-1.7053025658242404E-13</v>
      </c>
      <c r="AJ174" s="14">
        <f>AI174*VLOOKUP('Données projet'!$B$10,Paramètres!$A$1:$I$89,3,0)*VLOOKUP('Données projet'!$B$10,Paramètres!$A$1:$I$89,5,0)</f>
        <v>-9.3109520094003535E-14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250.47640551318432</v>
      </c>
      <c r="AO174" s="62">
        <f t="shared" si="144"/>
        <v>361.92681160120975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0.52370052223433616</v>
      </c>
      <c r="AV174" s="23">
        <f>EXP(-LN(2)/25)*AV173+(1-EXP(-LN(2)/25))/(LN(2)/25)*Calculateur!AQ174*Calculateur!AS174*VLOOKUP('Données projet'!$B$10,Paramètres!$A$1:$I$89,3,0)*0.475*44/12</f>
        <v>0.71491976745565988</v>
      </c>
      <c r="AW174" s="23">
        <f>EXP(-LN(2)/2)*AW173+(1-EXP(-LN(2)/2))/(LN(2)/2)*AQ174*AT174*VLOOKUP('Données projet'!$B$10,Paramètres!$A$1:$I$89,3,0)*0.475*44/12</f>
        <v>6.5085768337739591E-24</v>
      </c>
      <c r="AX174" s="23">
        <f t="shared" si="166"/>
        <v>1.238620289689996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-2.2737367544323206E-13</v>
      </c>
      <c r="O175" s="14">
        <f>N175*VLOOKUP('Données projet'!$B$9,Paramètres!$A$1:$I$89,3,0)*VLOOKUP('Données projet'!$B$9,Paramètres!$A$1:$I$89,5,0)</f>
        <v>-1.2710188457276673E-13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443.34220761968419</v>
      </c>
      <c r="T175" s="62">
        <f t="shared" si="142"/>
        <v>546.58234447298014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8.5578146448014578E-2</v>
      </c>
      <c r="AB175" s="23">
        <f>EXP(-LN(2)/2)*AB174+(1-EXP(-LN(2)/2))/(LN(2)/2)*V175*Y175*VLOOKUP('Données projet'!$B$9,Paramètres!$A$1:$I$89,3,0)*0.475*44/12</f>
        <v>1.4138609643428186E-20</v>
      </c>
      <c r="AC175" s="24">
        <f t="shared" si="163"/>
        <v>8.5578146448014578E-2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-1.7053025658242404E-13</v>
      </c>
      <c r="AJ175" s="14">
        <f>AI175*VLOOKUP('Données projet'!$B$10,Paramètres!$A$1:$I$89,3,0)*VLOOKUP('Données projet'!$B$10,Paramètres!$A$1:$I$89,5,0)</f>
        <v>-9.3109520094003535E-14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250.47640551318432</v>
      </c>
      <c r="AO175" s="62">
        <f t="shared" si="144"/>
        <v>361.92681160120975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0.51343107441909874</v>
      </c>
      <c r="AV175" s="23">
        <f>EXP(-LN(2)/25)*AV174+(1-EXP(-LN(2)/25))/(LN(2)/25)*Calculateur!AQ175*Calculateur!AS175*VLOOKUP('Données projet'!$B$10,Paramètres!$A$1:$I$89,3,0)*0.475*44/12</f>
        <v>0.69537024881858822</v>
      </c>
      <c r="AW175" s="23">
        <f>EXP(-LN(2)/2)*AW174+(1-EXP(-LN(2)/2))/(LN(2)/2)*AQ175*AT175*VLOOKUP('Données projet'!$B$10,Paramètres!$A$1:$I$89,3,0)*0.475*44/12</f>
        <v>4.6022588150352356E-24</v>
      </c>
      <c r="AX175" s="23">
        <f t="shared" si="166"/>
        <v>1.2088013232376871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-2.2737367544323206E-13</v>
      </c>
      <c r="O176" s="14">
        <f>N176*VLOOKUP('Données projet'!$B$9,Paramètres!$A$1:$I$89,3,0)*VLOOKUP('Données projet'!$B$9,Paramètres!$A$1:$I$89,5,0)</f>
        <v>-1.2710188457276673E-13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443.34220761968419</v>
      </c>
      <c r="T176" s="62">
        <f t="shared" si="142"/>
        <v>546.58234447298014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8.3238007533034494E-2</v>
      </c>
      <c r="AB176" s="23">
        <f>EXP(-LN(2)/2)*AB175+(1-EXP(-LN(2)/2))/(LN(2)/2)*V176*Y176*VLOOKUP('Données projet'!$B$9,Paramètres!$A$1:$I$89,3,0)*0.475*44/12</f>
        <v>9.9975067554175853E-21</v>
      </c>
      <c r="AC176" s="24">
        <f t="shared" si="163"/>
        <v>8.3238007533034494E-2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-1.7053025658242404E-13</v>
      </c>
      <c r="AJ176" s="14">
        <f>AI176*VLOOKUP('Données projet'!$B$10,Paramètres!$A$1:$I$89,3,0)*VLOOKUP('Données projet'!$B$10,Paramètres!$A$1:$I$89,5,0)</f>
        <v>-9.3109520094003535E-14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250.47640551318432</v>
      </c>
      <c r="AO176" s="62">
        <f t="shared" si="144"/>
        <v>361.92681160120975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0.50336300421177338</v>
      </c>
      <c r="AV176" s="23">
        <f>EXP(-LN(2)/25)*AV175+(1-EXP(-LN(2)/25))/(LN(2)/25)*Calculateur!AQ176*Calculateur!AS176*VLOOKUP('Données projet'!$B$10,Paramètres!$A$1:$I$89,3,0)*0.475*44/12</f>
        <v>0.67635531279671179</v>
      </c>
      <c r="AW176" s="23">
        <f>EXP(-LN(2)/2)*AW175+(1-EXP(-LN(2)/2))/(LN(2)/2)*AQ176*AT176*VLOOKUP('Données projet'!$B$10,Paramètres!$A$1:$I$89,3,0)*0.475*44/12</f>
        <v>3.2542884168869799E-24</v>
      </c>
      <c r="AX176" s="23">
        <f t="shared" si="166"/>
        <v>1.1797183170084851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-2.2737367544323206E-13</v>
      </c>
      <c r="O177" s="14">
        <f>N177*VLOOKUP('Données projet'!$B$9,Paramètres!$A$1:$I$89,3,0)*VLOOKUP('Données projet'!$B$9,Paramètres!$A$1:$I$89,5,0)</f>
        <v>-1.2710188457276673E-13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443.34220761968419</v>
      </c>
      <c r="T177" s="62">
        <f t="shared" si="142"/>
        <v>546.58234447298014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8.0961859839747088E-2</v>
      </c>
      <c r="AB177" s="23">
        <f>EXP(-LN(2)/2)*AB176+(1-EXP(-LN(2)/2))/(LN(2)/2)*V177*Y177*VLOOKUP('Données projet'!$B$9,Paramètres!$A$1:$I$89,3,0)*0.475*44/12</f>
        <v>7.0693048217140931E-21</v>
      </c>
      <c r="AC177" s="24">
        <f t="shared" si="163"/>
        <v>8.0961859839747088E-2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-1.7053025658242404E-13</v>
      </c>
      <c r="AJ177" s="14">
        <f>AI177*VLOOKUP('Données projet'!$B$10,Paramètres!$A$1:$I$89,3,0)*VLOOKUP('Données projet'!$B$10,Paramètres!$A$1:$I$89,5,0)</f>
        <v>-9.3109520094003535E-14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250.47640551318432</v>
      </c>
      <c r="AO177" s="62">
        <f t="shared" si="144"/>
        <v>361.92681160120975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0.49349236272029723</v>
      </c>
      <c r="AV177" s="23">
        <f>EXP(-LN(2)/25)*AV176+(1-EXP(-LN(2)/25))/(LN(2)/25)*Calculateur!AQ177*Calculateur!AS177*VLOOKUP('Données projet'!$B$10,Paramètres!$A$1:$I$89,3,0)*0.475*44/12</f>
        <v>0.65786034120030568</v>
      </c>
      <c r="AW177" s="23">
        <f>EXP(-LN(2)/2)*AW176+(1-EXP(-LN(2)/2))/(LN(2)/2)*AQ177*AT177*VLOOKUP('Données projet'!$B$10,Paramètres!$A$1:$I$89,3,0)*0.475*44/12</f>
        <v>2.3011294075176182E-24</v>
      </c>
      <c r="AX177" s="23">
        <f t="shared" si="166"/>
        <v>1.1513527039206028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-2.2737367544323206E-13</v>
      </c>
      <c r="O178" s="14">
        <f>N178*VLOOKUP('Données projet'!$B$9,Paramètres!$A$1:$I$89,3,0)*VLOOKUP('Données projet'!$B$9,Paramètres!$A$1:$I$89,5,0)</f>
        <v>-1.2710188457276673E-13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443.34220761968419</v>
      </c>
      <c r="T178" s="62">
        <f t="shared" si="142"/>
        <v>546.58234447298014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7.8747953524830036E-2</v>
      </c>
      <c r="AB178" s="23">
        <f>EXP(-LN(2)/2)*AB177+(1-EXP(-LN(2)/2))/(LN(2)/2)*V178*Y178*VLOOKUP('Données projet'!$B$9,Paramètres!$A$1:$I$89,3,0)*0.475*44/12</f>
        <v>4.9987533777087926E-21</v>
      </c>
      <c r="AC178" s="24">
        <f t="shared" si="163"/>
        <v>7.8747953524830036E-2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-1.7053025658242404E-13</v>
      </c>
      <c r="AJ178" s="14">
        <f>AI178*VLOOKUP('Données projet'!$B$10,Paramètres!$A$1:$I$89,3,0)*VLOOKUP('Données projet'!$B$10,Paramètres!$A$1:$I$89,5,0)</f>
        <v>-9.3109520094003535E-14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250.47640551318432</v>
      </c>
      <c r="AO178" s="62">
        <f t="shared" si="144"/>
        <v>361.92681160120975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0.48381527848797212</v>
      </c>
      <c r="AV178" s="23">
        <f>EXP(-LN(2)/25)*AV177+(1-EXP(-LN(2)/25))/(LN(2)/25)*Calculateur!AQ178*Calculateur!AS178*VLOOKUP('Données projet'!$B$10,Paramètres!$A$1:$I$89,3,0)*0.475*44/12</f>
        <v>0.63987111557481158</v>
      </c>
      <c r="AW178" s="23">
        <f>EXP(-LN(2)/2)*AW177+(1-EXP(-LN(2)/2))/(LN(2)/2)*AQ178*AT178*VLOOKUP('Données projet'!$B$10,Paramètres!$A$1:$I$89,3,0)*0.475*44/12</f>
        <v>1.6271442084434903E-24</v>
      </c>
      <c r="AX178" s="23">
        <f t="shared" si="166"/>
        <v>1.1236863940627837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-2.2737367544323206E-13</v>
      </c>
      <c r="O179" s="14">
        <f>N179*VLOOKUP('Données projet'!$B$9,Paramètres!$A$1:$I$89,3,0)*VLOOKUP('Données projet'!$B$9,Paramètres!$A$1:$I$89,5,0)</f>
        <v>-1.2710188457276673E-13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443.34220761968419</v>
      </c>
      <c r="T179" s="62">
        <f t="shared" si="142"/>
        <v>546.58234447298014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7.6594586594518663E-2</v>
      </c>
      <c r="AB179" s="23">
        <f>EXP(-LN(2)/2)*AB178+(1-EXP(-LN(2)/2))/(LN(2)/2)*V179*Y179*VLOOKUP('Données projet'!$B$9,Paramètres!$A$1:$I$89,3,0)*0.475*44/12</f>
        <v>3.5346524108570466E-21</v>
      </c>
      <c r="AC179" s="24">
        <f t="shared" si="163"/>
        <v>7.6594586594518663E-2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-1.7053025658242404E-13</v>
      </c>
      <c r="AJ179" s="14">
        <f>AI179*VLOOKUP('Données projet'!$B$10,Paramètres!$A$1:$I$89,3,0)*VLOOKUP('Données projet'!$B$10,Paramètres!$A$1:$I$89,5,0)</f>
        <v>-9.3109520094003535E-14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250.47640551318432</v>
      </c>
      <c r="AO179" s="62">
        <f t="shared" si="144"/>
        <v>361.92681160120975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0.47432795597500432</v>
      </c>
      <c r="AV179" s="23">
        <f>EXP(-LN(2)/25)*AV178+(1-EXP(-LN(2)/25))/(LN(2)/25)*Calculateur!AQ179*Calculateur!AS179*VLOOKUP('Données projet'!$B$10,Paramètres!$A$1:$I$89,3,0)*0.475*44/12</f>
        <v>0.62237380627005878</v>
      </c>
      <c r="AW179" s="23">
        <f>EXP(-LN(2)/2)*AW178+(1-EXP(-LN(2)/2))/(LN(2)/2)*AQ179*AT179*VLOOKUP('Données projet'!$B$10,Paramètres!$A$1:$I$89,3,0)*0.475*44/12</f>
        <v>1.1505647037588093E-24</v>
      </c>
      <c r="AX179" s="23">
        <f t="shared" si="166"/>
        <v>1.096701762245063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-2.2737367544323206E-13</v>
      </c>
      <c r="O180" s="14">
        <f>N180*VLOOKUP('Données projet'!$B$9,Paramètres!$A$1:$I$89,3,0)*VLOOKUP('Données projet'!$B$9,Paramètres!$A$1:$I$89,5,0)</f>
        <v>-1.2710188457276673E-13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443.34220761968419</v>
      </c>
      <c r="T180" s="62">
        <f t="shared" si="142"/>
        <v>546.58234447298014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7.4500103596157302E-2</v>
      </c>
      <c r="AB180" s="23">
        <f>EXP(-LN(2)/2)*AB179+(1-EXP(-LN(2)/2))/(LN(2)/2)*V180*Y180*VLOOKUP('Données projet'!$B$9,Paramètres!$A$1:$I$89,3,0)*0.475*44/12</f>
        <v>2.4993766888543963E-21</v>
      </c>
      <c r="AC180" s="24">
        <f t="shared" si="163"/>
        <v>7.4500103596157302E-2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-1.7053025658242404E-13</v>
      </c>
      <c r="AJ180" s="14">
        <f>AI180*VLOOKUP('Données projet'!$B$10,Paramètres!$A$1:$I$89,3,0)*VLOOKUP('Données projet'!$B$10,Paramètres!$A$1:$I$89,5,0)</f>
        <v>-9.3109520094003535E-14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250.47640551318432</v>
      </c>
      <c r="AO180" s="62">
        <f t="shared" si="144"/>
        <v>361.92681160120975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0.46502667406982051</v>
      </c>
      <c r="AV180" s="23">
        <f>EXP(-LN(2)/25)*AV179+(1-EXP(-LN(2)/25))/(LN(2)/25)*Calculateur!AQ180*Calculateur!AS180*VLOOKUP('Données projet'!$B$10,Paramètres!$A$1:$I$89,3,0)*0.475*44/12</f>
        <v>0.60535496180838799</v>
      </c>
      <c r="AW180" s="23">
        <f>EXP(-LN(2)/2)*AW179+(1-EXP(-LN(2)/2))/(LN(2)/2)*AQ180*AT180*VLOOKUP('Données projet'!$B$10,Paramètres!$A$1:$I$89,3,0)*0.475*44/12</f>
        <v>8.1357210422174525E-25</v>
      </c>
      <c r="AX180" s="23">
        <f t="shared" si="166"/>
        <v>1.0703816358782086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-2.2737367544323206E-13</v>
      </c>
      <c r="O181" s="14">
        <f>N181*VLOOKUP('Données projet'!$B$9,Paramètres!$A$1:$I$89,3,0)*VLOOKUP('Données projet'!$B$9,Paramètres!$A$1:$I$89,5,0)</f>
        <v>-1.2710188457276673E-13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443.34220761968419</v>
      </c>
      <c r="T181" s="62">
        <f t="shared" si="142"/>
        <v>546.58234447298014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7.2462894345530202E-2</v>
      </c>
      <c r="AB181" s="23">
        <f>EXP(-LN(2)/2)*AB180+(1-EXP(-LN(2)/2))/(LN(2)/2)*V181*Y181*VLOOKUP('Données projet'!$B$9,Paramètres!$A$1:$I$89,3,0)*0.475*44/12</f>
        <v>1.7673262054285233E-21</v>
      </c>
      <c r="AC181" s="24">
        <f t="shared" si="163"/>
        <v>7.2462894345530202E-2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-1.7053025658242404E-13</v>
      </c>
      <c r="AJ181" s="14">
        <f>AI181*VLOOKUP('Données projet'!$B$10,Paramètres!$A$1:$I$89,3,0)*VLOOKUP('Données projet'!$B$10,Paramètres!$A$1:$I$89,5,0)</f>
        <v>-9.3109520094003535E-14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250.47640551318432</v>
      </c>
      <c r="AO181" s="62">
        <f t="shared" si="144"/>
        <v>361.92681160120975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0.45590778462957554</v>
      </c>
      <c r="AV181" s="23">
        <f>EXP(-LN(2)/25)*AV180+(1-EXP(-LN(2)/25))/(LN(2)/25)*Calculateur!AQ181*Calculateur!AS181*VLOOKUP('Données projet'!$B$10,Paramètres!$A$1:$I$89,3,0)*0.475*44/12</f>
        <v>0.58880149854350372</v>
      </c>
      <c r="AW181" s="23">
        <f>EXP(-LN(2)/2)*AW180+(1-EXP(-LN(2)/2))/(LN(2)/2)*AQ181*AT181*VLOOKUP('Données projet'!$B$10,Paramètres!$A$1:$I$89,3,0)*0.475*44/12</f>
        <v>5.7528235187940472E-25</v>
      </c>
      <c r="AX181" s="23">
        <f t="shared" si="166"/>
        <v>1.0447092831730793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-2.2737367544323206E-13</v>
      </c>
      <c r="O182" s="14">
        <f>N182*VLOOKUP('Données projet'!$B$9,Paramètres!$A$1:$I$89,3,0)*VLOOKUP('Données projet'!$B$9,Paramètres!$A$1:$I$89,5,0)</f>
        <v>-1.2710188457276673E-13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443.34220761968419</v>
      </c>
      <c r="T182" s="62">
        <f t="shared" si="142"/>
        <v>546.58234447298014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7.0481392688993685E-2</v>
      </c>
      <c r="AB182" s="23">
        <f>EXP(-LN(2)/2)*AB181+(1-EXP(-LN(2)/2))/(LN(2)/2)*V182*Y182*VLOOKUP('Données projet'!$B$9,Paramètres!$A$1:$I$89,3,0)*0.475*44/12</f>
        <v>1.2496883444271982E-21</v>
      </c>
      <c r="AC182" s="24">
        <f t="shared" si="163"/>
        <v>7.0481392688993685E-2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-1.7053025658242404E-13</v>
      </c>
      <c r="AJ182" s="14">
        <f>AI182*VLOOKUP('Données projet'!$B$10,Paramètres!$A$1:$I$89,3,0)*VLOOKUP('Données projet'!$B$10,Paramètres!$A$1:$I$89,5,0)</f>
        <v>-9.3109520094003535E-14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250.47640551318432</v>
      </c>
      <c r="AO182" s="62">
        <f t="shared" si="144"/>
        <v>361.92681160120975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0.44696771104928046</v>
      </c>
      <c r="AV182" s="23">
        <f>EXP(-LN(2)/25)*AV181+(1-EXP(-LN(2)/25))/(LN(2)/25)*Calculateur!AQ182*Calculateur!AS182*VLOOKUP('Données projet'!$B$10,Paramètres!$A$1:$I$89,3,0)*0.475*44/12</f>
        <v>0.57270069060210649</v>
      </c>
      <c r="AW182" s="23">
        <f>EXP(-LN(2)/2)*AW181+(1-EXP(-LN(2)/2))/(LN(2)/2)*AQ182*AT182*VLOOKUP('Données projet'!$B$10,Paramètres!$A$1:$I$89,3,0)*0.475*44/12</f>
        <v>4.0678605211087272E-25</v>
      </c>
      <c r="AX182" s="23">
        <f t="shared" si="166"/>
        <v>1.0196684016513871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-2.2737367544323206E-13</v>
      </c>
      <c r="O183" s="14">
        <f>N183*VLOOKUP('Données projet'!$B$9,Paramètres!$A$1:$I$89,3,0)*VLOOKUP('Données projet'!$B$9,Paramètres!$A$1:$I$89,5,0)</f>
        <v>-1.2710188457276673E-13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443.34220761968419</v>
      </c>
      <c r="T183" s="62">
        <f t="shared" si="142"/>
        <v>546.58234447298014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6.8554075299457798E-2</v>
      </c>
      <c r="AB183" s="23">
        <f>EXP(-LN(2)/2)*AB182+(1-EXP(-LN(2)/2))/(LN(2)/2)*V183*Y183*VLOOKUP('Données projet'!$B$9,Paramètres!$A$1:$I$89,3,0)*0.475*44/12</f>
        <v>8.8366310271426164E-22</v>
      </c>
      <c r="AC183" s="24">
        <f t="shared" si="163"/>
        <v>6.8554075299457798E-2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-1.7053025658242404E-13</v>
      </c>
      <c r="AJ183" s="14">
        <f>AI183*VLOOKUP('Données projet'!$B$10,Paramètres!$A$1:$I$89,3,0)*VLOOKUP('Données projet'!$B$10,Paramètres!$A$1:$I$89,5,0)</f>
        <v>-9.3109520094003535E-14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250.47640551318432</v>
      </c>
      <c r="AO183" s="62">
        <f t="shared" si="144"/>
        <v>361.92681160120975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0.43820294685898847</v>
      </c>
      <c r="AV183" s="23">
        <f>EXP(-LN(2)/25)*AV182+(1-EXP(-LN(2)/25))/(LN(2)/25)*Calculateur!AQ183*Calculateur!AS183*VLOOKUP('Données projet'!$B$10,Paramètres!$A$1:$I$89,3,0)*0.475*44/12</f>
        <v>0.55704016010057145</v>
      </c>
      <c r="AW183" s="23">
        <f>EXP(-LN(2)/2)*AW182+(1-EXP(-LN(2)/2))/(LN(2)/2)*AQ183*AT183*VLOOKUP('Données projet'!$B$10,Paramètres!$A$1:$I$89,3,0)*0.475*44/12</f>
        <v>2.8764117593970241E-25</v>
      </c>
      <c r="AX183" s="23">
        <f t="shared" si="166"/>
        <v>0.99524310695955998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-2.2737367544323206E-13</v>
      </c>
      <c r="O184" s="14">
        <f>N184*VLOOKUP('Données projet'!$B$9,Paramètres!$A$1:$I$89,3,0)*VLOOKUP('Données projet'!$B$9,Paramètres!$A$1:$I$89,5,0)</f>
        <v>-1.2710188457276673E-13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443.34220761968419</v>
      </c>
      <c r="T184" s="62">
        <f t="shared" si="142"/>
        <v>546.58234447298014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6.6679460505291985E-2</v>
      </c>
      <c r="AB184" s="23">
        <f>EXP(-LN(2)/2)*AB183+(1-EXP(-LN(2)/2))/(LN(2)/2)*V184*Y184*VLOOKUP('Données projet'!$B$9,Paramètres!$A$1:$I$89,3,0)*0.475*44/12</f>
        <v>6.2484417221359908E-22</v>
      </c>
      <c r="AC184" s="24">
        <f t="shared" si="163"/>
        <v>6.6679460505291985E-2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-1.7053025658242404E-13</v>
      </c>
      <c r="AJ184" s="14">
        <f>AI184*VLOOKUP('Données projet'!$B$10,Paramètres!$A$1:$I$89,3,0)*VLOOKUP('Données projet'!$B$10,Paramètres!$A$1:$I$89,5,0)</f>
        <v>-9.3109520094003535E-14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250.47640551318432</v>
      </c>
      <c r="AO184" s="62">
        <f t="shared" si="144"/>
        <v>361.92681160120975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0.42961005434848987</v>
      </c>
      <c r="AV184" s="23">
        <f>EXP(-LN(2)/25)*AV183+(1-EXP(-LN(2)/25))/(LN(2)/25)*Calculateur!AQ184*Calculateur!AS184*VLOOKUP('Données projet'!$B$10,Paramètres!$A$1:$I$89,3,0)*0.475*44/12</f>
        <v>0.54180786762915245</v>
      </c>
      <c r="AW184" s="23">
        <f>EXP(-LN(2)/2)*AW183+(1-EXP(-LN(2)/2))/(LN(2)/2)*AQ184*AT184*VLOOKUP('Données projet'!$B$10,Paramètres!$A$1:$I$89,3,0)*0.475*44/12</f>
        <v>2.0339302605543638E-25</v>
      </c>
      <c r="AX184" s="23">
        <f t="shared" si="166"/>
        <v>0.97141792197764232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-2.2737367544323206E-13</v>
      </c>
      <c r="O185" s="14">
        <f>N185*VLOOKUP('Données projet'!$B$9,Paramètres!$A$1:$I$89,3,0)*VLOOKUP('Données projet'!$B$9,Paramètres!$A$1:$I$89,5,0)</f>
        <v>-1.2710188457276673E-13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443.34220761968419</v>
      </c>
      <c r="T185" s="62">
        <f t="shared" si="142"/>
        <v>546.58234447298014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6.4856107151254339E-2</v>
      </c>
      <c r="AB185" s="23">
        <f>EXP(-LN(2)/2)*AB184+(1-EXP(-LN(2)/2))/(LN(2)/2)*V185*Y185*VLOOKUP('Données projet'!$B$9,Paramètres!$A$1:$I$89,3,0)*0.475*44/12</f>
        <v>4.4183155135713082E-22</v>
      </c>
      <c r="AC185" s="24">
        <f t="shared" si="163"/>
        <v>6.4856107151254339E-2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-1.7053025658242404E-13</v>
      </c>
      <c r="AJ185" s="14">
        <f>AI185*VLOOKUP('Données projet'!$B$10,Paramètres!$A$1:$I$89,3,0)*VLOOKUP('Données projet'!$B$10,Paramètres!$A$1:$I$89,5,0)</f>
        <v>-9.3109520094003535E-14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250.47640551318432</v>
      </c>
      <c r="AO185" s="62">
        <f t="shared" si="144"/>
        <v>361.92681160120975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0.42118566321897521</v>
      </c>
      <c r="AV185" s="23">
        <f>EXP(-LN(2)/25)*AV184+(1-EXP(-LN(2)/25))/(LN(2)/25)*Calculateur!AQ185*Calculateur!AS185*VLOOKUP('Données projet'!$B$10,Paramètres!$A$1:$I$89,3,0)*0.475*44/12</f>
        <v>0.52699210299639587</v>
      </c>
      <c r="AW185" s="23">
        <f>EXP(-LN(2)/2)*AW184+(1-EXP(-LN(2)/2))/(LN(2)/2)*AQ185*AT185*VLOOKUP('Données projet'!$B$10,Paramètres!$A$1:$I$89,3,0)*0.475*44/12</f>
        <v>1.4382058796985123E-25</v>
      </c>
      <c r="AX185" s="23">
        <f t="shared" si="166"/>
        <v>0.94817776621537109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-2.2737367544323206E-13</v>
      </c>
      <c r="O186" s="14">
        <f>N186*VLOOKUP('Données projet'!$B$9,Paramètres!$A$1:$I$89,3,0)*VLOOKUP('Données projet'!$B$9,Paramètres!$A$1:$I$89,5,0)</f>
        <v>-1.2710188457276673E-13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443.34220761968419</v>
      </c>
      <c r="T186" s="62">
        <f t="shared" si="142"/>
        <v>546.58234447298014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6.3082613490568845E-2</v>
      </c>
      <c r="AB186" s="23">
        <f>EXP(-LN(2)/2)*AB185+(1-EXP(-LN(2)/2))/(LN(2)/2)*V186*Y186*VLOOKUP('Données projet'!$B$9,Paramètres!$A$1:$I$89,3,0)*0.475*44/12</f>
        <v>3.1242208610679954E-22</v>
      </c>
      <c r="AC186" s="24">
        <f t="shared" si="163"/>
        <v>6.3082613490568845E-2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-1.7053025658242404E-13</v>
      </c>
      <c r="AJ186" s="14">
        <f>AI186*VLOOKUP('Données projet'!$B$10,Paramètres!$A$1:$I$89,3,0)*VLOOKUP('Données projet'!$B$10,Paramètres!$A$1:$I$89,5,0)</f>
        <v>-9.3109520094003535E-14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250.47640551318432</v>
      </c>
      <c r="AO186" s="62">
        <f t="shared" si="144"/>
        <v>361.92681160120975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0.41292646926113913</v>
      </c>
      <c r="AV186" s="23">
        <f>EXP(-LN(2)/25)*AV185+(1-EXP(-LN(2)/25))/(LN(2)/25)*Calculateur!AQ186*Calculateur!AS186*VLOOKUP('Données projet'!$B$10,Paramètres!$A$1:$I$89,3,0)*0.475*44/12</f>
        <v>0.51258147622664918</v>
      </c>
      <c r="AW186" s="23">
        <f>EXP(-LN(2)/2)*AW185+(1-EXP(-LN(2)/2))/(LN(2)/2)*AQ186*AT186*VLOOKUP('Données projet'!$B$10,Paramètres!$A$1:$I$89,3,0)*0.475*44/12</f>
        <v>1.016965130277182E-25</v>
      </c>
      <c r="AX186" s="23">
        <f t="shared" si="166"/>
        <v>0.92550794548778836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-2.2737367544323206E-13</v>
      </c>
      <c r="O187" s="14">
        <f>N187*VLOOKUP('Données projet'!$B$9,Paramètres!$A$1:$I$89,3,0)*VLOOKUP('Données projet'!$B$9,Paramètres!$A$1:$I$89,5,0)</f>
        <v>-1.2710188457276673E-13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443.34220761968419</v>
      </c>
      <c r="T187" s="62">
        <f t="shared" si="142"/>
        <v>546.58234447298014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6.1357616107298771E-2</v>
      </c>
      <c r="AB187" s="23">
        <f>EXP(-LN(2)/2)*AB186+(1-EXP(-LN(2)/2))/(LN(2)/2)*V187*Y187*VLOOKUP('Données projet'!$B$9,Paramètres!$A$1:$I$89,3,0)*0.475*44/12</f>
        <v>2.2091577567856541E-22</v>
      </c>
      <c r="AC187" s="24">
        <f t="shared" si="163"/>
        <v>6.1357616107298771E-2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-1.7053025658242404E-13</v>
      </c>
      <c r="AJ187" s="14">
        <f>AI187*VLOOKUP('Données projet'!$B$10,Paramètres!$A$1:$I$89,3,0)*VLOOKUP('Données projet'!$B$10,Paramètres!$A$1:$I$89,5,0)</f>
        <v>-9.3109520094003535E-14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250.47640551318432</v>
      </c>
      <c r="AO187" s="62">
        <f t="shared" si="144"/>
        <v>361.92681160120975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0.40482923305920532</v>
      </c>
      <c r="AV187" s="23">
        <f>EXP(-LN(2)/25)*AV186+(1-EXP(-LN(2)/25))/(LN(2)/25)*Calculateur!AQ187*Calculateur!AS187*VLOOKUP('Données projet'!$B$10,Paramètres!$A$1:$I$89,3,0)*0.475*44/12</f>
        <v>0.49856490880374316</v>
      </c>
      <c r="AW187" s="23">
        <f>EXP(-LN(2)/2)*AW186+(1-EXP(-LN(2)/2))/(LN(2)/2)*AQ187*AT187*VLOOKUP('Données projet'!$B$10,Paramètres!$A$1:$I$89,3,0)*0.475*44/12</f>
        <v>7.1910293984925625E-26</v>
      </c>
      <c r="AX187" s="23">
        <f t="shared" si="166"/>
        <v>0.90339414186294853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-2.2737367544323206E-13</v>
      </c>
      <c r="O188" s="14">
        <f>N188*VLOOKUP('Données projet'!$B$9,Paramètres!$A$1:$I$89,3,0)*VLOOKUP('Données projet'!$B$9,Paramètres!$A$1:$I$89,5,0)</f>
        <v>-1.2710188457276673E-13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443.34220761968419</v>
      </c>
      <c r="T188" s="62">
        <f t="shared" si="142"/>
        <v>546.58234447298014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5.9679788868187887E-2</v>
      </c>
      <c r="AB188" s="23">
        <f>EXP(-LN(2)/2)*AB187+(1-EXP(-LN(2)/2))/(LN(2)/2)*V188*Y188*VLOOKUP('Données projet'!$B$9,Paramètres!$A$1:$I$89,3,0)*0.475*44/12</f>
        <v>1.5621104305339977E-22</v>
      </c>
      <c r="AC188" s="24">
        <f t="shared" si="163"/>
        <v>5.9679788868187887E-2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-1.7053025658242404E-13</v>
      </c>
      <c r="AJ188" s="14">
        <f>AI188*VLOOKUP('Données projet'!$B$10,Paramètres!$A$1:$I$89,3,0)*VLOOKUP('Données projet'!$B$10,Paramètres!$A$1:$I$89,5,0)</f>
        <v>-9.3109520094003535E-14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250.47640551318432</v>
      </c>
      <c r="AO188" s="62">
        <f t="shared" si="144"/>
        <v>361.92681160120975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0.39689077872036499</v>
      </c>
      <c r="AV188" s="23">
        <f>EXP(-LN(2)/25)*AV187+(1-EXP(-LN(2)/25))/(LN(2)/25)*Calculateur!AQ188*Calculateur!AS188*VLOOKUP('Données projet'!$B$10,Paramètres!$A$1:$I$89,3,0)*0.475*44/12</f>
        <v>0.48493162515411575</v>
      </c>
      <c r="AW188" s="23">
        <f>EXP(-LN(2)/2)*AW187+(1-EXP(-LN(2)/2))/(LN(2)/2)*AQ188*AT188*VLOOKUP('Données projet'!$B$10,Paramètres!$A$1:$I$89,3,0)*0.475*44/12</f>
        <v>5.0848256513859113E-26</v>
      </c>
      <c r="AX188" s="23">
        <f t="shared" si="166"/>
        <v>0.88182240387448074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-2.2737367544323206E-13</v>
      </c>
      <c r="O189" s="14">
        <f>N189*VLOOKUP('Données projet'!$B$9,Paramètres!$A$1:$I$89,3,0)*VLOOKUP('Données projet'!$B$9,Paramètres!$A$1:$I$89,5,0)</f>
        <v>-1.2710188457276673E-13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443.34220761968419</v>
      </c>
      <c r="T189" s="62">
        <f t="shared" si="142"/>
        <v>546.58234447298014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5.8047841903163595E-2</v>
      </c>
      <c r="AB189" s="23">
        <f>EXP(-LN(2)/2)*AB188+(1-EXP(-LN(2)/2))/(LN(2)/2)*V189*Y189*VLOOKUP('Données projet'!$B$9,Paramètres!$A$1:$I$89,3,0)*0.475*44/12</f>
        <v>1.104578878392827E-22</v>
      </c>
      <c r="AC189" s="24">
        <f t="shared" si="163"/>
        <v>5.8047841903163595E-2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-1.7053025658242404E-13</v>
      </c>
      <c r="AJ189" s="14">
        <f>AI189*VLOOKUP('Données projet'!$B$10,Paramètres!$A$1:$I$89,3,0)*VLOOKUP('Données projet'!$B$10,Paramètres!$A$1:$I$89,5,0)</f>
        <v>-9.3109520094003535E-14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250.47640551318432</v>
      </c>
      <c r="AO189" s="62">
        <f t="shared" si="144"/>
        <v>361.92681160120975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0.38910799262913026</v>
      </c>
      <c r="AV189" s="23">
        <f>EXP(-LN(2)/25)*AV188+(1-EXP(-LN(2)/25))/(LN(2)/25)*Calculateur!AQ189*Calculateur!AS189*VLOOKUP('Données projet'!$B$10,Paramètres!$A$1:$I$89,3,0)*0.475*44/12</f>
        <v>0.47167114436283064</v>
      </c>
      <c r="AW189" s="23">
        <f>EXP(-LN(2)/2)*AW188+(1-EXP(-LN(2)/2))/(LN(2)/2)*AQ189*AT189*VLOOKUP('Données projet'!$B$10,Paramètres!$A$1:$I$89,3,0)*0.475*44/12</f>
        <v>3.5955146992462818E-26</v>
      </c>
      <c r="AX189" s="23">
        <f t="shared" si="166"/>
        <v>0.86077913699196085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-2.2737367544323206E-13</v>
      </c>
      <c r="O190" s="14">
        <f>N190*VLOOKUP('Données projet'!$B$9,Paramètres!$A$1:$I$89,3,0)*VLOOKUP('Données projet'!$B$9,Paramètres!$A$1:$I$89,5,0)</f>
        <v>-1.2710188457276673E-13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443.34220761968419</v>
      </c>
      <c r="T190" s="62">
        <f t="shared" si="142"/>
        <v>546.58234447298014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5.646052061371825E-2</v>
      </c>
      <c r="AB190" s="23">
        <f>EXP(-LN(2)/2)*AB189+(1-EXP(-LN(2)/2))/(LN(2)/2)*V190*Y190*VLOOKUP('Données projet'!$B$9,Paramètres!$A$1:$I$89,3,0)*0.475*44/12</f>
        <v>7.8105521526699885E-23</v>
      </c>
      <c r="AC190" s="24">
        <f t="shared" si="163"/>
        <v>5.646052061371825E-2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-1.7053025658242404E-13</v>
      </c>
      <c r="AJ190" s="14">
        <f>AI190*VLOOKUP('Données projet'!$B$10,Paramètres!$A$1:$I$89,3,0)*VLOOKUP('Données projet'!$B$10,Paramètres!$A$1:$I$89,5,0)</f>
        <v>-9.3109520094003535E-14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250.47640551318432</v>
      </c>
      <c r="AO190" s="62">
        <f t="shared" si="144"/>
        <v>361.92681160120975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0.38147782222611387</v>
      </c>
      <c r="AV190" s="23">
        <f>EXP(-LN(2)/25)*AV189+(1-EXP(-LN(2)/25))/(LN(2)/25)*Calculateur!AQ190*Calculateur!AS190*VLOOKUP('Données projet'!$B$10,Paramètres!$A$1:$I$89,3,0)*0.475*44/12</f>
        <v>0.45877327211612157</v>
      </c>
      <c r="AW190" s="23">
        <f>EXP(-LN(2)/2)*AW189+(1-EXP(-LN(2)/2))/(LN(2)/2)*AQ190*AT190*VLOOKUP('Données projet'!$B$10,Paramètres!$A$1:$I$89,3,0)*0.475*44/12</f>
        <v>2.5424128256929559E-26</v>
      </c>
      <c r="AX190" s="23">
        <f t="shared" si="166"/>
        <v>0.84025109434223544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-2.2737367544323206E-13</v>
      </c>
      <c r="O191" s="14">
        <f>N191*VLOOKUP('Données projet'!$B$9,Paramètres!$A$1:$I$89,3,0)*VLOOKUP('Données projet'!$B$9,Paramètres!$A$1:$I$89,5,0)</f>
        <v>-1.2710188457276673E-13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443.34220761968419</v>
      </c>
      <c r="T191" s="62">
        <f t="shared" si="142"/>
        <v>546.58234447298014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5.491660470840639E-2</v>
      </c>
      <c r="AB191" s="23">
        <f>EXP(-LN(2)/2)*AB190+(1-EXP(-LN(2)/2))/(LN(2)/2)*V191*Y191*VLOOKUP('Données projet'!$B$9,Paramètres!$A$1:$I$89,3,0)*0.475*44/12</f>
        <v>5.5228943919641352E-23</v>
      </c>
      <c r="AC191" s="24">
        <f t="shared" si="163"/>
        <v>5.491660470840639E-2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-1.7053025658242404E-13</v>
      </c>
      <c r="AJ191" s="14">
        <f>AI191*VLOOKUP('Données projet'!$B$10,Paramètres!$A$1:$I$89,3,0)*VLOOKUP('Données projet'!$B$10,Paramètres!$A$1:$I$89,5,0)</f>
        <v>-9.3109520094003535E-14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250.47640551318432</v>
      </c>
      <c r="AO191" s="62">
        <f t="shared" si="144"/>
        <v>361.92681160120975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0.37399727481075623</v>
      </c>
      <c r="AV191" s="23">
        <f>EXP(-LN(2)/25)*AV190+(1-EXP(-LN(2)/25))/(LN(2)/25)*Calculateur!AQ191*Calculateur!AS191*VLOOKUP('Données projet'!$B$10,Paramètres!$A$1:$I$89,3,0)*0.475*44/12</f>
        <v>0.4462280928642684</v>
      </c>
      <c r="AW191" s="23">
        <f>EXP(-LN(2)/2)*AW190+(1-EXP(-LN(2)/2))/(LN(2)/2)*AQ191*AT191*VLOOKUP('Données projet'!$B$10,Paramètres!$A$1:$I$89,3,0)*0.475*44/12</f>
        <v>1.7977573496231412E-26</v>
      </c>
      <c r="AX191" s="23">
        <f t="shared" si="166"/>
        <v>0.82022536767502463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-2.2737367544323206E-13</v>
      </c>
      <c r="O192" s="14">
        <f>N192*VLOOKUP('Données projet'!$B$9,Paramètres!$A$1:$I$89,3,0)*VLOOKUP('Données projet'!$B$9,Paramètres!$A$1:$I$89,5,0)</f>
        <v>-1.2710188457276673E-13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443.34220761968419</v>
      </c>
      <c r="T192" s="62">
        <f t="shared" si="142"/>
        <v>546.58234447298014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5.3414907264716288E-2</v>
      </c>
      <c r="AB192" s="23">
        <f>EXP(-LN(2)/2)*AB191+(1-EXP(-LN(2)/2))/(LN(2)/2)*V192*Y192*VLOOKUP('Données projet'!$B$9,Paramètres!$A$1:$I$89,3,0)*0.475*44/12</f>
        <v>3.9052760763349942E-23</v>
      </c>
      <c r="AC192" s="24">
        <f t="shared" si="163"/>
        <v>5.3414907264716288E-2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-1.7053025658242404E-13</v>
      </c>
      <c r="AJ192" s="14">
        <f>AI192*VLOOKUP('Données projet'!$B$10,Paramètres!$A$1:$I$89,3,0)*VLOOKUP('Données projet'!$B$10,Paramètres!$A$1:$I$89,5,0)</f>
        <v>-9.3109520094003535E-14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250.47640551318432</v>
      </c>
      <c r="AO192" s="62">
        <f t="shared" si="144"/>
        <v>361.92681160120975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0.36666341636753036</v>
      </c>
      <c r="AV192" s="23">
        <f>EXP(-LN(2)/25)*AV191+(1-EXP(-LN(2)/25))/(LN(2)/25)*Calculateur!AQ192*Calculateur!AS192*VLOOKUP('Données projet'!$B$10,Paramètres!$A$1:$I$89,3,0)*0.475*44/12</f>
        <v>0.43402596219877942</v>
      </c>
      <c r="AW192" s="23">
        <f>EXP(-LN(2)/2)*AW191+(1-EXP(-LN(2)/2))/(LN(2)/2)*AQ192*AT192*VLOOKUP('Données projet'!$B$10,Paramètres!$A$1:$I$89,3,0)*0.475*44/12</f>
        <v>1.2712064128464782E-26</v>
      </c>
      <c r="AX192" s="23">
        <f t="shared" si="166"/>
        <v>0.80068937856630984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-2.2737367544323206E-13</v>
      </c>
      <c r="O193" s="14">
        <f>N193*VLOOKUP('Données projet'!$B$9,Paramètres!$A$1:$I$89,3,0)*VLOOKUP('Données projet'!$B$9,Paramètres!$A$1:$I$89,5,0)</f>
        <v>-1.2710188457276673E-13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443.34220761968419</v>
      </c>
      <c r="T193" s="62">
        <f t="shared" si="142"/>
        <v>546.58234447298014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5.1954273816594732E-2</v>
      </c>
      <c r="AB193" s="23">
        <f>EXP(-LN(2)/2)*AB192+(1-EXP(-LN(2)/2))/(LN(2)/2)*V193*Y193*VLOOKUP('Données projet'!$B$9,Paramètres!$A$1:$I$89,3,0)*0.475*44/12</f>
        <v>2.7614471959820676E-23</v>
      </c>
      <c r="AC193" s="24">
        <f t="shared" si="163"/>
        <v>5.1954273816594732E-2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-1.7053025658242404E-13</v>
      </c>
      <c r="AJ193" s="14">
        <f>AI193*VLOOKUP('Données projet'!$B$10,Paramètres!$A$1:$I$89,3,0)*VLOOKUP('Données projet'!$B$10,Paramètres!$A$1:$I$89,5,0)</f>
        <v>-9.3109520094003535E-14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250.47640551318432</v>
      </c>
      <c r="AO193" s="62">
        <f t="shared" si="144"/>
        <v>361.92681160120975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0.3594733704151642</v>
      </c>
      <c r="AV193" s="23">
        <f>EXP(-LN(2)/25)*AV192+(1-EXP(-LN(2)/25))/(LN(2)/25)*Calculateur!AQ193*Calculateur!AS193*VLOOKUP('Données projet'!$B$10,Paramètres!$A$1:$I$89,3,0)*0.475*44/12</f>
        <v>0.42215749943802044</v>
      </c>
      <c r="AW193" s="23">
        <f>EXP(-LN(2)/2)*AW192+(1-EXP(-LN(2)/2))/(LN(2)/2)*AQ193*AT193*VLOOKUP('Données projet'!$B$10,Paramètres!$A$1:$I$89,3,0)*0.475*44/12</f>
        <v>8.9887867481157074E-27</v>
      </c>
      <c r="AX193" s="23">
        <f t="shared" si="166"/>
        <v>0.78163086985318464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-2.2737367544323206E-13</v>
      </c>
      <c r="O194" s="14">
        <f>N194*VLOOKUP('Données projet'!$B$9,Paramètres!$A$1:$I$89,3,0)*VLOOKUP('Données projet'!$B$9,Paramètres!$A$1:$I$89,5,0)</f>
        <v>-1.2710188457276673E-13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443.34220761968419</v>
      </c>
      <c r="T194" s="62">
        <f t="shared" si="142"/>
        <v>546.58234447298014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5.0533581466923432E-2</v>
      </c>
      <c r="AB194" s="23">
        <f>EXP(-LN(2)/2)*AB193+(1-EXP(-LN(2)/2))/(LN(2)/2)*V194*Y194*VLOOKUP('Données projet'!$B$9,Paramètres!$A$1:$I$89,3,0)*0.475*44/12</f>
        <v>1.9526380381674971E-23</v>
      </c>
      <c r="AC194" s="24">
        <f t="shared" si="163"/>
        <v>5.0533581466923432E-2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-1.7053025658242404E-13</v>
      </c>
      <c r="AJ194" s="14">
        <f>AI194*VLOOKUP('Données projet'!$B$10,Paramètres!$A$1:$I$89,3,0)*VLOOKUP('Données projet'!$B$10,Paramètres!$A$1:$I$89,5,0)</f>
        <v>-9.3109520094003535E-14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250.47640551318432</v>
      </c>
      <c r="AO194" s="62">
        <f t="shared" si="144"/>
        <v>361.92681160120975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0.35242431687842896</v>
      </c>
      <c r="AV194" s="23">
        <f>EXP(-LN(2)/25)*AV193+(1-EXP(-LN(2)/25))/(LN(2)/25)*Calculateur!AQ194*Calculateur!AS194*VLOOKUP('Données projet'!$B$10,Paramètres!$A$1:$I$89,3,0)*0.475*44/12</f>
        <v>0.41061358041558971</v>
      </c>
      <c r="AW194" s="23">
        <f>EXP(-LN(2)/2)*AW193+(1-EXP(-LN(2)/2))/(LN(2)/2)*AQ194*AT194*VLOOKUP('Données projet'!$B$10,Paramètres!$A$1:$I$89,3,0)*0.475*44/12</f>
        <v>6.3560320642323919E-27</v>
      </c>
      <c r="AX194" s="23">
        <f t="shared" si="166"/>
        <v>0.76303789729401861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-2.2737367544323206E-13</v>
      </c>
      <c r="O195" s="14">
        <f>N195*VLOOKUP('Données projet'!$B$9,Paramètres!$A$1:$I$89,3,0)*VLOOKUP('Données projet'!$B$9,Paramètres!$A$1:$I$89,5,0)</f>
        <v>-1.2710188457276673E-13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443.34220761968419</v>
      </c>
      <c r="T195" s="62">
        <f t="shared" si="142"/>
        <v>546.58234447298014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4.9151738024264854E-2</v>
      </c>
      <c r="AB195" s="23">
        <f>EXP(-LN(2)/2)*AB194+(1-EXP(-LN(2)/2))/(LN(2)/2)*V195*Y195*VLOOKUP('Données projet'!$B$9,Paramètres!$A$1:$I$89,3,0)*0.475*44/12</f>
        <v>1.3807235979910338E-23</v>
      </c>
      <c r="AC195" s="24">
        <f t="shared" si="163"/>
        <v>4.9151738024264854E-2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-1.7053025658242404E-13</v>
      </c>
      <c r="AJ195" s="14">
        <f>AI195*VLOOKUP('Données projet'!$B$10,Paramètres!$A$1:$I$89,3,0)*VLOOKUP('Données projet'!$B$10,Paramètres!$A$1:$I$89,5,0)</f>
        <v>-9.3109520094003535E-14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250.47640551318432</v>
      </c>
      <c r="AO195" s="62">
        <f t="shared" si="144"/>
        <v>361.92681160120975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0.34551349098205097</v>
      </c>
      <c r="AV195" s="23">
        <f>EXP(-LN(2)/25)*AV194+(1-EXP(-LN(2)/25))/(LN(2)/25)*Calculateur!AQ195*Calculateur!AS195*VLOOKUP('Données projet'!$B$10,Paramètres!$A$1:$I$89,3,0)*0.475*44/12</f>
        <v>0.39938533046589569</v>
      </c>
      <c r="AW195" s="23">
        <f>EXP(-LN(2)/2)*AW194+(1-EXP(-LN(2)/2))/(LN(2)/2)*AQ195*AT195*VLOOKUP('Données projet'!$B$10,Paramètres!$A$1:$I$89,3,0)*0.475*44/12</f>
        <v>4.4943933740578544E-27</v>
      </c>
      <c r="AX195" s="23">
        <f t="shared" si="166"/>
        <v>0.74489882144794661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-2.2737367544323206E-13</v>
      </c>
      <c r="O196" s="14">
        <f>N196*VLOOKUP('Données projet'!$B$9,Paramètres!$A$1:$I$89,3,0)*VLOOKUP('Données projet'!$B$9,Paramètres!$A$1:$I$89,5,0)</f>
        <v>-1.2710188457276673E-13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443.34220761968419</v>
      </c>
      <c r="T196" s="62">
        <f t="shared" si="142"/>
        <v>546.58234447298014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4.7807681163213767E-2</v>
      </c>
      <c r="AB196" s="23">
        <f>EXP(-LN(2)/2)*AB195+(1-EXP(-LN(2)/2))/(LN(2)/2)*V196*Y196*VLOOKUP('Données projet'!$B$9,Paramètres!$A$1:$I$89,3,0)*0.475*44/12</f>
        <v>9.7631901908374856E-24</v>
      </c>
      <c r="AC196" s="24">
        <f t="shared" si="163"/>
        <v>4.7807681163213767E-2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-1.7053025658242404E-13</v>
      </c>
      <c r="AJ196" s="14">
        <f>AI196*VLOOKUP('Données projet'!$B$10,Paramètres!$A$1:$I$89,3,0)*VLOOKUP('Données projet'!$B$10,Paramètres!$A$1:$I$89,5,0)</f>
        <v>-9.3109520094003535E-14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250.47640551318432</v>
      </c>
      <c r="AO196" s="62">
        <f t="shared" si="144"/>
        <v>361.92681160120975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0.33873818216631335</v>
      </c>
      <c r="AV196" s="23">
        <f>EXP(-LN(2)/25)*AV195+(1-EXP(-LN(2)/25))/(LN(2)/25)*Calculateur!AQ196*Calculateur!AS196*VLOOKUP('Données projet'!$B$10,Paramètres!$A$1:$I$89,3,0)*0.475*44/12</f>
        <v>0.38846411760154403</v>
      </c>
      <c r="AW196" s="23">
        <f>EXP(-LN(2)/2)*AW195+(1-EXP(-LN(2)/2))/(LN(2)/2)*AQ196*AT196*VLOOKUP('Données projet'!$B$10,Paramètres!$A$1:$I$89,3,0)*0.475*44/12</f>
        <v>3.1780160321161967E-27</v>
      </c>
      <c r="AX196" s="23">
        <f t="shared" si="166"/>
        <v>0.72720229976785733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-2.2737367544323206E-13</v>
      </c>
      <c r="O197" s="14">
        <f>N197*VLOOKUP('Données projet'!$B$9,Paramètres!$A$1:$I$89,3,0)*VLOOKUP('Données projet'!$B$9,Paramètres!$A$1:$I$89,5,0)</f>
        <v>-1.2710188457276673E-13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443.34220761968419</v>
      </c>
      <c r="T197" s="62">
        <f t="shared" ref="T197:T203" si="204">$T$3</f>
        <v>546.58234447298014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4.6500377607708997E-2</v>
      </c>
      <c r="AB197" s="23">
        <f>EXP(-LN(2)/2)*AB196+(1-EXP(-LN(2)/2))/(LN(2)/2)*V197*Y197*VLOOKUP('Données projet'!$B$9,Paramètres!$A$1:$I$89,3,0)*0.475*44/12</f>
        <v>6.903617989955169E-24</v>
      </c>
      <c r="AC197" s="24">
        <f t="shared" si="163"/>
        <v>4.6500377607708997E-2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-1.7053025658242404E-13</v>
      </c>
      <c r="AJ197" s="14">
        <f>AI197*VLOOKUP('Données projet'!$B$10,Paramètres!$A$1:$I$89,3,0)*VLOOKUP('Données projet'!$B$10,Paramètres!$A$1:$I$89,5,0)</f>
        <v>-9.3109520094003535E-14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250.47640551318432</v>
      </c>
      <c r="AO197" s="62">
        <f t="shared" ref="AO197:AO203" si="205">$AO$3</f>
        <v>361.92681160120975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0.33209573302392204</v>
      </c>
      <c r="AV197" s="23">
        <f>EXP(-LN(2)/25)*AV196+(1-EXP(-LN(2)/25))/(LN(2)/25)*Calculateur!AQ197*Calculateur!AS197*VLOOKUP('Données projet'!$B$10,Paramètres!$A$1:$I$89,3,0)*0.475*44/12</f>
        <v>0.37784154587728974</v>
      </c>
      <c r="AW197" s="23">
        <f>EXP(-LN(2)/2)*AW196+(1-EXP(-LN(2)/2))/(LN(2)/2)*AQ197*AT197*VLOOKUP('Données projet'!$B$10,Paramètres!$A$1:$I$89,3,0)*0.475*44/12</f>
        <v>2.2471966870289276E-27</v>
      </c>
      <c r="AX197" s="23">
        <f t="shared" si="166"/>
        <v>0.70993727890121172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-2.2737367544323206E-13</v>
      </c>
      <c r="O198" s="14">
        <f>N198*VLOOKUP('Données projet'!$B$9,Paramètres!$A$1:$I$89,3,0)*VLOOKUP('Données projet'!$B$9,Paramètres!$A$1:$I$89,5,0)</f>
        <v>-1.2710188457276673E-13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443.34220761968419</v>
      </c>
      <c r="T198" s="62">
        <f t="shared" si="204"/>
        <v>546.58234447298014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4.5228822336677611E-2</v>
      </c>
      <c r="AB198" s="23">
        <f>EXP(-LN(2)/2)*AB197+(1-EXP(-LN(2)/2))/(LN(2)/2)*V198*Y198*VLOOKUP('Données projet'!$B$9,Paramètres!$A$1:$I$89,3,0)*0.475*44/12</f>
        <v>4.8815950954187428E-24</v>
      </c>
      <c r="AC198" s="24">
        <f t="shared" si="163"/>
        <v>4.5228822336677611E-2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-1.7053025658242404E-13</v>
      </c>
      <c r="AJ198" s="14">
        <f>AI198*VLOOKUP('Données projet'!$B$10,Paramètres!$A$1:$I$89,3,0)*VLOOKUP('Données projet'!$B$10,Paramètres!$A$1:$I$89,5,0)</f>
        <v>-9.3109520094003535E-14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250.47640551318432</v>
      </c>
      <c r="AO198" s="62">
        <f t="shared" si="205"/>
        <v>361.92681160120975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0.32558353825771907</v>
      </c>
      <c r="AV198" s="23">
        <f>EXP(-LN(2)/25)*AV197+(1-EXP(-LN(2)/25))/(LN(2)/25)*Calculateur!AQ198*Calculateur!AS198*VLOOKUP('Données projet'!$B$10,Paramètres!$A$1:$I$89,3,0)*0.475*44/12</f>
        <v>0.3675094489354519</v>
      </c>
      <c r="AW198" s="23">
        <f>EXP(-LN(2)/2)*AW197+(1-EXP(-LN(2)/2))/(LN(2)/2)*AQ198*AT198*VLOOKUP('Données projet'!$B$10,Paramètres!$A$1:$I$89,3,0)*0.475*44/12</f>
        <v>1.5890080160580985E-27</v>
      </c>
      <c r="AX198" s="23">
        <f t="shared" si="166"/>
        <v>0.69309298719317103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-2.2737367544323206E-13</v>
      </c>
      <c r="O199" s="14">
        <f>N199*VLOOKUP('Données projet'!$B$9,Paramètres!$A$1:$I$89,3,0)*VLOOKUP('Données projet'!$B$9,Paramètres!$A$1:$I$89,5,0)</f>
        <v>-1.2710188457276673E-13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443.34220761968419</v>
      </c>
      <c r="T199" s="62">
        <f t="shared" si="204"/>
        <v>546.58234447298014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4.3992037811400764E-2</v>
      </c>
      <c r="AB199" s="23">
        <f>EXP(-LN(2)/2)*AB198+(1-EXP(-LN(2)/2))/(LN(2)/2)*V199*Y199*VLOOKUP('Données projet'!$B$9,Paramètres!$A$1:$I$89,3,0)*0.475*44/12</f>
        <v>3.4518089949775845E-24</v>
      </c>
      <c r="AC199" s="24">
        <f t="shared" si="163"/>
        <v>4.3992037811400764E-2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-1.7053025658242404E-13</v>
      </c>
      <c r="AJ199" s="14">
        <f>AI199*VLOOKUP('Données projet'!$B$10,Paramètres!$A$1:$I$89,3,0)*VLOOKUP('Données projet'!$B$10,Paramètres!$A$1:$I$89,5,0)</f>
        <v>-9.3109520094003535E-14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250.47640551318432</v>
      </c>
      <c r="AO199" s="62">
        <f t="shared" si="205"/>
        <v>361.92681160120975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0.31919904365883478</v>
      </c>
      <c r="AV199" s="23">
        <f>EXP(-LN(2)/25)*AV198+(1-EXP(-LN(2)/25))/(LN(2)/25)*Calculateur!AQ199*Calculateur!AS199*VLOOKUP('Données projet'!$B$10,Paramètres!$A$1:$I$89,3,0)*0.475*44/12</f>
        <v>0.35745988372783</v>
      </c>
      <c r="AW199" s="23">
        <f>EXP(-LN(2)/2)*AW198+(1-EXP(-LN(2)/2))/(LN(2)/2)*AQ199*AT199*VLOOKUP('Données projet'!$B$10,Paramètres!$A$1:$I$89,3,0)*0.475*44/12</f>
        <v>1.123598343514464E-27</v>
      </c>
      <c r="AX199" s="23">
        <f t="shared" si="166"/>
        <v>0.67665892738666478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-2.2737367544323206E-13</v>
      </c>
      <c r="O200" s="14">
        <f>N200*VLOOKUP('Données projet'!$B$9,Paramètres!$A$1:$I$89,3,0)*VLOOKUP('Données projet'!$B$9,Paramètres!$A$1:$I$89,5,0)</f>
        <v>-1.2710188457276673E-13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443.34220761968419</v>
      </c>
      <c r="T200" s="62">
        <f t="shared" si="204"/>
        <v>546.58234447298014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4.2789073224007289E-2</v>
      </c>
      <c r="AB200" s="23">
        <f>EXP(-LN(2)/2)*AB199+(1-EXP(-LN(2)/2))/(LN(2)/2)*V200*Y200*VLOOKUP('Données projet'!$B$9,Paramètres!$A$1:$I$89,3,0)*0.475*44/12</f>
        <v>2.4407975477093714E-24</v>
      </c>
      <c r="AC200" s="24">
        <f t="shared" si="163"/>
        <v>4.2789073224007289E-2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-1.7053025658242404E-13</v>
      </c>
      <c r="AJ200" s="14">
        <f>AI200*VLOOKUP('Données projet'!$B$10,Paramètres!$A$1:$I$89,3,0)*VLOOKUP('Données projet'!$B$10,Paramètres!$A$1:$I$89,5,0)</f>
        <v>-9.3109520094003535E-14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250.47640551318432</v>
      </c>
      <c r="AO200" s="62">
        <f t="shared" si="205"/>
        <v>361.92681160120975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0.31293974510487743</v>
      </c>
      <c r="AV200" s="23">
        <f>EXP(-LN(2)/25)*AV199+(1-EXP(-LN(2)/25))/(LN(2)/25)*Calculateur!AQ200*Calculateur!AS200*VLOOKUP('Données projet'!$B$10,Paramètres!$A$1:$I$89,3,0)*0.475*44/12</f>
        <v>0.34768512440929417</v>
      </c>
      <c r="AW200" s="23">
        <f>EXP(-LN(2)/2)*AW199+(1-EXP(-LN(2)/2))/(LN(2)/2)*AQ200*AT200*VLOOKUP('Données projet'!$B$10,Paramètres!$A$1:$I$89,3,0)*0.475*44/12</f>
        <v>7.9450400802904935E-28</v>
      </c>
      <c r="AX200" s="23">
        <f t="shared" si="166"/>
        <v>0.66062486951417165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-2.2737367544323206E-13</v>
      </c>
      <c r="O201" s="14">
        <f>N201*VLOOKUP('Données projet'!$B$9,Paramètres!$A$1:$I$89,3,0)*VLOOKUP('Données projet'!$B$9,Paramètres!$A$1:$I$89,5,0)</f>
        <v>-1.2710188457276673E-13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443.34220761968419</v>
      </c>
      <c r="T201" s="62">
        <f t="shared" si="204"/>
        <v>546.58234447298014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4.1619003766517247E-2</v>
      </c>
      <c r="AB201" s="23">
        <f>EXP(-LN(2)/2)*AB200+(1-EXP(-LN(2)/2))/(LN(2)/2)*V201*Y201*VLOOKUP('Données projet'!$B$9,Paramètres!$A$1:$I$89,3,0)*0.475*44/12</f>
        <v>1.7259044974887923E-24</v>
      </c>
      <c r="AC201" s="24">
        <f t="shared" si="163"/>
        <v>4.1619003766517247E-2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-1.7053025658242404E-13</v>
      </c>
      <c r="AJ201" s="14">
        <f>AI201*VLOOKUP('Données projet'!$B$10,Paramètres!$A$1:$I$89,3,0)*VLOOKUP('Données projet'!$B$10,Paramètres!$A$1:$I$89,5,0)</f>
        <v>-9.3109520094003535E-14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250.47640551318432</v>
      </c>
      <c r="AO201" s="62">
        <f t="shared" si="205"/>
        <v>361.92681160120975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0.30680318757776803</v>
      </c>
      <c r="AV201" s="23">
        <f>EXP(-LN(2)/25)*AV200+(1-EXP(-LN(2)/25))/(LN(2)/25)*Calculateur!AQ201*Calculateur!AS201*VLOOKUP('Données projet'!$B$10,Paramètres!$A$1:$I$89,3,0)*0.475*44/12</f>
        <v>0.33817765639835595</v>
      </c>
      <c r="AW201" s="23">
        <f>EXP(-LN(2)/2)*AW200+(1-EXP(-LN(2)/2))/(LN(2)/2)*AQ201*AT201*VLOOKUP('Données projet'!$B$10,Paramètres!$A$1:$I$89,3,0)*0.475*44/12</f>
        <v>5.6179917175723207E-28</v>
      </c>
      <c r="AX201" s="23">
        <f t="shared" si="166"/>
        <v>0.64498084397612399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-2.2737367544323206E-13</v>
      </c>
      <c r="O202" s="14">
        <f>N202*VLOOKUP('Données projet'!$B$9,Paramètres!$A$1:$I$89,3,0)*VLOOKUP('Données projet'!$B$9,Paramètres!$A$1:$I$89,5,0)</f>
        <v>-1.2710188457276673E-13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443.34220761968419</v>
      </c>
      <c r="T202" s="62">
        <f t="shared" si="204"/>
        <v>546.58234447298014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4.0480929919873544E-2</v>
      </c>
      <c r="AB202" s="23">
        <f>EXP(-LN(2)/2)*AB201+(1-EXP(-LN(2)/2))/(LN(2)/2)*V202*Y202*VLOOKUP('Données projet'!$B$9,Paramètres!$A$1:$I$89,3,0)*0.475*44/12</f>
        <v>1.2203987738546857E-24</v>
      </c>
      <c r="AC202" s="24">
        <f t="shared" si="163"/>
        <v>4.0480929919873544E-2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-1.7053025658242404E-13</v>
      </c>
      <c r="AJ202" s="14">
        <f>AI202*VLOOKUP('Données projet'!$B$10,Paramètres!$A$1:$I$89,3,0)*VLOOKUP('Données projet'!$B$10,Paramètres!$A$1:$I$89,5,0)</f>
        <v>-9.3109520094003535E-14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250.47640551318432</v>
      </c>
      <c r="AO202" s="62">
        <f t="shared" si="205"/>
        <v>361.92681160120975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0.30078696420083473</v>
      </c>
      <c r="AV202" s="23">
        <f>EXP(-LN(2)/25)*AV201+(1-EXP(-LN(2)/25))/(LN(2)/25)*Calculateur!AQ202*Calculateur!AS202*VLOOKUP('Données projet'!$B$10,Paramètres!$A$1:$I$89,3,0)*0.475*44/12</f>
        <v>0.32893017060015289</v>
      </c>
      <c r="AW202" s="23">
        <f>EXP(-LN(2)/2)*AW201+(1-EXP(-LN(2)/2))/(LN(2)/2)*AQ202*AT202*VLOOKUP('Données projet'!$B$10,Paramètres!$A$1:$I$89,3,0)*0.475*44/12</f>
        <v>3.9725200401452477E-28</v>
      </c>
      <c r="AX202" s="23">
        <f t="shared" si="166"/>
        <v>0.62971713480098757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-2.2737367544323206E-13</v>
      </c>
      <c r="O203" s="14">
        <f>N203*VLOOKUP('Données projet'!$B$9,Paramètres!$A$1:$I$89,3,0)*VLOOKUP('Données projet'!$B$9,Paramètres!$A$1:$I$89,5,0)</f>
        <v>-1.2710188457276673E-13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443.34220761968419</v>
      </c>
      <c r="T203" s="62">
        <f t="shared" si="204"/>
        <v>546.58234447298014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3.9373976762415018E-2</v>
      </c>
      <c r="AB203" s="23">
        <f>EXP(-LN(2)/2)*AB202+(1-EXP(-LN(2)/2))/(LN(2)/2)*V203*Y203*VLOOKUP('Données projet'!$B$9,Paramètres!$A$1:$I$89,3,0)*0.475*44/12</f>
        <v>8.6295224874439613E-25</v>
      </c>
      <c r="AC203" s="24">
        <f t="shared" si="163"/>
        <v>3.9373976762415018E-2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-1.7053025658242404E-13</v>
      </c>
      <c r="AJ203" s="14">
        <f>AI203*VLOOKUP('Données projet'!$B$10,Paramètres!$A$1:$I$89,3,0)*VLOOKUP('Données projet'!$B$10,Paramètres!$A$1:$I$89,5,0)</f>
        <v>-9.3109520094003535E-14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250.47640551318432</v>
      </c>
      <c r="AO203" s="62">
        <f t="shared" si="205"/>
        <v>361.92681160120975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0.29488871529478916</v>
      </c>
      <c r="AV203" s="23">
        <f>EXP(-LN(2)/25)*AV202+(1-EXP(-LN(2)/25))/(LN(2)/25)*Calculateur!AQ203*Calculateur!AS203*VLOOKUP('Données projet'!$B$10,Paramètres!$A$1:$I$89,3,0)*0.475*44/12</f>
        <v>0.31993555778740584</v>
      </c>
      <c r="AW203" s="23">
        <f>EXP(-LN(2)/2)*AW202+(1-EXP(-LN(2)/2))/(LN(2)/2)*AQ203*AT203*VLOOKUP('Données projet'!$B$10,Paramètres!$A$1:$I$89,3,0)*0.475*44/12</f>
        <v>2.8089958587861608E-28</v>
      </c>
      <c r="AX203" s="23">
        <f t="shared" si="166"/>
        <v>0.61482427308219501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1.3070441688874561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1.5180683844287584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workbookViewId="0">
      <selection activeCell="N37" sqref="N3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Douglas</v>
      </c>
      <c r="B6" s="155">
        <f>'Données projet'!D9</f>
        <v>1.2249999999999999</v>
      </c>
      <c r="C6" s="156">
        <f ca="1">IF(OR('Données projet'!B9="",'Données projet'!C9="",'Données projet'!C9=0%),0,Calculateur!S3)</f>
        <v>443.34220761968419</v>
      </c>
      <c r="D6" s="156">
        <f>IF(OR('Données projet'!B9="",'Données projet'!C9="",'Données projet'!C9=0%),0,Calculateur!T3)</f>
        <v>546.58234447298014</v>
      </c>
      <c r="E6" s="156">
        <f ca="1">MIN(C6,D6)</f>
        <v>443.34220761968419</v>
      </c>
      <c r="F6" s="156">
        <f ca="1">E6*B6</f>
        <v>543.0942043341131</v>
      </c>
      <c r="G6" s="156">
        <f ca="1">F6*(100%-'Données projet'!$C$24)*(100%-'Données projet'!$C$25)*(100%-'Données projet'!$C$26)*(100%-'Données projet'!$C$27)</f>
        <v>488.78478390070183</v>
      </c>
      <c r="H6" s="157">
        <f>IF(OR('Données projet'!B9="",'Données projet'!C9="",'Données projet'!C9=0%),0,AVERAGE(Calculateur!$AC$3:$AC$33)*B6)</f>
        <v>5.2885552701205372</v>
      </c>
      <c r="I6" s="158">
        <f>H6*(100%-'Données projet'!$C$24)*(100%-'Données projet'!$C$25)*(100%-'Données projet'!$C$26)*(100%-'Données projet'!$C$27)</f>
        <v>4.7596997431084835</v>
      </c>
      <c r="J6" s="159">
        <f>IF(OR('Données projet'!B9="",'Données projet'!C9="",'Données projet'!C9=0%),0,SUM(Calculateur!$V$3:$V$33)*VLOOKUP('Données projet'!$B$9,Paramètres!$A$1:$I$89,9,0)*B6)</f>
        <v>56.888999999999989</v>
      </c>
      <c r="K6" s="160">
        <f>J6*(100%-'Données projet'!$C$24)*(100%-'Données projet'!$C$25)*(100%-'Données projet'!$C$26)*(100%-'Données projet'!$C$27)</f>
        <v>51.200099999999992</v>
      </c>
      <c r="L6" s="161">
        <f ca="1">G6+I6+K6</f>
        <v>544.7445836438103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Mélèze hybride</v>
      </c>
      <c r="B7" s="163">
        <f>'Données projet'!D10</f>
        <v>0.52500000000000002</v>
      </c>
      <c r="C7" s="156">
        <f ca="1">IF(OR('Données projet'!B10="",'Données projet'!C10="",'Données projet'!C10=0%),0,Calculateur!AN3)</f>
        <v>250.47640551318432</v>
      </c>
      <c r="D7" s="156">
        <f>IF(OR('Données projet'!B10="",'Données projet'!C10="",'Données projet'!C10=0%),0,Calculateur!AO3)</f>
        <v>361.92681160120975</v>
      </c>
      <c r="E7" s="156">
        <f t="shared" ref="E7:E15" ca="1" si="0">MIN(C7,D7)</f>
        <v>250.47640551318432</v>
      </c>
      <c r="F7" s="156">
        <f t="shared" ref="F7:F15" ca="1" si="1">E7*B7</f>
        <v>131.50011289442176</v>
      </c>
      <c r="G7" s="156">
        <f ca="1">F7*(100%-'Données projet'!$C$24)*(100%-'Données projet'!$C$25)*(100%-'Données projet'!$C$26)*(100%-'Données projet'!$C$27)</f>
        <v>118.35010160497959</v>
      </c>
      <c r="H7" s="164">
        <f>IF(OR('Données projet'!B10="",'Données projet'!C10="",'Données projet'!C10=0%),0,AVERAGE(Calculateur!$AX$3:$AX$33)*B7)</f>
        <v>9.7419564367885148</v>
      </c>
      <c r="I7" s="158">
        <f>H7*(100%-'Données projet'!$C$24)*(100%-'Données projet'!$C$25)*(100%-'Données projet'!$C$26)*(100%-'Données projet'!$C$27)</f>
        <v>8.7677607931096642</v>
      </c>
      <c r="J7" s="159">
        <f>IF(OR('Données projet'!B10="",'Données projet'!C10="",'Données projet'!C10=0%),0,SUM(Calculateur!$AQ$3:$AQ$33)*VLOOKUP('Données projet'!$B$10,Paramètres!$A$1:$I$89,9,0)*B7)</f>
        <v>42.215249999999997</v>
      </c>
      <c r="K7" s="160">
        <f>J7*(100%-'Données projet'!$C$24)*(100%-'Données projet'!$C$25)*(100%-'Données projet'!$C$26)*(100%-'Données projet'!$C$27)</f>
        <v>37.993724999999998</v>
      </c>
      <c r="L7" s="161">
        <f t="shared" ref="L7:L15" ca="1" si="2">G7+I7+K7</f>
        <v>165.11158739808923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674.59431722853492</v>
      </c>
      <c r="G16" s="175">
        <f t="shared" ca="1" si="3"/>
        <v>607.13488550568138</v>
      </c>
      <c r="H16" s="176">
        <f t="shared" si="3"/>
        <v>15.030511706909053</v>
      </c>
      <c r="I16" s="176">
        <f t="shared" si="3"/>
        <v>13.527460536218147</v>
      </c>
      <c r="J16" s="177">
        <f t="shared" si="3"/>
        <v>99.104249999999979</v>
      </c>
      <c r="K16" s="177">
        <f t="shared" si="3"/>
        <v>89.19382499999999</v>
      </c>
      <c r="L16" s="178">
        <f t="shared" ca="1" si="3"/>
        <v>709.85617104189953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Mélèze hybride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C7" zoomScale="85" zoomScaleNormal="85" workbookViewId="0">
      <selection activeCell="U30" sqref="U3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4513.8980926745826</v>
      </c>
      <c r="U10" s="190">
        <f>'Données projet'!D9</f>
        <v>1.2249999999999999</v>
      </c>
      <c r="V10" s="189">
        <f>U10*T10</f>
        <v>5529.525163526363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Mélèze hybride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2029.5405330945932</v>
      </c>
      <c r="U11" s="190">
        <f>'Données projet'!D10</f>
        <v>0.52500000000000002</v>
      </c>
      <c r="V11" s="189">
        <f t="shared" ref="V11" si="0">U11*T11</f>
        <v>1065.5087798746615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4217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600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600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19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-2751.0171943934411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54</v>
      </c>
      <c r="C24" s="206">
        <v>7</v>
      </c>
      <c r="D24" s="194">
        <f t="shared" ref="D24:D42" si="2">B24*C24</f>
        <v>378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54</v>
      </c>
      <c r="C25" s="206">
        <v>12</v>
      </c>
      <c r="D25" s="194">
        <f t="shared" si="2"/>
        <v>648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-2751.0171943934411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69</v>
      </c>
      <c r="C26" s="206">
        <v>25</v>
      </c>
      <c r="D26" s="194">
        <f t="shared" si="2"/>
        <v>1725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72</v>
      </c>
      <c r="C27" s="206">
        <v>35</v>
      </c>
      <c r="D27" s="194">
        <f t="shared" si="2"/>
        <v>2520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66</v>
      </c>
      <c r="C28" s="206">
        <v>40</v>
      </c>
      <c r="D28" s="194">
        <f t="shared" si="2"/>
        <v>2640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48</v>
      </c>
      <c r="C29" s="206">
        <v>50</v>
      </c>
      <c r="D29" s="194">
        <f t="shared" si="2"/>
        <v>2400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35</v>
      </c>
      <c r="C30" s="206">
        <v>55</v>
      </c>
      <c r="D30" s="194">
        <f t="shared" si="2"/>
        <v>1925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666</v>
      </c>
      <c r="C31" s="206">
        <v>55</v>
      </c>
      <c r="D31" s="194">
        <f t="shared" si="2"/>
        <v>36630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Mélèze hybride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10</v>
      </c>
      <c r="B54" s="193">
        <f>'Données projet'!D62</f>
        <v>18</v>
      </c>
      <c r="C54" s="204">
        <v>7</v>
      </c>
      <c r="D54" s="191">
        <f>B54*C54</f>
        <v>126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15</v>
      </c>
      <c r="B55" s="193">
        <f>'Données projet'!D63</f>
        <v>41</v>
      </c>
      <c r="C55" s="204">
        <v>8</v>
      </c>
      <c r="D55" s="191">
        <f t="shared" ref="D55:D73" si="4">B55*C55</f>
        <v>328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20</v>
      </c>
      <c r="B56" s="193">
        <f>'Données projet'!D64</f>
        <v>47</v>
      </c>
      <c r="C56" s="204">
        <v>14</v>
      </c>
      <c r="D56" s="191">
        <f t="shared" si="4"/>
        <v>658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25</v>
      </c>
      <c r="B57" s="193">
        <f>'Données projet'!D65</f>
        <v>44</v>
      </c>
      <c r="C57" s="204">
        <v>15</v>
      </c>
      <c r="D57" s="191">
        <f t="shared" si="4"/>
        <v>660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30</v>
      </c>
      <c r="B58" s="193">
        <f>'Données projet'!D66</f>
        <v>37</v>
      </c>
      <c r="C58" s="204">
        <v>17</v>
      </c>
      <c r="D58" s="191">
        <f t="shared" si="4"/>
        <v>629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35</v>
      </c>
      <c r="B59" s="193">
        <f>'Données projet'!D67</f>
        <v>29</v>
      </c>
      <c r="C59" s="204">
        <v>17</v>
      </c>
      <c r="D59" s="191">
        <f t="shared" si="4"/>
        <v>493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40</v>
      </c>
      <c r="B60" s="193">
        <f>'Données projet'!D68</f>
        <v>22</v>
      </c>
      <c r="C60" s="204">
        <v>22</v>
      </c>
      <c r="D60" s="191">
        <f t="shared" si="4"/>
        <v>484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45</v>
      </c>
      <c r="B61" s="193">
        <f>'Données projet'!D69</f>
        <v>16</v>
      </c>
      <c r="C61" s="204">
        <v>24</v>
      </c>
      <c r="D61" s="191">
        <f t="shared" si="4"/>
        <v>384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50</v>
      </c>
      <c r="B62" s="193">
        <f>'Données projet'!D70</f>
        <v>315</v>
      </c>
      <c r="C62" s="204">
        <v>30</v>
      </c>
      <c r="D62" s="191">
        <f t="shared" si="4"/>
        <v>9450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str">
        <f>IF(O83+1&lt;=MIN('Données projet'!$E$9:$E$18),O83+1,"STOP")</f>
        <v>STOP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2023-11-27T15:24:23Z</dcterms:modified>
</cp:coreProperties>
</file>