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\\alliance.local\data\Services\7.Qualité Sécurité Environnement\Partage\1.Saisies partagées agences\6.LBC\2. Dossiers agences\Evreux\LESSAY (50) - Indivision LEROUET - BEL\Dossier déposé 12 02 2024\"/>
    </mc:Choice>
  </mc:AlternateContent>
  <xr:revisionPtr revIDLastSave="0" documentId="13_ncr:1_{CFD89950-85CC-4CA7-B705-8E0319B2B599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192" i="2" a="1"/>
  <c r="BC192" i="2" s="1"/>
  <c r="BC185" i="2" a="1"/>
  <c r="BC185" i="2" s="1"/>
  <c r="BC7" i="2" a="1"/>
  <c r="BC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64" i="2" l="1" a="1"/>
  <c r="BC164" i="2" s="1"/>
  <c r="BC18" i="2" a="1"/>
  <c r="BC18" i="2" s="1"/>
  <c r="BC38" i="2" a="1"/>
  <c r="BC38" i="2" s="1"/>
  <c r="BC151" i="2" a="1"/>
  <c r="BC151" i="2" s="1"/>
  <c r="BC31" i="2" a="1"/>
  <c r="BC31" i="2" s="1"/>
  <c r="BC84" i="2" a="1"/>
  <c r="BC84" i="2" s="1"/>
  <c r="BC143" i="2" a="1"/>
  <c r="BC143" i="2" s="1"/>
  <c r="BC32" i="2" a="1"/>
  <c r="BC32" i="2" s="1"/>
  <c r="BC117" i="2" a="1"/>
  <c r="BC117" i="2" s="1"/>
  <c r="BC181" i="2" a="1"/>
  <c r="BC181" i="2" s="1"/>
  <c r="BC114" i="2" a="1"/>
  <c r="BC114" i="2" s="1"/>
  <c r="BC47" i="2" a="1"/>
  <c r="BC47" i="2" s="1"/>
  <c r="BC130" i="2" a="1"/>
  <c r="BC130" i="2" s="1"/>
  <c r="BC83" i="2" a="1"/>
  <c r="BC83" i="2" s="1"/>
  <c r="BC68" i="2" a="1"/>
  <c r="BC68" i="2" s="1"/>
  <c r="BC65" i="2" a="1"/>
  <c r="BC65" i="2" s="1"/>
  <c r="BC126" i="2" a="1"/>
  <c r="BC126" i="2" s="1"/>
  <c r="BC82" i="2" a="1"/>
  <c r="BC82" i="2" s="1"/>
  <c r="BC58" i="2" a="1"/>
  <c r="BC58" i="2" s="1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<sst xmlns="http://schemas.openxmlformats.org/spreadsheetml/2006/main" count="1171" uniqueCount="324">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</sst>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€&quot;;[Red]\-#,##0\ &quot;€&quot;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6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1.945758313630227</c:v>
                </c:pt>
                <c:pt idx="2">
                  <c:v>2.6050980468053448</c:v>
                </c:pt>
                <c:pt idx="3">
                  <c:v>3.4887980517210706</c:v>
                </c:pt>
                <c:pt idx="4">
                  <c:v>4.6735040654797206</c:v>
                </c:pt>
                <c:pt idx="5">
                  <c:v>6.2621414188034761</c:v>
                </c:pt>
                <c:pt idx="6">
                  <c:v>8.3929560750059693</c:v>
                </c:pt>
                <c:pt idx="7">
                  <c:v>11.251675760913587</c:v>
                </c:pt>
                <c:pt idx="8">
                  <c:v>15.087871001792513</c:v>
                </c:pt>
                <c:pt idx="9">
                  <c:v>20.236970540629144</c:v>
                </c:pt>
                <c:pt idx="10">
                  <c:v>27.149890593651492</c:v>
                </c:pt>
                <c:pt idx="11">
                  <c:v>36.432918080797933</c:v>
                </c:pt>
                <c:pt idx="12">
                  <c:v>48.901405640152291</c:v>
                </c:pt>
                <c:pt idx="13">
                  <c:v>65.652073559199778</c:v>
                </c:pt>
                <c:pt idx="14">
                  <c:v>88.160382293019723</c:v>
                </c:pt>
                <c:pt idx="15">
                  <c:v>118.41168955175056</c:v>
                </c:pt>
                <c:pt idx="16">
                  <c:v>159.07794124592061</c:v>
                </c:pt>
                <c:pt idx="17">
                  <c:v>213.75574019899872</c:v>
                </c:pt>
                <c:pt idx="18">
                  <c:v>249.31858647831859</c:v>
                </c:pt>
                <c:pt idx="19">
                  <c:v>186.65295119618835</c:v>
                </c:pt>
                <c:pt idx="20">
                  <c:v>219.38527831101297</c:v>
                </c:pt>
                <c:pt idx="21">
                  <c:v>252.00526262376073</c:v>
                </c:pt>
                <c:pt idx="22">
                  <c:v>284.52949620568376</c:v>
                </c:pt>
                <c:pt idx="23">
                  <c:v>316.97045957191079</c:v>
                </c:pt>
                <c:pt idx="24">
                  <c:v>353.21835259366952</c:v>
                </c:pt>
                <c:pt idx="25">
                  <c:v>324.75291318794217</c:v>
                </c:pt>
                <c:pt idx="26">
                  <c:v>357.64353127694949</c:v>
                </c:pt>
                <c:pt idx="27">
                  <c:v>391.75345691850794</c:v>
                </c:pt>
                <c:pt idx="28">
                  <c:v>425.79897297789597</c:v>
                </c:pt>
                <c:pt idx="29">
                  <c:v>461.70741999611255</c:v>
                </c:pt>
                <c:pt idx="30">
                  <c:v>497.55629175055515</c:v>
                </c:pt>
                <c:pt idx="31">
                  <c:v>434.07832225738576</c:v>
                </c:pt>
                <c:pt idx="32">
                  <c:v>466.6407952399947</c:v>
                </c:pt>
                <c:pt idx="33">
                  <c:v>500.64674115998105</c:v>
                </c:pt>
                <c:pt idx="34">
                  <c:v>534.60381399607388</c:v>
                </c:pt>
                <c:pt idx="35">
                  <c:v>569.77901956235246</c:v>
                </c:pt>
                <c:pt idx="36">
                  <c:v>604.90887079787183</c:v>
                </c:pt>
                <c:pt idx="37">
                  <c:v>535.66200804942548</c:v>
                </c:pt>
                <c:pt idx="38">
                  <c:v>567.84246187417853</c:v>
                </c:pt>
                <c:pt idx="39">
                  <c:v>600.99917872090748</c:v>
                </c:pt>
                <c:pt idx="40">
                  <c:v>634.11789501107194</c:v>
                </c:pt>
                <c:pt idx="41">
                  <c:v>668.08943967387813</c:v>
                </c:pt>
                <c:pt idx="42">
                  <c:v>702.0254786345663</c:v>
                </c:pt>
                <c:pt idx="43">
                  <c:v>625.80482280365356</c:v>
                </c:pt>
                <c:pt idx="44">
                  <c:v>657.01294905815314</c:v>
                </c:pt>
                <c:pt idx="45">
                  <c:v>688.88449344969774</c:v>
                </c:pt>
                <c:pt idx="46">
                  <c:v>720.72582265116989</c:v>
                </c:pt>
                <c:pt idx="47">
                  <c:v>753.17243083327423</c:v>
                </c:pt>
                <c:pt idx="48">
                  <c:v>785.59065255131372</c:v>
                </c:pt>
                <c:pt idx="49">
                  <c:v>696.17586923903229</c:v>
                </c:pt>
                <c:pt idx="50">
                  <c:v>725.80175633672332</c:v>
                </c:pt>
                <c:pt idx="51">
                  <c:v>756.00757035468848</c:v>
                </c:pt>
                <c:pt idx="52">
                  <c:v>786.18888455630861</c:v>
                </c:pt>
                <c:pt idx="53">
                  <c:v>816.78630665073081</c:v>
                </c:pt>
                <c:pt idx="54">
                  <c:v>847.360640692846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2.0624912291627764</c:v>
                </c:pt>
                <c:pt idx="2">
                  <c:v>2.9945430481859217</c:v>
                </c:pt>
                <c:pt idx="3">
                  <c:v>4.3496872758658158</c:v>
                </c:pt>
                <c:pt idx="4">
                  <c:v>6.320788555997809</c:v>
                </c:pt>
                <c:pt idx="5">
                  <c:v>9.1889709365564034</c:v>
                </c:pt>
                <c:pt idx="6">
                  <c:v>13.364152517582584</c:v>
                </c:pt>
                <c:pt idx="7">
                  <c:v>19.444257450131246</c:v>
                </c:pt>
                <c:pt idx="8">
                  <c:v>28.301736999378914</c:v>
                </c:pt>
                <c:pt idx="9">
                  <c:v>41.210031255524335</c:v>
                </c:pt>
                <c:pt idx="10">
                  <c:v>60.028460935167708</c:v>
                </c:pt>
                <c:pt idx="11">
                  <c:v>65.856755599682018</c:v>
                </c:pt>
                <c:pt idx="12">
                  <c:v>83.748638090882295</c:v>
                </c:pt>
                <c:pt idx="13">
                  <c:v>101.54363811496934</c:v>
                </c:pt>
                <c:pt idx="14">
                  <c:v>119.26121337444526</c:v>
                </c:pt>
                <c:pt idx="15">
                  <c:v>136.9145198877824</c:v>
                </c:pt>
                <c:pt idx="16">
                  <c:v>119.73912556974642</c:v>
                </c:pt>
                <c:pt idx="17">
                  <c:v>138.34335910198348</c:v>
                </c:pt>
                <c:pt idx="18">
                  <c:v>156.88740899092929</c:v>
                </c:pt>
                <c:pt idx="19">
                  <c:v>175.37939831841334</c:v>
                </c:pt>
                <c:pt idx="20">
                  <c:v>193.82559249840713</c:v>
                </c:pt>
                <c:pt idx="21">
                  <c:v>169.93164565483679</c:v>
                </c:pt>
                <c:pt idx="22">
                  <c:v>186.26311995847519</c:v>
                </c:pt>
                <c:pt idx="23">
                  <c:v>202.56116919355532</c:v>
                </c:pt>
                <c:pt idx="24">
                  <c:v>218.82886210158497</c:v>
                </c:pt>
                <c:pt idx="25">
                  <c:v>235.0687734575271</c:v>
                </c:pt>
                <c:pt idx="26">
                  <c:v>210.8165194357947</c:v>
                </c:pt>
                <c:pt idx="27">
                  <c:v>224.24513753374686</c:v>
                </c:pt>
                <c:pt idx="28">
                  <c:v>237.65532761500836</c:v>
                </c:pt>
                <c:pt idx="29">
                  <c:v>251.0482763599305</c:v>
                </c:pt>
                <c:pt idx="30">
                  <c:v>264.42503341914335</c:v>
                </c:pt>
                <c:pt idx="31">
                  <c:v>242.8265187332286</c:v>
                </c:pt>
                <c:pt idx="32">
                  <c:v>252.92667016047722</c:v>
                </c:pt>
                <c:pt idx="33">
                  <c:v>263.01768756325686</c:v>
                </c:pt>
                <c:pt idx="34">
                  <c:v>273.09997104096175</c:v>
                </c:pt>
                <c:pt idx="35">
                  <c:v>283.17388871622381</c:v>
                </c:pt>
                <c:pt idx="36">
                  <c:v>266.06672343826102</c:v>
                </c:pt>
                <c:pt idx="37">
                  <c:v>273.56870812584953</c:v>
                </c:pt>
                <c:pt idx="38">
                  <c:v>281.06606938968815</c:v>
                </c:pt>
                <c:pt idx="39">
                  <c:v>288.55894809233223</c:v>
                </c:pt>
                <c:pt idx="40">
                  <c:v>296.04747717569848</c:v>
                </c:pt>
                <c:pt idx="41">
                  <c:v>282.70551490450038</c:v>
                </c:pt>
                <c:pt idx="42">
                  <c:v>288.09077194522132</c:v>
                </c:pt>
                <c:pt idx="43">
                  <c:v>293.47377793906503</c:v>
                </c:pt>
                <c:pt idx="44">
                  <c:v>298.85458006272216</c:v>
                </c:pt>
                <c:pt idx="45">
                  <c:v>304.23322365298316</c:v>
                </c:pt>
                <c:pt idx="46">
                  <c:v>294.17574569077777</c:v>
                </c:pt>
                <c:pt idx="47">
                  <c:v>298.15285967061317</c:v>
                </c:pt>
                <c:pt idx="48">
                  <c:v>302.12879127431222</c:v>
                </c:pt>
                <c:pt idx="49">
                  <c:v>306.10355828446768</c:v>
                </c:pt>
                <c:pt idx="50">
                  <c:v>310.07717798339257</c:v>
                </c:pt>
                <c:pt idx="51">
                  <c:v>9.8459716521636505E-13</c:v>
                </c:pt>
                <c:pt idx="52">
                  <c:v>9.8459716521636505E-13</c:v>
                </c:pt>
                <c:pt idx="53">
                  <c:v>9.8459716521636505E-13</c:v>
                </c:pt>
                <c:pt idx="54">
                  <c:v>9.8459716521636505E-13</c:v>
                </c:pt>
                <c:pt idx="55">
                  <c:v>9.8459716521636505E-13</c:v>
                </c:pt>
                <c:pt idx="56">
                  <c:v>9.8459716521636505E-13</c:v>
                </c:pt>
                <c:pt idx="57">
                  <c:v>9.8459716521636505E-13</c:v>
                </c:pt>
                <c:pt idx="58">
                  <c:v>9.8459716521636505E-13</c:v>
                </c:pt>
                <c:pt idx="59">
                  <c:v>9.8459716521636505E-13</c:v>
                </c:pt>
                <c:pt idx="60">
                  <c:v>9.8459716521636505E-13</c:v>
                </c:pt>
                <c:pt idx="61">
                  <c:v>9.8459716521636505E-13</c:v>
                </c:pt>
                <c:pt idx="62">
                  <c:v>9.8459716521636505E-13</c:v>
                </c:pt>
                <c:pt idx="63">
                  <c:v>9.8459716521636505E-13</c:v>
                </c:pt>
                <c:pt idx="64">
                  <c:v>9.8459716521636505E-13</c:v>
                </c:pt>
                <c:pt idx="65">
                  <c:v>9.8459716521636505E-13</c:v>
                </c:pt>
                <c:pt idx="66">
                  <c:v>9.8459716521636505E-13</c:v>
                </c:pt>
                <c:pt idx="67">
                  <c:v>9.8459716521636505E-13</c:v>
                </c:pt>
                <c:pt idx="68">
                  <c:v>9.8459716521636505E-13</c:v>
                </c:pt>
                <c:pt idx="69">
                  <c:v>9.8459716521636505E-13</c:v>
                </c:pt>
                <c:pt idx="70">
                  <c:v>9.8459716521636505E-13</c:v>
                </c:pt>
                <c:pt idx="71">
                  <c:v>9.8459716521636505E-13</c:v>
                </c:pt>
                <c:pt idx="72">
                  <c:v>9.8459716521636505E-13</c:v>
                </c:pt>
                <c:pt idx="73">
                  <c:v>9.8459716521636505E-13</c:v>
                </c:pt>
                <c:pt idx="74">
                  <c:v>9.8459716521636505E-13</c:v>
                </c:pt>
                <c:pt idx="75">
                  <c:v>9.8459716521636505E-13</c:v>
                </c:pt>
                <c:pt idx="76">
                  <c:v>9.8459716521636505E-13</c:v>
                </c:pt>
                <c:pt idx="77">
                  <c:v>9.8459716521636505E-13</c:v>
                </c:pt>
                <c:pt idx="78">
                  <c:v>9.8459716521636505E-13</c:v>
                </c:pt>
                <c:pt idx="79">
                  <c:v>9.8459716521636505E-13</c:v>
                </c:pt>
                <c:pt idx="80">
                  <c:v>9.8459716521636505E-13</c:v>
                </c:pt>
                <c:pt idx="81">
                  <c:v>9.8459716521636505E-13</c:v>
                </c:pt>
                <c:pt idx="82">
                  <c:v>9.8459716521636505E-13</c:v>
                </c:pt>
                <c:pt idx="83">
                  <c:v>9.8459716521636505E-13</c:v>
                </c:pt>
                <c:pt idx="84">
                  <c:v>9.8459716521636505E-13</c:v>
                </c:pt>
                <c:pt idx="85">
                  <c:v>9.8459716521636505E-13</c:v>
                </c:pt>
                <c:pt idx="86">
                  <c:v>9.8459716521636505E-13</c:v>
                </c:pt>
                <c:pt idx="87">
                  <c:v>9.8459716521636505E-13</c:v>
                </c:pt>
                <c:pt idx="88">
                  <c:v>9.8459716521636505E-13</c:v>
                </c:pt>
                <c:pt idx="89">
                  <c:v>9.8459716521636505E-13</c:v>
                </c:pt>
                <c:pt idx="90">
                  <c:v>9.8459716521636505E-13</c:v>
                </c:pt>
                <c:pt idx="91">
                  <c:v>9.8459716521636505E-13</c:v>
                </c:pt>
                <c:pt idx="92">
                  <c:v>9.8459716521636505E-13</c:v>
                </c:pt>
                <c:pt idx="93">
                  <c:v>9.8459716521636505E-13</c:v>
                </c:pt>
                <c:pt idx="94">
                  <c:v>9.8459716521636505E-13</c:v>
                </c:pt>
                <c:pt idx="95">
                  <c:v>9.8459716521636505E-13</c:v>
                </c:pt>
                <c:pt idx="96">
                  <c:v>9.8459716521636505E-13</c:v>
                </c:pt>
                <c:pt idx="97">
                  <c:v>9.8459716521636505E-13</c:v>
                </c:pt>
                <c:pt idx="98">
                  <c:v>9.8459716521636505E-13</c:v>
                </c:pt>
                <c:pt idx="99">
                  <c:v>9.8459716521636505E-13</c:v>
                </c:pt>
                <c:pt idx="100">
                  <c:v>9.8459716521636505E-13</c:v>
                </c:pt>
                <c:pt idx="101">
                  <c:v>9.8459716521636505E-13</c:v>
                </c:pt>
                <c:pt idx="102">
                  <c:v>9.8459716521636505E-13</c:v>
                </c:pt>
                <c:pt idx="103">
                  <c:v>9.8459716521636505E-13</c:v>
                </c:pt>
                <c:pt idx="104">
                  <c:v>9.8459716521636505E-13</c:v>
                </c:pt>
                <c:pt idx="105">
                  <c:v>9.8459716521636505E-13</c:v>
                </c:pt>
                <c:pt idx="106">
                  <c:v>9.8459716521636505E-13</c:v>
                </c:pt>
                <c:pt idx="107">
                  <c:v>9.8459716521636505E-13</c:v>
                </c:pt>
                <c:pt idx="108">
                  <c:v>9.8459716521636505E-13</c:v>
                </c:pt>
                <c:pt idx="109">
                  <c:v>9.8459716521636505E-13</c:v>
                </c:pt>
                <c:pt idx="110">
                  <c:v>9.8459716521636505E-13</c:v>
                </c:pt>
                <c:pt idx="111">
                  <c:v>9.8459716521636505E-13</c:v>
                </c:pt>
                <c:pt idx="112">
                  <c:v>9.8459716521636505E-13</c:v>
                </c:pt>
                <c:pt idx="113">
                  <c:v>9.8459716521636505E-13</c:v>
                </c:pt>
                <c:pt idx="114">
                  <c:v>9.8459716521636505E-13</c:v>
                </c:pt>
                <c:pt idx="115">
                  <c:v>9.8459716521636505E-13</c:v>
                </c:pt>
                <c:pt idx="116">
                  <c:v>9.8459716521636505E-13</c:v>
                </c:pt>
                <c:pt idx="117">
                  <c:v>9.8459716521636505E-13</c:v>
                </c:pt>
                <c:pt idx="118">
                  <c:v>9.8459716521636505E-13</c:v>
                </c:pt>
                <c:pt idx="119">
                  <c:v>9.8459716521636505E-13</c:v>
                </c:pt>
                <c:pt idx="120">
                  <c:v>9.8459716521636505E-13</c:v>
                </c:pt>
                <c:pt idx="121">
                  <c:v>9.8459716521636505E-13</c:v>
                </c:pt>
                <c:pt idx="122">
                  <c:v>9.8459716521636505E-13</c:v>
                </c:pt>
                <c:pt idx="123">
                  <c:v>9.8459716521636505E-13</c:v>
                </c:pt>
                <c:pt idx="124">
                  <c:v>9.8459716521636505E-13</c:v>
                </c:pt>
                <c:pt idx="125">
                  <c:v>9.8459716521636505E-13</c:v>
                </c:pt>
                <c:pt idx="126">
                  <c:v>9.8459716521636505E-13</c:v>
                </c:pt>
                <c:pt idx="127">
                  <c:v>9.8459716521636505E-13</c:v>
                </c:pt>
                <c:pt idx="128">
                  <c:v>9.8459716521636505E-13</c:v>
                </c:pt>
                <c:pt idx="129">
                  <c:v>9.8459716521636505E-13</c:v>
                </c:pt>
                <c:pt idx="130">
                  <c:v>9.8459716521636505E-13</c:v>
                </c:pt>
                <c:pt idx="131">
                  <c:v>9.8459716521636505E-13</c:v>
                </c:pt>
                <c:pt idx="132">
                  <c:v>9.8459716521636505E-13</c:v>
                </c:pt>
                <c:pt idx="133">
                  <c:v>9.8459716521636505E-13</c:v>
                </c:pt>
                <c:pt idx="134">
                  <c:v>9.8459716521636505E-13</c:v>
                </c:pt>
                <c:pt idx="135">
                  <c:v>9.8459716521636505E-13</c:v>
                </c:pt>
                <c:pt idx="136">
                  <c:v>9.8459716521636505E-13</c:v>
                </c:pt>
                <c:pt idx="137">
                  <c:v>9.8459716521636505E-13</c:v>
                </c:pt>
                <c:pt idx="138">
                  <c:v>9.8459716521636505E-13</c:v>
                </c:pt>
                <c:pt idx="139">
                  <c:v>9.8459716521636505E-13</c:v>
                </c:pt>
                <c:pt idx="140">
                  <c:v>9.8459716521636505E-13</c:v>
                </c:pt>
                <c:pt idx="141">
                  <c:v>9.8459716521636505E-13</c:v>
                </c:pt>
                <c:pt idx="142">
                  <c:v>9.8459716521636505E-13</c:v>
                </c:pt>
                <c:pt idx="143">
                  <c:v>9.8459716521636505E-13</c:v>
                </c:pt>
                <c:pt idx="144">
                  <c:v>9.8459716521636505E-13</c:v>
                </c:pt>
                <c:pt idx="145">
                  <c:v>9.8459716521636505E-13</c:v>
                </c:pt>
                <c:pt idx="146">
                  <c:v>9.8459716521636505E-13</c:v>
                </c:pt>
                <c:pt idx="147">
                  <c:v>9.8459716521636505E-13</c:v>
                </c:pt>
                <c:pt idx="148">
                  <c:v>9.8459716521636505E-13</c:v>
                </c:pt>
                <c:pt idx="149">
                  <c:v>9.8459716521636505E-13</c:v>
                </c:pt>
                <c:pt idx="150">
                  <c:v>9.8459716521636505E-13</c:v>
                </c:pt>
                <c:pt idx="151">
                  <c:v>9.8459716521636505E-13</c:v>
                </c:pt>
                <c:pt idx="152">
                  <c:v>9.8459716521636505E-13</c:v>
                </c:pt>
                <c:pt idx="153">
                  <c:v>9.8459716521636505E-13</c:v>
                </c:pt>
                <c:pt idx="154">
                  <c:v>9.8459716521636505E-13</c:v>
                </c:pt>
                <c:pt idx="155">
                  <c:v>9.8459716521636505E-13</c:v>
                </c:pt>
                <c:pt idx="156">
                  <c:v>9.8459716521636505E-13</c:v>
                </c:pt>
                <c:pt idx="157">
                  <c:v>9.8459716521636505E-13</c:v>
                </c:pt>
                <c:pt idx="158">
                  <c:v>9.8459716521636505E-13</c:v>
                </c:pt>
                <c:pt idx="159">
                  <c:v>9.8459716521636505E-13</c:v>
                </c:pt>
                <c:pt idx="160">
                  <c:v>9.8459716521636505E-13</c:v>
                </c:pt>
                <c:pt idx="161">
                  <c:v>9.8459716521636505E-13</c:v>
                </c:pt>
                <c:pt idx="162">
                  <c:v>9.8459716521636505E-13</c:v>
                </c:pt>
                <c:pt idx="163">
                  <c:v>9.8459716521636505E-13</c:v>
                </c:pt>
                <c:pt idx="164">
                  <c:v>9.8459716521636505E-13</c:v>
                </c:pt>
                <c:pt idx="165">
                  <c:v>9.8459716521636505E-13</c:v>
                </c:pt>
                <c:pt idx="166">
                  <c:v>9.8459716521636505E-13</c:v>
                </c:pt>
                <c:pt idx="167">
                  <c:v>9.8459716521636505E-13</c:v>
                </c:pt>
                <c:pt idx="168">
                  <c:v>9.8459716521636505E-13</c:v>
                </c:pt>
                <c:pt idx="169">
                  <c:v>9.8459716521636505E-13</c:v>
                </c:pt>
                <c:pt idx="170">
                  <c:v>9.8459716521636505E-13</c:v>
                </c:pt>
                <c:pt idx="171">
                  <c:v>9.8459716521636505E-13</c:v>
                </c:pt>
                <c:pt idx="172">
                  <c:v>9.8459716521636505E-13</c:v>
                </c:pt>
                <c:pt idx="173">
                  <c:v>9.8459716521636505E-13</c:v>
                </c:pt>
                <c:pt idx="174">
                  <c:v>9.8459716521636505E-13</c:v>
                </c:pt>
                <c:pt idx="175">
                  <c:v>9.8459716521636505E-13</c:v>
                </c:pt>
                <c:pt idx="176">
                  <c:v>9.8459716521636505E-13</c:v>
                </c:pt>
                <c:pt idx="177">
                  <c:v>9.8459716521636505E-13</c:v>
                </c:pt>
                <c:pt idx="178">
                  <c:v>9.8459716521636505E-13</c:v>
                </c:pt>
                <c:pt idx="179">
                  <c:v>9.8459716521636505E-13</c:v>
                </c:pt>
                <c:pt idx="180">
                  <c:v>9.8459716521636505E-13</c:v>
                </c:pt>
                <c:pt idx="181">
                  <c:v>9.8459716521636505E-13</c:v>
                </c:pt>
                <c:pt idx="182">
                  <c:v>9.8459716521636505E-13</c:v>
                </c:pt>
                <c:pt idx="183">
                  <c:v>9.8459716521636505E-13</c:v>
                </c:pt>
                <c:pt idx="184">
                  <c:v>9.8459716521636505E-13</c:v>
                </c:pt>
                <c:pt idx="185">
                  <c:v>9.8459716521636505E-13</c:v>
                </c:pt>
                <c:pt idx="186">
                  <c:v>9.8459716521636505E-13</c:v>
                </c:pt>
                <c:pt idx="187">
                  <c:v>9.8459716521636505E-13</c:v>
                </c:pt>
                <c:pt idx="188">
                  <c:v>9.8459716521636505E-13</c:v>
                </c:pt>
                <c:pt idx="189">
                  <c:v>9.8459716521636505E-13</c:v>
                </c:pt>
                <c:pt idx="190">
                  <c:v>9.8459716521636505E-13</c:v>
                </c:pt>
                <c:pt idx="191">
                  <c:v>9.8459716521636505E-13</c:v>
                </c:pt>
                <c:pt idx="192">
                  <c:v>9.8459716521636505E-13</c:v>
                </c:pt>
                <c:pt idx="193">
                  <c:v>9.8459716521636505E-13</c:v>
                </c:pt>
                <c:pt idx="194">
                  <c:v>9.8459716521636505E-13</c:v>
                </c:pt>
                <c:pt idx="195">
                  <c:v>9.8459716521636505E-13</c:v>
                </c:pt>
                <c:pt idx="196">
                  <c:v>9.8459716521636505E-13</c:v>
                </c:pt>
                <c:pt idx="197">
                  <c:v>9.8459716521636505E-13</c:v>
                </c:pt>
                <c:pt idx="198">
                  <c:v>9.8459716521636505E-13</c:v>
                </c:pt>
                <c:pt idx="199">
                  <c:v>9.8459716521636505E-13</c:v>
                </c:pt>
                <c:pt idx="200">
                  <c:v>9.8459716521636505E-13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2.5056460090303925</c:v>
                </c:pt>
                <c:pt idx="2">
                  <c:v>3.327732738846354</c:v>
                </c:pt>
                <c:pt idx="3">
                  <c:v>4.4206485604712045</c:v>
                </c:pt>
                <c:pt idx="4">
                  <c:v>5.8739591407388465</c:v>
                </c:pt>
                <c:pt idx="5">
                  <c:v>7.8069564008888577</c:v>
                </c:pt>
                <c:pt idx="6">
                  <c:v>10.378557094398952</c:v>
                </c:pt>
                <c:pt idx="7">
                  <c:v>13.800507525415135</c:v>
                </c:pt>
                <c:pt idx="8">
                  <c:v>18.355001719973249</c:v>
                </c:pt>
                <c:pt idx="9">
                  <c:v>24.418192160645134</c:v>
                </c:pt>
                <c:pt idx="10">
                  <c:v>32.491569113944941</c:v>
                </c:pt>
                <c:pt idx="11">
                  <c:v>44.716696017915012</c:v>
                </c:pt>
                <c:pt idx="12">
                  <c:v>68.267356266852531</c:v>
                </c:pt>
                <c:pt idx="13">
                  <c:v>91.605526277825675</c:v>
                </c:pt>
                <c:pt idx="14">
                  <c:v>114.79386073387417</c:v>
                </c:pt>
                <c:pt idx="15">
                  <c:v>137.86711899238378</c:v>
                </c:pt>
                <c:pt idx="16">
                  <c:v>96.447363572255242</c:v>
                </c:pt>
                <c:pt idx="17">
                  <c:v>122.49645924610256</c:v>
                </c:pt>
                <c:pt idx="18">
                  <c:v>148.41023510355402</c:v>
                </c:pt>
                <c:pt idx="19">
                  <c:v>174.21574506160064</c:v>
                </c:pt>
                <c:pt idx="20">
                  <c:v>199.93131520555619</c:v>
                </c:pt>
                <c:pt idx="21">
                  <c:v>159.89147845501216</c:v>
                </c:pt>
                <c:pt idx="22">
                  <c:v>186.6076360513151</c:v>
                </c:pt>
                <c:pt idx="23">
                  <c:v>213.23441535885948</c:v>
                </c:pt>
                <c:pt idx="24">
                  <c:v>239.78455379251184</c:v>
                </c:pt>
                <c:pt idx="25">
                  <c:v>266.26773098057953</c:v>
                </c:pt>
                <c:pt idx="26">
                  <c:v>225.88624492093732</c:v>
                </c:pt>
                <c:pt idx="27">
                  <c:v>251.77283729785236</c:v>
                </c:pt>
                <c:pt idx="28">
                  <c:v>277.59910531675155</c:v>
                </c:pt>
                <c:pt idx="29">
                  <c:v>303.37144778612094</c:v>
                </c:pt>
                <c:pt idx="30">
                  <c:v>329.09508705409212</c:v>
                </c:pt>
                <c:pt idx="31">
                  <c:v>287.03396888617937</c:v>
                </c:pt>
                <c:pt idx="32">
                  <c:v>310.90515078463847</c:v>
                </c:pt>
                <c:pt idx="33">
                  <c:v>334.73566468440248</c:v>
                </c:pt>
                <c:pt idx="34">
                  <c:v>358.52881092769786</c:v>
                </c:pt>
                <c:pt idx="35">
                  <c:v>382.28741618096228</c:v>
                </c:pt>
                <c:pt idx="36">
                  <c:v>337.24191352703082</c:v>
                </c:pt>
                <c:pt idx="37">
                  <c:v>357.90312952366207</c:v>
                </c:pt>
                <c:pt idx="38">
                  <c:v>378.53824995849158</c:v>
                </c:pt>
                <c:pt idx="39">
                  <c:v>399.14889663922986</c:v>
                </c:pt>
                <c:pt idx="40">
                  <c:v>419.73651029301618</c:v>
                </c:pt>
                <c:pt idx="41">
                  <c:v>375.10080417289322</c:v>
                </c:pt>
                <c:pt idx="42">
                  <c:v>392.90574133229569</c:v>
                </c:pt>
                <c:pt idx="43">
                  <c:v>410.69318870493333</c:v>
                </c:pt>
                <c:pt idx="44">
                  <c:v>428.46401008226007</c:v>
                </c:pt>
                <c:pt idx="45">
                  <c:v>446.21899178570357</c:v>
                </c:pt>
                <c:pt idx="46">
                  <c:v>420.98353332932442</c:v>
                </c:pt>
                <c:pt idx="47">
                  <c:v>436.25318896943855</c:v>
                </c:pt>
                <c:pt idx="48">
                  <c:v>451.51137887574367</c:v>
                </c:pt>
                <c:pt idx="49">
                  <c:v>466.75854497480481</c:v>
                </c:pt>
                <c:pt idx="50">
                  <c:v>481.99509797473166</c:v>
                </c:pt>
                <c:pt idx="51">
                  <c:v>462.4033121825118</c:v>
                </c:pt>
                <c:pt idx="52">
                  <c:v>475.46642110106609</c:v>
                </c:pt>
                <c:pt idx="53">
                  <c:v>488.5218960991653</c:v>
                </c:pt>
                <c:pt idx="54">
                  <c:v>501.5699699024297</c:v>
                </c:pt>
                <c:pt idx="55">
                  <c:v>514.61086214265526</c:v>
                </c:pt>
                <c:pt idx="56">
                  <c:v>498.15332008482136</c:v>
                </c:pt>
                <c:pt idx="57">
                  <c:v>509.64373653602433</c:v>
                </c:pt>
                <c:pt idx="58">
                  <c:v>521.12868049361134</c:v>
                </c:pt>
                <c:pt idx="59">
                  <c:v>532.60828955263503</c:v>
                </c:pt>
                <c:pt idx="60">
                  <c:v>544.08269489370571</c:v>
                </c:pt>
                <c:pt idx="61">
                  <c:v>527.02427283891677</c:v>
                </c:pt>
                <c:pt idx="62">
                  <c:v>536.330282305266</c:v>
                </c:pt>
                <c:pt idx="63">
                  <c:v>545.63289799541383</c:v>
                </c:pt>
                <c:pt idx="64">
                  <c:v>554.9321859329965</c:v>
                </c:pt>
                <c:pt idx="65">
                  <c:v>564.22820974827573</c:v>
                </c:pt>
                <c:pt idx="66">
                  <c:v>547.4930197333249</c:v>
                </c:pt>
                <c:pt idx="67">
                  <c:v>555.55202171385451</c:v>
                </c:pt>
                <c:pt idx="68">
                  <c:v>563.60857513569988</c:v>
                </c:pt>
                <c:pt idx="69">
                  <c:v>571.66271994120405</c:v>
                </c:pt>
                <c:pt idx="70">
                  <c:v>579.71449485526693</c:v>
                </c:pt>
                <c:pt idx="71">
                  <c:v>563.9183942223159</c:v>
                </c:pt>
                <c:pt idx="72">
                  <c:v>571.35298920709954</c:v>
                </c:pt>
                <c:pt idx="73">
                  <c:v>578.78556363786606</c:v>
                </c:pt>
                <c:pt idx="74">
                  <c:v>586.21614712582311</c:v>
                </c:pt>
                <c:pt idx="75">
                  <c:v>593.64476847015783</c:v>
                </c:pt>
                <c:pt idx="76">
                  <c:v>578.47591298878478</c:v>
                </c:pt>
                <c:pt idx="77">
                  <c:v>584.97785357240684</c:v>
                </c:pt>
                <c:pt idx="78">
                  <c:v>591.47828826876241</c:v>
                </c:pt>
                <c:pt idx="79">
                  <c:v>597.97723596598223</c:v>
                </c:pt>
                <c:pt idx="80">
                  <c:v>604.47471510805701</c:v>
                </c:pt>
                <c:pt idx="81">
                  <c:v>584.35868631619962</c:v>
                </c:pt>
                <c:pt idx="82">
                  <c:v>584.35868631619962</c:v>
                </c:pt>
                <c:pt idx="83">
                  <c:v>584.35868631619962</c:v>
                </c:pt>
                <c:pt idx="84">
                  <c:v>584.35868631619962</c:v>
                </c:pt>
                <c:pt idx="85">
                  <c:v>584.35868631619962</c:v>
                </c:pt>
                <c:pt idx="86">
                  <c:v>584.35868631619962</c:v>
                </c:pt>
                <c:pt idx="87">
                  <c:v>584.35868631619962</c:v>
                </c:pt>
                <c:pt idx="88">
                  <c:v>584.35868631619962</c:v>
                </c:pt>
                <c:pt idx="89">
                  <c:v>584.35868631619962</c:v>
                </c:pt>
                <c:pt idx="90">
                  <c:v>584.35868631619962</c:v>
                </c:pt>
                <c:pt idx="91">
                  <c:v>584.35868631619962</c:v>
                </c:pt>
                <c:pt idx="92">
                  <c:v>584.35868631619962</c:v>
                </c:pt>
                <c:pt idx="93">
                  <c:v>584.35868631619962</c:v>
                </c:pt>
                <c:pt idx="94">
                  <c:v>584.35868631619962</c:v>
                </c:pt>
                <c:pt idx="95">
                  <c:v>584.35868631619962</c:v>
                </c:pt>
                <c:pt idx="96">
                  <c:v>584.35868631619962</c:v>
                </c:pt>
                <c:pt idx="97">
                  <c:v>584.35868631619962</c:v>
                </c:pt>
                <c:pt idx="98">
                  <c:v>584.35868631619962</c:v>
                </c:pt>
                <c:pt idx="99">
                  <c:v>584.35868631619962</c:v>
                </c:pt>
                <c:pt idx="100">
                  <c:v>584.35868631619962</c:v>
                </c:pt>
                <c:pt idx="101">
                  <c:v>584.35868631619962</c:v>
                </c:pt>
                <c:pt idx="102">
                  <c:v>584.35868631619962</c:v>
                </c:pt>
                <c:pt idx="103">
                  <c:v>584.35868631619962</c:v>
                </c:pt>
                <c:pt idx="104">
                  <c:v>584.35868631619962</c:v>
                </c:pt>
                <c:pt idx="105">
                  <c:v>584.35868631619962</c:v>
                </c:pt>
                <c:pt idx="106">
                  <c:v>584.35868631619962</c:v>
                </c:pt>
                <c:pt idx="107">
                  <c:v>584.35868631619962</c:v>
                </c:pt>
                <c:pt idx="108">
                  <c:v>584.35868631619962</c:v>
                </c:pt>
                <c:pt idx="109">
                  <c:v>584.35868631619962</c:v>
                </c:pt>
                <c:pt idx="110">
                  <c:v>584.35868631619962</c:v>
                </c:pt>
                <c:pt idx="111">
                  <c:v>584.35868631619962</c:v>
                </c:pt>
                <c:pt idx="112">
                  <c:v>584.35868631619962</c:v>
                </c:pt>
                <c:pt idx="113">
                  <c:v>584.35868631619962</c:v>
                </c:pt>
                <c:pt idx="114">
                  <c:v>584.35868631619962</c:v>
                </c:pt>
                <c:pt idx="115">
                  <c:v>584.35868631619962</c:v>
                </c:pt>
                <c:pt idx="116">
                  <c:v>584.35868631619962</c:v>
                </c:pt>
                <c:pt idx="117">
                  <c:v>584.35868631619962</c:v>
                </c:pt>
                <c:pt idx="118">
                  <c:v>584.35868631619962</c:v>
                </c:pt>
                <c:pt idx="119">
                  <c:v>584.35868631619962</c:v>
                </c:pt>
                <c:pt idx="120">
                  <c:v>584.35868631619962</c:v>
                </c:pt>
                <c:pt idx="121">
                  <c:v>584.35868631619962</c:v>
                </c:pt>
                <c:pt idx="122">
                  <c:v>584.35868631619962</c:v>
                </c:pt>
                <c:pt idx="123">
                  <c:v>584.35868631619962</c:v>
                </c:pt>
                <c:pt idx="124">
                  <c:v>584.35868631619962</c:v>
                </c:pt>
                <c:pt idx="125">
                  <c:v>584.35868631619962</c:v>
                </c:pt>
                <c:pt idx="126">
                  <c:v>584.35868631619962</c:v>
                </c:pt>
                <c:pt idx="127">
                  <c:v>584.35868631619962</c:v>
                </c:pt>
                <c:pt idx="128">
                  <c:v>584.35868631619962</c:v>
                </c:pt>
                <c:pt idx="129">
                  <c:v>584.35868631619962</c:v>
                </c:pt>
                <c:pt idx="130">
                  <c:v>584.35868631619962</c:v>
                </c:pt>
                <c:pt idx="131">
                  <c:v>584.35868631619962</c:v>
                </c:pt>
                <c:pt idx="132">
                  <c:v>584.35868631619962</c:v>
                </c:pt>
                <c:pt idx="133">
                  <c:v>584.35868631619962</c:v>
                </c:pt>
                <c:pt idx="134">
                  <c:v>584.35868631619962</c:v>
                </c:pt>
                <c:pt idx="135">
                  <c:v>584.35868631619962</c:v>
                </c:pt>
                <c:pt idx="136">
                  <c:v>584.35868631619962</c:v>
                </c:pt>
                <c:pt idx="137">
                  <c:v>584.35868631619962</c:v>
                </c:pt>
                <c:pt idx="138">
                  <c:v>584.35868631619962</c:v>
                </c:pt>
                <c:pt idx="139">
                  <c:v>584.35868631619962</c:v>
                </c:pt>
                <c:pt idx="140">
                  <c:v>584.35868631619962</c:v>
                </c:pt>
                <c:pt idx="141">
                  <c:v>584.35868631619962</c:v>
                </c:pt>
                <c:pt idx="142">
                  <c:v>584.35868631619962</c:v>
                </c:pt>
                <c:pt idx="143">
                  <c:v>584.35868631619962</c:v>
                </c:pt>
                <c:pt idx="144">
                  <c:v>584.35868631619962</c:v>
                </c:pt>
                <c:pt idx="145">
                  <c:v>584.35868631619962</c:v>
                </c:pt>
                <c:pt idx="146">
                  <c:v>584.35868631619962</c:v>
                </c:pt>
                <c:pt idx="147">
                  <c:v>584.35868631619962</c:v>
                </c:pt>
                <c:pt idx="148">
                  <c:v>584.35868631619962</c:v>
                </c:pt>
                <c:pt idx="149">
                  <c:v>584.35868631619962</c:v>
                </c:pt>
                <c:pt idx="150">
                  <c:v>584.35868631619962</c:v>
                </c:pt>
                <c:pt idx="151">
                  <c:v>584.35868631619962</c:v>
                </c:pt>
                <c:pt idx="152">
                  <c:v>584.35868631619962</c:v>
                </c:pt>
                <c:pt idx="153">
                  <c:v>584.35868631619962</c:v>
                </c:pt>
                <c:pt idx="154">
                  <c:v>584.35868631619962</c:v>
                </c:pt>
                <c:pt idx="155">
                  <c:v>584.35868631619962</c:v>
                </c:pt>
                <c:pt idx="156">
                  <c:v>584.35868631619962</c:v>
                </c:pt>
                <c:pt idx="157">
                  <c:v>584.35868631619962</c:v>
                </c:pt>
                <c:pt idx="158">
                  <c:v>584.35868631619962</c:v>
                </c:pt>
                <c:pt idx="159">
                  <c:v>584.35868631619962</c:v>
                </c:pt>
                <c:pt idx="160">
                  <c:v>584.35868631619962</c:v>
                </c:pt>
                <c:pt idx="161">
                  <c:v>584.35868631619962</c:v>
                </c:pt>
                <c:pt idx="162">
                  <c:v>584.35868631619962</c:v>
                </c:pt>
                <c:pt idx="163">
                  <c:v>584.35868631619962</c:v>
                </c:pt>
                <c:pt idx="164">
                  <c:v>584.35868631619962</c:v>
                </c:pt>
                <c:pt idx="165">
                  <c:v>584.35868631619962</c:v>
                </c:pt>
                <c:pt idx="166">
                  <c:v>584.35868631619962</c:v>
                </c:pt>
                <c:pt idx="167">
                  <c:v>584.35868631619962</c:v>
                </c:pt>
                <c:pt idx="168">
                  <c:v>584.35868631619962</c:v>
                </c:pt>
                <c:pt idx="169">
                  <c:v>584.35868631619962</c:v>
                </c:pt>
                <c:pt idx="170">
                  <c:v>584.35868631619962</c:v>
                </c:pt>
                <c:pt idx="171">
                  <c:v>584.35868631619962</c:v>
                </c:pt>
                <c:pt idx="172">
                  <c:v>584.35868631619962</c:v>
                </c:pt>
                <c:pt idx="173">
                  <c:v>584.35868631619962</c:v>
                </c:pt>
                <c:pt idx="174">
                  <c:v>584.35868631619962</c:v>
                </c:pt>
                <c:pt idx="175">
                  <c:v>584.35868631619962</c:v>
                </c:pt>
                <c:pt idx="176">
                  <c:v>584.35868631619962</c:v>
                </c:pt>
                <c:pt idx="177">
                  <c:v>584.35868631619962</c:v>
                </c:pt>
                <c:pt idx="178">
                  <c:v>584.35868631619962</c:v>
                </c:pt>
                <c:pt idx="179">
                  <c:v>584.35868631619962</c:v>
                </c:pt>
                <c:pt idx="180">
                  <c:v>584.35868631619962</c:v>
                </c:pt>
                <c:pt idx="181">
                  <c:v>584.35868631619962</c:v>
                </c:pt>
                <c:pt idx="182">
                  <c:v>584.35868631619962</c:v>
                </c:pt>
                <c:pt idx="183">
                  <c:v>584.35868631619962</c:v>
                </c:pt>
                <c:pt idx="184">
                  <c:v>584.35868631619962</c:v>
                </c:pt>
                <c:pt idx="185">
                  <c:v>584.35868631619962</c:v>
                </c:pt>
                <c:pt idx="186">
                  <c:v>584.35868631619962</c:v>
                </c:pt>
                <c:pt idx="187">
                  <c:v>584.35868631619962</c:v>
                </c:pt>
                <c:pt idx="188">
                  <c:v>584.35868631619962</c:v>
                </c:pt>
                <c:pt idx="189">
                  <c:v>584.35868631619962</c:v>
                </c:pt>
                <c:pt idx="190">
                  <c:v>584.35868631619962</c:v>
                </c:pt>
                <c:pt idx="191">
                  <c:v>584.35868631619962</c:v>
                </c:pt>
                <c:pt idx="192">
                  <c:v>584.35868631619962</c:v>
                </c:pt>
                <c:pt idx="193">
                  <c:v>584.35868631619962</c:v>
                </c:pt>
                <c:pt idx="194">
                  <c:v>584.35868631619962</c:v>
                </c:pt>
                <c:pt idx="195">
                  <c:v>584.35868631619962</c:v>
                </c:pt>
                <c:pt idx="196">
                  <c:v>584.35868631619962</c:v>
                </c:pt>
                <c:pt idx="197">
                  <c:v>584.35868631619962</c:v>
                </c:pt>
                <c:pt idx="198">
                  <c:v>584.35868631619962</c:v>
                </c:pt>
                <c:pt idx="199">
                  <c:v>584.35868631619962</c:v>
                </c:pt>
                <c:pt idx="200">
                  <c:v>584.35868631619962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25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3" zoomScale="90" zoomScaleNormal="90" workbookViewId="0">
      <selection activeCell="G100" sqref="G10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1.27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0.33300000000000002</v>
      </c>
      <c r="D9" s="36">
        <f t="shared" ref="D9:D18" si="0">C9*$C$5</f>
        <v>0.42291000000000001</v>
      </c>
      <c r="E9" s="37">
        <v>54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81</v>
      </c>
      <c r="C10" s="35">
        <v>0.33300000000000002</v>
      </c>
      <c r="D10" s="36">
        <f t="shared" si="0"/>
        <v>0.42291000000000001</v>
      </c>
      <c r="E10" s="37">
        <v>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8</v>
      </c>
      <c r="C11" s="35">
        <v>0.33300000000000002</v>
      </c>
      <c r="D11" s="36">
        <f t="shared" si="0"/>
        <v>0.42291000000000001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0.99900000000000011</v>
      </c>
      <c r="D19" s="41">
        <f>SUM(D9:D18)</f>
        <v>1.2687300000000001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17</v>
      </c>
      <c r="B36" s="63">
        <v>172.78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10.163529411764706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202.31</v>
      </c>
      <c r="C37" s="63">
        <v>2</v>
      </c>
      <c r="D37" s="63">
        <v>74.819999999999993</v>
      </c>
      <c r="E37" s="54"/>
      <c r="F37" s="54"/>
      <c r="G37" s="54">
        <v>1</v>
      </c>
      <c r="H37" s="54"/>
      <c r="I37" s="56">
        <f t="shared" ref="I37:I55" si="1">IF(A37&lt;&gt;0,(B37-(B36-D36))/(A37-A36),"")</f>
        <v>29.53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19</v>
      </c>
      <c r="B38" s="63">
        <v>150.35</v>
      </c>
      <c r="C38" s="63">
        <v>3</v>
      </c>
      <c r="D38" s="63">
        <v>0</v>
      </c>
      <c r="E38" s="54"/>
      <c r="F38" s="54"/>
      <c r="G38" s="54"/>
      <c r="H38" s="54"/>
      <c r="I38" s="56">
        <f t="shared" si="1"/>
        <v>22.859999999999985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23</v>
      </c>
      <c r="B39" s="63">
        <v>258.74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27.097500000000004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24</v>
      </c>
      <c r="B40" s="63">
        <v>289.08999999999997</v>
      </c>
      <c r="C40" s="63">
        <v>5</v>
      </c>
      <c r="D40" s="53">
        <v>51.39</v>
      </c>
      <c r="E40" s="54"/>
      <c r="F40" s="54"/>
      <c r="G40" s="54">
        <v>1</v>
      </c>
      <c r="H40" s="54"/>
      <c r="I40" s="52">
        <f t="shared" si="1"/>
        <v>30.349999999999966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26</v>
      </c>
      <c r="B41" s="53">
        <v>292.8</v>
      </c>
      <c r="C41" s="63">
        <v>6</v>
      </c>
      <c r="D41" s="53">
        <v>0</v>
      </c>
      <c r="E41" s="54"/>
      <c r="F41" s="54"/>
      <c r="G41" s="54"/>
      <c r="H41" s="54"/>
      <c r="I41" s="56">
        <f t="shared" si="1"/>
        <v>27.550000000000011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28</v>
      </c>
      <c r="B42" s="53">
        <v>350.06</v>
      </c>
      <c r="C42" s="63">
        <v>7</v>
      </c>
      <c r="D42" s="53">
        <v>0</v>
      </c>
      <c r="E42" s="54"/>
      <c r="F42" s="54"/>
      <c r="G42" s="54"/>
      <c r="H42" s="54"/>
      <c r="I42" s="56">
        <f t="shared" si="1"/>
        <v>28.629999999999995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30</v>
      </c>
      <c r="B43" s="53">
        <v>410.56</v>
      </c>
      <c r="C43" s="63">
        <v>8</v>
      </c>
      <c r="D43" s="53">
        <v>80.97</v>
      </c>
      <c r="E43" s="54"/>
      <c r="F43" s="54">
        <v>0.2</v>
      </c>
      <c r="G43" s="54">
        <v>0.8</v>
      </c>
      <c r="H43" s="54"/>
      <c r="I43" s="52">
        <f t="shared" si="1"/>
        <v>30.25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32</v>
      </c>
      <c r="B44" s="53">
        <v>384.47</v>
      </c>
      <c r="C44" s="63">
        <v>9</v>
      </c>
      <c r="D44" s="53">
        <v>0</v>
      </c>
      <c r="E44" s="54"/>
      <c r="F44" s="54"/>
      <c r="G44" s="54"/>
      <c r="H44" s="54"/>
      <c r="I44" s="52">
        <f t="shared" si="1"/>
        <v>27.439999999999998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34</v>
      </c>
      <c r="B45" s="53">
        <v>441.87</v>
      </c>
      <c r="C45" s="63">
        <v>10</v>
      </c>
      <c r="D45" s="53">
        <v>0</v>
      </c>
      <c r="E45" s="54"/>
      <c r="F45" s="54"/>
      <c r="G45" s="54"/>
      <c r="H45" s="54"/>
      <c r="I45" s="52">
        <f t="shared" si="1"/>
        <v>28.699999999999989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36</v>
      </c>
      <c r="B46" s="53">
        <v>501.41</v>
      </c>
      <c r="C46" s="63">
        <v>11</v>
      </c>
      <c r="D46" s="53">
        <v>85.88</v>
      </c>
      <c r="E46" s="54"/>
      <c r="F46" s="54"/>
      <c r="G46" s="54"/>
      <c r="H46" s="54"/>
      <c r="I46" s="52">
        <f t="shared" si="1"/>
        <v>29.77000000000001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38</v>
      </c>
      <c r="B47" s="53">
        <v>470</v>
      </c>
      <c r="C47" s="63">
        <v>12</v>
      </c>
      <c r="D47" s="53">
        <v>0</v>
      </c>
      <c r="E47" s="54"/>
      <c r="F47" s="54"/>
      <c r="G47" s="54"/>
      <c r="H47" s="54"/>
      <c r="I47" s="52">
        <f t="shared" si="1"/>
        <v>27.234999999999985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40</v>
      </c>
      <c r="B48" s="53">
        <v>526.19000000000005</v>
      </c>
      <c r="C48" s="63">
        <v>13</v>
      </c>
      <c r="D48" s="53">
        <v>0</v>
      </c>
      <c r="E48" s="54"/>
      <c r="F48" s="54"/>
      <c r="G48" s="54"/>
      <c r="H48" s="54"/>
      <c r="I48" s="52">
        <f t="shared" si="1"/>
        <v>28.095000000000027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42</v>
      </c>
      <c r="B49" s="53">
        <v>583.89</v>
      </c>
      <c r="C49" s="63">
        <v>14</v>
      </c>
      <c r="D49" s="53">
        <v>91.25</v>
      </c>
      <c r="E49" s="54"/>
      <c r="F49" s="54"/>
      <c r="G49" s="54"/>
      <c r="H49" s="54"/>
      <c r="I49" s="52">
        <f t="shared" si="1"/>
        <v>28.849999999999966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44</v>
      </c>
      <c r="B50" s="53">
        <v>545.63</v>
      </c>
      <c r="C50" s="63">
        <v>15</v>
      </c>
      <c r="D50" s="53">
        <v>0</v>
      </c>
      <c r="E50" s="54"/>
      <c r="F50" s="54"/>
      <c r="G50" s="54"/>
      <c r="H50" s="54"/>
      <c r="I50" s="52">
        <f t="shared" si="1"/>
        <v>26.495000000000005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46</v>
      </c>
      <c r="B51" s="53">
        <v>599.79999999999995</v>
      </c>
      <c r="C51" s="63">
        <v>16</v>
      </c>
      <c r="D51" s="53">
        <v>0</v>
      </c>
      <c r="E51" s="54"/>
      <c r="F51" s="54"/>
      <c r="G51" s="54"/>
      <c r="H51" s="54"/>
      <c r="I51" s="52">
        <f t="shared" si="1"/>
        <v>27.08499999999998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48</v>
      </c>
      <c r="B52" s="53">
        <v>655.04999999999995</v>
      </c>
      <c r="C52" s="63">
        <v>17</v>
      </c>
      <c r="D52" s="53">
        <v>101.34</v>
      </c>
      <c r="E52" s="54"/>
      <c r="F52" s="54"/>
      <c r="G52" s="54"/>
      <c r="H52" s="54"/>
      <c r="I52" s="52">
        <f t="shared" si="1"/>
        <v>27.625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50</v>
      </c>
      <c r="B53" s="53">
        <v>604.12</v>
      </c>
      <c r="C53" s="63">
        <v>18</v>
      </c>
      <c r="D53" s="53">
        <v>0</v>
      </c>
      <c r="E53" s="54"/>
      <c r="F53" s="54"/>
      <c r="G53" s="54"/>
      <c r="H53" s="54"/>
      <c r="I53" s="52">
        <f t="shared" si="1"/>
        <v>25.205000000000041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52</v>
      </c>
      <c r="B54" s="53">
        <v>655.56</v>
      </c>
      <c r="C54" s="63">
        <v>19</v>
      </c>
      <c r="D54" s="53">
        <v>0</v>
      </c>
      <c r="E54" s="54"/>
      <c r="F54" s="54"/>
      <c r="G54" s="54"/>
      <c r="H54" s="54"/>
      <c r="I54" s="52">
        <f t="shared" si="1"/>
        <v>25.71999999999997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54</v>
      </c>
      <c r="B55" s="53">
        <v>707.75</v>
      </c>
      <c r="C55" s="63">
        <v>20</v>
      </c>
      <c r="D55" s="53">
        <v>707.75</v>
      </c>
      <c r="E55" s="54"/>
      <c r="F55" s="54"/>
      <c r="G55" s="54"/>
      <c r="H55" s="54"/>
      <c r="I55" s="52">
        <f t="shared" si="1"/>
        <v>26.095000000000027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Mélèze hybride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10</v>
      </c>
      <c r="B62" s="63">
        <v>48</v>
      </c>
      <c r="C62" s="63">
        <v>1</v>
      </c>
      <c r="D62" s="63">
        <v>10</v>
      </c>
      <c r="E62" s="54"/>
      <c r="F62" s="54"/>
      <c r="G62" s="54">
        <v>1</v>
      </c>
      <c r="H62" s="54"/>
      <c r="I62" s="56">
        <f>IFERROR(B62/A62,"")</f>
        <v>4.8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15</v>
      </c>
      <c r="B63" s="63">
        <v>112</v>
      </c>
      <c r="C63" s="63">
        <v>2</v>
      </c>
      <c r="D63" s="63">
        <v>30</v>
      </c>
      <c r="E63" s="54"/>
      <c r="F63" s="54"/>
      <c r="G63" s="54">
        <v>1</v>
      </c>
      <c r="H63" s="54"/>
      <c r="I63" s="52">
        <f>IF(A63&lt;&gt;0,(B63-(B62-D62))/(A63-A62),"")</f>
        <v>14.8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20</v>
      </c>
      <c r="B64" s="63">
        <v>160</v>
      </c>
      <c r="C64" s="63">
        <v>3</v>
      </c>
      <c r="D64" s="63">
        <v>34</v>
      </c>
      <c r="E64" s="54"/>
      <c r="F64" s="54">
        <v>0.2</v>
      </c>
      <c r="G64" s="54">
        <v>0.8</v>
      </c>
      <c r="H64" s="54"/>
      <c r="I64" s="52">
        <f>IF(A64&lt;&gt;0,(B64-(B63-D63))/(A64-A63),"")</f>
        <v>15.6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25</v>
      </c>
      <c r="B65" s="63">
        <v>195</v>
      </c>
      <c r="C65" s="63">
        <v>4</v>
      </c>
      <c r="D65" s="63">
        <v>32</v>
      </c>
      <c r="E65" s="54"/>
      <c r="F65" s="54">
        <v>0.2</v>
      </c>
      <c r="G65" s="54">
        <v>0.8</v>
      </c>
      <c r="H65" s="54"/>
      <c r="I65" s="52">
        <f>IF(A65&lt;&gt;0,(B65-(B64-D64))/(A65-A64),"")</f>
        <v>13.8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30</v>
      </c>
      <c r="B66" s="63">
        <v>220</v>
      </c>
      <c r="C66" s="63">
        <v>5</v>
      </c>
      <c r="D66" s="63">
        <v>27</v>
      </c>
      <c r="E66" s="54"/>
      <c r="F66" s="54"/>
      <c r="G66" s="54"/>
      <c r="H66" s="54"/>
      <c r="I66" s="52">
        <f t="shared" ref="I66:I81" si="2">IF(A66&lt;&gt;0,(B66-(B65-D65))/(A66-A65),"")</f>
        <v>11.4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35</v>
      </c>
      <c r="B67" s="63">
        <v>236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40</v>
      </c>
      <c r="B68" s="63">
        <v>247</v>
      </c>
      <c r="C68" s="63">
        <v>7</v>
      </c>
      <c r="D68" s="63">
        <v>16</v>
      </c>
      <c r="E68" s="54"/>
      <c r="F68" s="54"/>
      <c r="G68" s="54"/>
      <c r="H68" s="54"/>
      <c r="I68" s="52">
        <f t="shared" si="2"/>
        <v>6.4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45</v>
      </c>
      <c r="B69" s="53">
        <v>254</v>
      </c>
      <c r="C69" s="53">
        <v>8</v>
      </c>
      <c r="D69" s="53">
        <v>12</v>
      </c>
      <c r="E69" s="54"/>
      <c r="F69" s="54"/>
      <c r="G69" s="54"/>
      <c r="H69" s="54"/>
      <c r="I69" s="52">
        <f t="shared" si="2"/>
        <v>4.5999999999999996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50</v>
      </c>
      <c r="B70" s="53">
        <v>259</v>
      </c>
      <c r="C70" s="53">
        <v>9</v>
      </c>
      <c r="D70" s="53">
        <v>259</v>
      </c>
      <c r="E70" s="54"/>
      <c r="F70" s="54"/>
      <c r="G70" s="54"/>
      <c r="H70" s="54"/>
      <c r="I70" s="52">
        <f t="shared" si="2"/>
        <v>3.4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Châtaignier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10</v>
      </c>
      <c r="B88" s="63">
        <v>19</v>
      </c>
      <c r="C88" s="63">
        <v>1</v>
      </c>
      <c r="D88" s="63">
        <v>7</v>
      </c>
      <c r="E88" s="54"/>
      <c r="F88" s="54"/>
      <c r="G88" s="54"/>
      <c r="H88" s="93">
        <v>1</v>
      </c>
      <c r="I88" s="56">
        <f>IFERROR(B88/A88,"")</f>
        <v>1.9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15</v>
      </c>
      <c r="B89" s="63">
        <v>84</v>
      </c>
      <c r="C89" s="63">
        <v>2</v>
      </c>
      <c r="D89" s="63">
        <v>42</v>
      </c>
      <c r="E89" s="54"/>
      <c r="F89" s="54">
        <v>0.5</v>
      </c>
      <c r="G89" s="54">
        <v>0.5</v>
      </c>
      <c r="H89" s="93">
        <v>1</v>
      </c>
      <c r="I89" s="56">
        <f t="shared" ref="I89:I107" si="3">IF(A89&lt;&gt;0,(B89-(B88-D88))/(A89-A88),"")</f>
        <v>14.4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20</v>
      </c>
      <c r="B90" s="63">
        <v>123</v>
      </c>
      <c r="C90" s="63">
        <v>3</v>
      </c>
      <c r="D90" s="63">
        <v>42</v>
      </c>
      <c r="E90" s="93"/>
      <c r="F90" s="93">
        <v>0.5</v>
      </c>
      <c r="G90" s="93">
        <v>0.5</v>
      </c>
      <c r="H90" s="93"/>
      <c r="I90" s="56">
        <f t="shared" si="3"/>
        <v>16.2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25</v>
      </c>
      <c r="B91" s="63">
        <v>165</v>
      </c>
      <c r="C91" s="63">
        <v>4</v>
      </c>
      <c r="D91" s="63">
        <v>42</v>
      </c>
      <c r="E91" s="93"/>
      <c r="F91" s="93">
        <v>0.6</v>
      </c>
      <c r="G91" s="93">
        <v>0.4</v>
      </c>
      <c r="H91" s="93"/>
      <c r="I91" s="56">
        <f t="shared" si="3"/>
        <v>16.8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30</v>
      </c>
      <c r="B92" s="63">
        <v>205</v>
      </c>
      <c r="C92" s="63">
        <v>5</v>
      </c>
      <c r="D92" s="63">
        <v>42</v>
      </c>
      <c r="E92" s="93"/>
      <c r="F92" s="93">
        <v>0.7</v>
      </c>
      <c r="G92" s="93">
        <v>0.3</v>
      </c>
      <c r="H92" s="93"/>
      <c r="I92" s="56">
        <f t="shared" si="3"/>
        <v>16.399999999999999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35</v>
      </c>
      <c r="B93" s="63">
        <v>239</v>
      </c>
      <c r="C93" s="63">
        <v>6</v>
      </c>
      <c r="D93" s="63">
        <v>42</v>
      </c>
      <c r="E93" s="93"/>
      <c r="F93" s="93"/>
      <c r="G93" s="93"/>
      <c r="H93" s="93"/>
      <c r="I93" s="56">
        <f t="shared" si="3"/>
        <v>15.2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40</v>
      </c>
      <c r="B94" s="63">
        <v>263</v>
      </c>
      <c r="C94" s="63">
        <v>7</v>
      </c>
      <c r="D94" s="63">
        <v>40</v>
      </c>
      <c r="E94" s="93"/>
      <c r="F94" s="93"/>
      <c r="G94" s="93"/>
      <c r="H94" s="93"/>
      <c r="I94" s="56">
        <f t="shared" si="3"/>
        <v>13.2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45</v>
      </c>
      <c r="B95" s="63">
        <v>280</v>
      </c>
      <c r="C95" s="63">
        <v>8</v>
      </c>
      <c r="D95" s="63">
        <v>26</v>
      </c>
      <c r="E95" s="93"/>
      <c r="F95" s="93"/>
      <c r="G95" s="93"/>
      <c r="H95" s="93"/>
      <c r="I95" s="56">
        <f t="shared" si="3"/>
        <v>11.4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50</v>
      </c>
      <c r="B96" s="63">
        <v>303</v>
      </c>
      <c r="C96" s="63">
        <v>9</v>
      </c>
      <c r="D96" s="63">
        <v>21</v>
      </c>
      <c r="E96" s="93"/>
      <c r="F96" s="93"/>
      <c r="G96" s="93"/>
      <c r="H96" s="93"/>
      <c r="I96" s="56">
        <f t="shared" si="3"/>
        <v>9.8000000000000007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55</v>
      </c>
      <c r="B97" s="63">
        <v>324</v>
      </c>
      <c r="C97" s="63">
        <v>10</v>
      </c>
      <c r="D97" s="63">
        <v>18</v>
      </c>
      <c r="E97" s="93"/>
      <c r="F97" s="93"/>
      <c r="G97" s="93"/>
      <c r="H97" s="93"/>
      <c r="I97" s="56">
        <f t="shared" si="3"/>
        <v>8.4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60</v>
      </c>
      <c r="B98" s="63">
        <v>343</v>
      </c>
      <c r="C98" s="63">
        <v>11</v>
      </c>
      <c r="D98" s="63">
        <v>17</v>
      </c>
      <c r="E98" s="93"/>
      <c r="F98" s="93"/>
      <c r="G98" s="93"/>
      <c r="H98" s="93"/>
      <c r="I98" s="56">
        <f t="shared" si="3"/>
        <v>7.4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65</v>
      </c>
      <c r="B99" s="63">
        <v>356</v>
      </c>
      <c r="C99" s="63">
        <v>12</v>
      </c>
      <c r="D99" s="63">
        <v>16</v>
      </c>
      <c r="E99" s="93"/>
      <c r="F99" s="93"/>
      <c r="G99" s="93"/>
      <c r="H99" s="93"/>
      <c r="I99" s="56">
        <f t="shared" si="3"/>
        <v>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70</v>
      </c>
      <c r="B100" s="63">
        <v>366</v>
      </c>
      <c r="C100" s="63">
        <v>13</v>
      </c>
      <c r="D100" s="63">
        <v>15</v>
      </c>
      <c r="E100" s="68"/>
      <c r="F100" s="68"/>
      <c r="G100" s="68"/>
      <c r="H100" s="68"/>
      <c r="I100" s="56">
        <f t="shared" si="3"/>
        <v>5.2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75</v>
      </c>
      <c r="B101" s="63">
        <v>375</v>
      </c>
      <c r="C101" s="63">
        <v>14</v>
      </c>
      <c r="D101" s="63">
        <v>14</v>
      </c>
      <c r="E101" s="68"/>
      <c r="F101" s="68"/>
      <c r="G101" s="68"/>
      <c r="H101" s="68"/>
      <c r="I101" s="56">
        <f t="shared" si="3"/>
        <v>4.8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80</v>
      </c>
      <c r="B102" s="53">
        <v>382</v>
      </c>
      <c r="C102" s="63">
        <v>15</v>
      </c>
      <c r="D102" s="53">
        <v>13</v>
      </c>
      <c r="E102" s="57"/>
      <c r="F102" s="57"/>
      <c r="G102" s="57"/>
      <c r="H102" s="57"/>
      <c r="I102" s="56">
        <f t="shared" si="3"/>
        <v>4.2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C21" sqref="C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Douglas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Mélèze hybride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Châtaignier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419.0448820879102</v>
      </c>
      <c r="T3" s="62">
        <f>IF('Données projet'!E9&gt;30,$R$33-$H$33,LOOKUP('Données projet'!$E$9,$A$3:$A$203,R3:R203)-LOOKUP('Données projet'!$E$9,$A$3:$A$203,$H$3:$H$203))</f>
        <v>553.33038335026379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221.57008282490327</v>
      </c>
      <c r="AO3" s="62">
        <f>IF('Données projet'!E10&gt;30,$AM$33-$H$33,LOOKUP('Données projet'!$E$10,$A$3:$A$203,AM3:AM203)-LOOKUP('Données projet'!$E$10,$A$3:$A$203,$H$3:$H$203))</f>
        <v>320.19912501885199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400.4480038202409</v>
      </c>
      <c r="BJ3" s="62">
        <f>IF('Données projet'!E11&gt;30,$BH$33-$H$33,LOOKUP('Données projet'!$E$11,$A$3:$A$203,BH3:BH203)-LOOKUP('Données projet'!$E$11,$A$3:$A$203,$H$3:$H$203))</f>
        <v>384.86917865380076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10.163529411764706</v>
      </c>
      <c r="N4" s="14">
        <f>IF('Données projet'!$A$36&gt;35,N3+M4-V3,IF(A4&lt;'Données projet'!$A$36,$K$205^A4,IF(A4='Données projet'!$A$36,'Données projet'!$B$36,N3+M4-V3)))</f>
        <v>1.3539956307764309</v>
      </c>
      <c r="O4" s="14">
        <f>N4*VLOOKUP('Données projet'!$B$9,Paramètres!$A$1:$I$89,3,0)*VLOOKUP('Données projet'!$B$9,Paramètres!$A$1:$I$89,5,0)</f>
        <v>0.75688355760402493</v>
      </c>
      <c r="P4" s="14">
        <f>EXP(-1.0587+0.8836*LN(O4)+0.284)</f>
        <v>0.36029824926500498</v>
      </c>
      <c r="Q4" s="22">
        <f t="shared" ref="Q4:Q34" si="2">(O4+P4)*0.475*44/12</f>
        <v>1.945758313630227</v>
      </c>
      <c r="R4" s="62">
        <f t="shared" si="0"/>
        <v>169.75819226655406</v>
      </c>
      <c r="S4" s="62">
        <f ca="1">AVERAGE(OFFSET($R$3,0,0,'Données projet'!$E$9+1,1))-AVERAGE(OFFSET($H$3,0,0,'Données projet'!$E$9+1,1))</f>
        <v>419.0448820879102</v>
      </c>
      <c r="T4" s="62">
        <f>$T$3</f>
        <v>553.33038335026379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4.8</v>
      </c>
      <c r="AI4" s="14">
        <f>IF('Données projet'!$A$62&gt;35,AI3+AH4-AQ3,IF(A4&lt;'Données projet'!$A$62,$AF$205^A4,IF(A4='Données projet'!$A$62,'Données projet'!$B$62,AI3+AH4-AQ3)))</f>
        <v>1.4727333575346888</v>
      </c>
      <c r="AJ4" s="14">
        <f>AI4*VLOOKUP('Données projet'!$B$10,Paramètres!$A$1:$I$89,3,0)*VLOOKUP('Données projet'!$B$10,Paramètres!$A$1:$I$89,5,0)</f>
        <v>0.80411241321394011</v>
      </c>
      <c r="AK4" s="14">
        <f>EXP(-1.0587+0.8836*LN(AJ4)+0.284)</f>
        <v>0.38009307721444852</v>
      </c>
      <c r="AL4" s="22">
        <f t="shared" ref="AL4:AL67" si="4">(AJ4+AK4)*0.475*44/12</f>
        <v>2.0624912291627764</v>
      </c>
      <c r="AM4" s="62">
        <f t="shared" ref="AM4:AM67" si="5">AL4+(AD4+AE4)*44/12</f>
        <v>169.87492518208663</v>
      </c>
      <c r="AN4" s="62">
        <f ca="1">AVERAGE(OFFSET($AM$3,0,0,'Données projet'!$E$10+1,1))-AVERAGE(OFFSET($H$3,0,0,'Données projet'!$E$10+1,1))</f>
        <v>221.57008282490327</v>
      </c>
      <c r="AO4" s="62">
        <f>$AO$3</f>
        <v>320.19912501885199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1.9</v>
      </c>
      <c r="BD4" s="13">
        <f>IF('Données projet'!$A$88&gt;35,BD3+BC4-BL3,IF(A4&lt;'Données projet'!$A$88,$BA$205^A4,IF(A4='Données projet'!$A$88,'Données projet'!$B$88,BD3+BC4-BL3)))</f>
        <v>1.3423796509621049</v>
      </c>
      <c r="BE4" s="14">
        <f>BD4*VLOOKUP('Données projet'!$B$11,Paramètres!$A$1:$I$89,3,0)*VLOOKUP('Données projet'!$B$11,Paramètres!$A$1:$I$89,5,0)</f>
        <v>0.98423276008541516</v>
      </c>
      <c r="BF4" s="14">
        <f>EXP(-1.0587+0.8836*LN(BE4)+0.284)</f>
        <v>0.45441566615213064</v>
      </c>
      <c r="BG4" s="22">
        <f t="shared" ref="BG4:BG67" si="7">(BE4+BF4)*0.475*44/12</f>
        <v>2.5056460090303925</v>
      </c>
      <c r="BH4" s="62">
        <f t="shared" ref="BH4:BH67" si="8">BG4+(AY4+AZ4)*44/12</f>
        <v>170.31807996195423</v>
      </c>
      <c r="BI4" s="62">
        <f ca="1">AVERAGE(OFFSET($BH$3,0,0,'Données projet'!$E$11+1,1))-AVERAGE(OFFSET($H$3,0,0,'Données projet'!$E$11+1,1))</f>
        <v>400.4480038202409</v>
      </c>
      <c r="BJ4" s="62">
        <f>$BJ$3</f>
        <v>384.86917865380076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10.163529411764706</v>
      </c>
      <c r="N5" s="14">
        <f>IF('Données projet'!$A$36&gt;35,N4+M5-V4,IF(A5&lt;'Données projet'!$A$36,$K$205^A5,IF(A5='Données projet'!$A$36,'Données projet'!$B$36,N4+M5-V4)))</f>
        <v>1.8333041681616651</v>
      </c>
      <c r="O5" s="14">
        <f>N5*VLOOKUP('Données projet'!$B$9,Paramètres!$A$1:$I$89,3,0)*VLOOKUP('Données projet'!$B$9,Paramètres!$A$1:$I$89,5,0)</f>
        <v>1.0248170300023709</v>
      </c>
      <c r="P5" s="14">
        <f t="shared" ref="P5:P68" si="33">EXP(-1.0587+0.8836*LN(O5)+0.284)</f>
        <v>0.47093304471840119</v>
      </c>
      <c r="Q5" s="22">
        <f t="shared" si="2"/>
        <v>2.6050980468053448</v>
      </c>
      <c r="R5" s="62">
        <f t="shared" si="0"/>
        <v>173.20237933430619</v>
      </c>
      <c r="S5" s="62">
        <f ca="1">AVERAGE(OFFSET($R$3,0,0,'Données projet'!$E$9+1,1))-AVERAGE(OFFSET($H$3,0,0,'Données projet'!$E$9+1,1))</f>
        <v>419.0448820879102</v>
      </c>
      <c r="T5" s="62">
        <f t="shared" ref="T5:T68" si="34">$T$3</f>
        <v>553.33038335026379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4.8</v>
      </c>
      <c r="AI5" s="14">
        <f>IF('Données projet'!$A$62&gt;35,AI4+AH5-AQ4,IF(A5&lt;'Données projet'!$A$62,$AF$205^A5,IF(A5='Données projet'!$A$62,'Données projet'!$B$62,AI4+AH5-AQ4)))</f>
        <v>2.1689435423953976</v>
      </c>
      <c r="AJ5" s="14">
        <f>AI5*VLOOKUP('Données projet'!$B$10,Paramètres!$A$1:$I$89,3,0)*VLOOKUP('Données projet'!$B$10,Paramètres!$A$1:$I$89,5,0)</f>
        <v>1.1842431741478872</v>
      </c>
      <c r="AK5" s="14">
        <f t="shared" ref="AK5:AK68" si="35">EXP(-1.0587+0.8836*LN(AJ5)+0.284)</f>
        <v>0.53511168605455617</v>
      </c>
      <c r="AL5" s="22">
        <f t="shared" si="4"/>
        <v>2.9945430481859217</v>
      </c>
      <c r="AM5" s="62">
        <f t="shared" si="5"/>
        <v>173.59182433568677</v>
      </c>
      <c r="AN5" s="62">
        <f ca="1">AVERAGE(OFFSET($AM$3,0,0,'Données projet'!$E$10+1,1))-AVERAGE(OFFSET($H$3,0,0,'Données projet'!$E$10+1,1))</f>
        <v>221.57008282490327</v>
      </c>
      <c r="AO5" s="62">
        <f t="shared" ref="AO5:AO68" si="36">$AO$3</f>
        <v>320.19912501885199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1.9</v>
      </c>
      <c r="BD5" s="13">
        <f>IF('Données projet'!$A$88&gt;35,BD4+BC5-BL4,IF(A5&lt;'Données projet'!$A$88,$BA$205^A5,IF(A5='Données projet'!$A$88,'Données projet'!$B$88,BD4+BC5-BL4)))</f>
        <v>1.8019831273171425</v>
      </c>
      <c r="BE5" s="14">
        <f>BD5*VLOOKUP('Données projet'!$B$11,Paramètres!$A$1:$I$89,3,0)*VLOOKUP('Données projet'!$B$11,Paramètres!$A$1:$I$89,5,0)</f>
        <v>1.3212140289489287</v>
      </c>
      <c r="BF5" s="14">
        <f t="shared" ref="BF5:BF68" si="37">EXP(-1.0587+0.8836*LN(BE5)+0.284)</f>
        <v>0.58944591680017422</v>
      </c>
      <c r="BG5" s="22">
        <f t="shared" si="7"/>
        <v>3.327732738846354</v>
      </c>
      <c r="BH5" s="62">
        <f t="shared" si="8"/>
        <v>173.92501402634718</v>
      </c>
      <c r="BI5" s="62">
        <f ca="1">AVERAGE(OFFSET($BH$3,0,0,'Données projet'!$E$11+1,1))-AVERAGE(OFFSET($H$3,0,0,'Données projet'!$E$11+1,1))</f>
        <v>400.4480038202409</v>
      </c>
      <c r="BJ5" s="62">
        <f t="shared" ref="BJ5:BJ68" si="38">$BJ$3</f>
        <v>384.86917865380076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10.163529411764706</v>
      </c>
      <c r="N6" s="14">
        <f>IF('Données projet'!$A$36&gt;35,N5+M6-V5,IF(A6&lt;'Données projet'!$A$36,$K$205^A6,IF(A6='Données projet'!$A$36,'Données projet'!$B$36,N5+M6-V5)))</f>
        <v>2.4822858335751139</v>
      </c>
      <c r="O6" s="14">
        <f>N6*VLOOKUP('Données projet'!$B$9,Paramètres!$A$1:$I$89,3,0)*VLOOKUP('Données projet'!$B$9,Paramètres!$A$1:$I$89,5,0)</f>
        <v>1.3875977809684887</v>
      </c>
      <c r="P6" s="14">
        <f t="shared" si="33"/>
        <v>0.61553985638332231</v>
      </c>
      <c r="Q6" s="22">
        <f t="shared" si="2"/>
        <v>3.4887980517210706</v>
      </c>
      <c r="R6" s="62">
        <f t="shared" si="0"/>
        <v>176.84381862160595</v>
      </c>
      <c r="S6" s="62">
        <f ca="1">AVERAGE(OFFSET($R$3,0,0,'Données projet'!$E$9+1,1))-AVERAGE(OFFSET($H$3,0,0,'Données projet'!$E$9+1,1))</f>
        <v>419.0448820879102</v>
      </c>
      <c r="T6" s="62">
        <f t="shared" si="34"/>
        <v>553.33038335026379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4.8</v>
      </c>
      <c r="AI6" s="14">
        <f>IF('Données projet'!$A$62&gt;35,AI5+AH6-AQ5,IF(A6&lt;'Données projet'!$A$62,$AF$205^A6,IF(A6='Données projet'!$A$62,'Données projet'!$B$62,AI5+AH6-AQ5)))</f>
        <v>3.1942755054951557</v>
      </c>
      <c r="AJ6" s="14">
        <f>AI6*VLOOKUP('Données projet'!$B$10,Paramètres!$A$1:$I$89,3,0)*VLOOKUP('Données projet'!$B$10,Paramètres!$A$1:$I$89,5,0)</f>
        <v>1.7440744260003551</v>
      </c>
      <c r="AK6" s="14">
        <f t="shared" si="35"/>
        <v>0.75335367497523342</v>
      </c>
      <c r="AL6" s="22">
        <f t="shared" si="4"/>
        <v>4.3496872758658158</v>
      </c>
      <c r="AM6" s="62">
        <f t="shared" si="5"/>
        <v>177.7047078457507</v>
      </c>
      <c r="AN6" s="62">
        <f ca="1">AVERAGE(OFFSET($AM$3,0,0,'Données projet'!$E$10+1,1))-AVERAGE(OFFSET($H$3,0,0,'Données projet'!$E$10+1,1))</f>
        <v>221.57008282490327</v>
      </c>
      <c r="AO6" s="62">
        <f t="shared" si="36"/>
        <v>320.19912501885199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1.9</v>
      </c>
      <c r="BD6" s="13">
        <f>IF('Données projet'!$A$88&gt;35,BD5+BC6-BL5,IF(A6&lt;'Données projet'!$A$88,$BA$205^A6,IF(A6='Données projet'!$A$88,'Données projet'!$B$88,BD5+BC6-BL5)))</f>
        <v>2.4189454814875879</v>
      </c>
      <c r="BE6" s="14">
        <f>BD6*VLOOKUP('Données projet'!$B$11,Paramètres!$A$1:$I$89,3,0)*VLOOKUP('Données projet'!$B$11,Paramètres!$A$1:$I$89,5,0)</f>
        <v>1.7735708270266992</v>
      </c>
      <c r="BF6" s="14">
        <f t="shared" si="37"/>
        <v>0.76460059525341872</v>
      </c>
      <c r="BG6" s="22">
        <f t="shared" si="7"/>
        <v>4.4206485604712045</v>
      </c>
      <c r="BH6" s="62">
        <f t="shared" si="8"/>
        <v>177.77566913035608</v>
      </c>
      <c r="BI6" s="62">
        <f ca="1">AVERAGE(OFFSET($BH$3,0,0,'Données projet'!$E$11+1,1))-AVERAGE(OFFSET($H$3,0,0,'Données projet'!$E$11+1,1))</f>
        <v>400.4480038202409</v>
      </c>
      <c r="BJ6" s="62">
        <f t="shared" si="38"/>
        <v>384.86917865380076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10.163529411764706</v>
      </c>
      <c r="N7" s="14">
        <f>IF('Données projet'!$A$36&gt;35,N6+M7-V6,IF(A7&lt;'Données projet'!$A$36,$K$205^A7,IF(A7='Données projet'!$A$36,'Données projet'!$B$36,N6+M7-V6)))</f>
        <v>3.3610041729989346</v>
      </c>
      <c r="O7" s="14">
        <f>N7*VLOOKUP('Données projet'!$B$9,Paramètres!$A$1:$I$89,3,0)*VLOOKUP('Données projet'!$B$9,Paramètres!$A$1:$I$89,5,0)</f>
        <v>1.8788013327064044</v>
      </c>
      <c r="P7" s="14">
        <f t="shared" si="33"/>
        <v>0.80455028383697591</v>
      </c>
      <c r="Q7" s="22">
        <f t="shared" si="2"/>
        <v>4.6735040654797206</v>
      </c>
      <c r="R7" s="62">
        <f t="shared" si="0"/>
        <v>180.75962612965668</v>
      </c>
      <c r="S7" s="62">
        <f ca="1">AVERAGE(OFFSET($R$3,0,0,'Données projet'!$E$9+1,1))-AVERAGE(OFFSET($H$3,0,0,'Données projet'!$E$9+1,1))</f>
        <v>419.0448820879102</v>
      </c>
      <c r="T7" s="62">
        <f t="shared" si="34"/>
        <v>553.33038335026379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4.8</v>
      </c>
      <c r="AI7" s="14">
        <f>IF('Données projet'!$A$62&gt;35,AI6+AH7-AQ6,IF(A7&lt;'Données projet'!$A$62,$AF$205^A7,IF(A7='Données projet'!$A$62,'Données projet'!$B$62,AI6+AH7-AQ6)))</f>
        <v>4.704316090098696</v>
      </c>
      <c r="AJ7" s="14">
        <f>AI7*VLOOKUP('Données projet'!$B$10,Paramètres!$A$1:$I$89,3,0)*VLOOKUP('Données projet'!$B$10,Paramètres!$A$1:$I$89,5,0)</f>
        <v>2.5685565851938881</v>
      </c>
      <c r="AK7" s="14">
        <f t="shared" si="35"/>
        <v>1.0606043082019834</v>
      </c>
      <c r="AL7" s="22">
        <f t="shared" si="4"/>
        <v>6.320788555997809</v>
      </c>
      <c r="AM7" s="62">
        <f t="shared" si="5"/>
        <v>182.40691062017476</v>
      </c>
      <c r="AN7" s="62">
        <f ca="1">AVERAGE(OFFSET($AM$3,0,0,'Données projet'!$E$10+1,1))-AVERAGE(OFFSET($H$3,0,0,'Données projet'!$E$10+1,1))</f>
        <v>221.57008282490327</v>
      </c>
      <c r="AO7" s="62">
        <f t="shared" si="36"/>
        <v>320.19912501885199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1.9</v>
      </c>
      <c r="BD7" s="13">
        <f>IF('Données projet'!$A$88&gt;35,BD6+BC7-BL6,IF(A7&lt;'Données projet'!$A$88,$BA$205^A7,IF(A7='Données projet'!$A$88,'Données projet'!$B$88,BD6+BC7-BL6)))</f>
        <v>3.247143191135669</v>
      </c>
      <c r="BE7" s="14">
        <f>BD7*VLOOKUP('Données projet'!$B$11,Paramètres!$A$1:$I$89,3,0)*VLOOKUP('Données projet'!$B$11,Paramètres!$A$1:$I$89,5,0)</f>
        <v>2.3808053877406725</v>
      </c>
      <c r="BF7" s="14">
        <f t="shared" si="37"/>
        <v>0.99180273134383279</v>
      </c>
      <c r="BG7" s="22">
        <f t="shared" si="7"/>
        <v>5.8739591407388465</v>
      </c>
      <c r="BH7" s="62">
        <f t="shared" si="8"/>
        <v>181.96008120491578</v>
      </c>
      <c r="BI7" s="62">
        <f ca="1">AVERAGE(OFFSET($BH$3,0,0,'Données projet'!$E$11+1,1))-AVERAGE(OFFSET($H$3,0,0,'Données projet'!$E$11+1,1))</f>
        <v>400.4480038202409</v>
      </c>
      <c r="BJ7" s="62">
        <f t="shared" si="38"/>
        <v>384.86917865380076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10.163529411764706</v>
      </c>
      <c r="N8" s="14">
        <f>IF('Données projet'!$A$36&gt;35,N7+M8-V7,IF(A8&lt;'Données projet'!$A$36,$K$205^A8,IF(A8='Données projet'!$A$36,'Données projet'!$B$36,N7+M8-V7)))</f>
        <v>4.5507849652619088</v>
      </c>
      <c r="O8" s="14">
        <f>N8*VLOOKUP('Données projet'!$B$9,Paramètres!$A$1:$I$89,3,0)*VLOOKUP('Données projet'!$B$9,Paramètres!$A$1:$I$89,5,0)</f>
        <v>2.5438887955814073</v>
      </c>
      <c r="P8" s="14">
        <f t="shared" si="33"/>
        <v>1.0515991003823111</v>
      </c>
      <c r="Q8" s="22">
        <f t="shared" si="2"/>
        <v>6.2621414188034761</v>
      </c>
      <c r="R8" s="62">
        <f t="shared" si="0"/>
        <v>185.05318929525083</v>
      </c>
      <c r="S8" s="62">
        <f ca="1">AVERAGE(OFFSET($R$3,0,0,'Données projet'!$E$9+1,1))-AVERAGE(OFFSET($H$3,0,0,'Données projet'!$E$9+1,1))</f>
        <v>419.0448820879102</v>
      </c>
      <c r="T8" s="62">
        <f t="shared" si="34"/>
        <v>553.33038335026379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4.8</v>
      </c>
      <c r="AI8" s="14">
        <f>IF('Données projet'!$A$62&gt;35,AI7+AH8-AQ7,IF(A8&lt;'Données projet'!$A$62,$AF$205^A8,IF(A8='Données projet'!$A$62,'Données projet'!$B$62,AI7+AH8-AQ7)))</f>
        <v>6.9282032302755123</v>
      </c>
      <c r="AJ8" s="14">
        <f>AI8*VLOOKUP('Données projet'!$B$10,Paramètres!$A$1:$I$89,3,0)*VLOOKUP('Données projet'!$B$10,Paramètres!$A$1:$I$89,5,0)</f>
        <v>3.7827989637304298</v>
      </c>
      <c r="AK8" s="14">
        <f t="shared" si="35"/>
        <v>1.4931652103689395</v>
      </c>
      <c r="AL8" s="22">
        <f t="shared" si="4"/>
        <v>9.1889709365564034</v>
      </c>
      <c r="AM8" s="62">
        <f t="shared" si="5"/>
        <v>187.98001881300377</v>
      </c>
      <c r="AN8" s="62">
        <f ca="1">AVERAGE(OFFSET($AM$3,0,0,'Données projet'!$E$10+1,1))-AVERAGE(OFFSET($H$3,0,0,'Données projet'!$E$10+1,1))</f>
        <v>221.57008282490327</v>
      </c>
      <c r="AO8" s="62">
        <f t="shared" si="36"/>
        <v>320.19912501885199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1.9</v>
      </c>
      <c r="BD8" s="13">
        <f>IF('Données projet'!$A$88&gt;35,BD7+BC8-BL7,IF(A8&lt;'Données projet'!$A$88,$BA$205^A8,IF(A8='Données projet'!$A$88,'Données projet'!$B$88,BD7+BC8-BL7)))</f>
        <v>4.3588989435406749</v>
      </c>
      <c r="BE8" s="14">
        <f>BD8*VLOOKUP('Données projet'!$B$11,Paramètres!$A$1:$I$89,3,0)*VLOOKUP('Données projet'!$B$11,Paramètres!$A$1:$I$89,5,0)</f>
        <v>3.1959447054040226</v>
      </c>
      <c r="BF8" s="14">
        <f t="shared" si="37"/>
        <v>1.2865182998910156</v>
      </c>
      <c r="BG8" s="22">
        <f t="shared" si="7"/>
        <v>7.8069564008888577</v>
      </c>
      <c r="BH8" s="62">
        <f t="shared" si="8"/>
        <v>186.5980042773362</v>
      </c>
      <c r="BI8" s="62">
        <f ca="1">AVERAGE(OFFSET($BH$3,0,0,'Données projet'!$E$11+1,1))-AVERAGE(OFFSET($H$3,0,0,'Données projet'!$E$11+1,1))</f>
        <v>400.4480038202409</v>
      </c>
      <c r="BJ8" s="62">
        <f t="shared" si="38"/>
        <v>384.86917865380076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10.163529411764706</v>
      </c>
      <c r="N9" s="14">
        <f>IF('Données projet'!$A$36&gt;35,N8+M9-V8,IF(A9&lt;'Données projet'!$A$36,$K$205^A9,IF(A9='Données projet'!$A$36,'Données projet'!$B$36,N8+M9-V8)))</f>
        <v>6.1617429595676967</v>
      </c>
      <c r="O9" s="14">
        <f>N9*VLOOKUP('Données projet'!$B$9,Paramètres!$A$1:$I$89,3,0)*VLOOKUP('Données projet'!$B$9,Paramètres!$A$1:$I$89,5,0)</f>
        <v>3.4444143143983426</v>
      </c>
      <c r="P9" s="14">
        <f t="shared" si="33"/>
        <v>1.3745078339304442</v>
      </c>
      <c r="Q9" s="22">
        <f t="shared" si="2"/>
        <v>8.3929560750059693</v>
      </c>
      <c r="R9" s="62">
        <f t="shared" si="0"/>
        <v>189.86320817126494</v>
      </c>
      <c r="S9" s="62">
        <f ca="1">AVERAGE(OFFSET($R$3,0,0,'Données projet'!$E$9+1,1))-AVERAGE(OFFSET($H$3,0,0,'Données projet'!$E$9+1,1))</f>
        <v>419.0448820879102</v>
      </c>
      <c r="T9" s="62">
        <f t="shared" si="34"/>
        <v>553.33038335026379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4.8</v>
      </c>
      <c r="AI9" s="14">
        <f>IF('Données projet'!$A$62&gt;35,AI8+AH9-AQ8,IF(A9&lt;'Données projet'!$A$62,$AF$205^A9,IF(A9='Données projet'!$A$62,'Données projet'!$B$62,AI8+AH9-AQ8)))</f>
        <v>10.203396005006331</v>
      </c>
      <c r="AJ9" s="14">
        <f>AI9*VLOOKUP('Données projet'!$B$10,Paramètres!$A$1:$I$89,3,0)*VLOOKUP('Données projet'!$B$10,Paramètres!$A$1:$I$89,5,0)</f>
        <v>5.5710542187334564</v>
      </c>
      <c r="AK9" s="14">
        <f t="shared" si="35"/>
        <v>2.1021433990173093</v>
      </c>
      <c r="AL9" s="22">
        <f t="shared" si="4"/>
        <v>13.364152517582584</v>
      </c>
      <c r="AM9" s="62">
        <f t="shared" si="5"/>
        <v>194.83440461384157</v>
      </c>
      <c r="AN9" s="62">
        <f ca="1">AVERAGE(OFFSET($AM$3,0,0,'Données projet'!$E$10+1,1))-AVERAGE(OFFSET($H$3,0,0,'Données projet'!$E$10+1,1))</f>
        <v>221.57008282490327</v>
      </c>
      <c r="AO9" s="62">
        <f t="shared" si="36"/>
        <v>320.19912501885199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1.9</v>
      </c>
      <c r="BD9" s="13">
        <f>IF('Données projet'!$A$88&gt;35,BD8+BC9-BL8,IF(A9&lt;'Données projet'!$A$88,$BA$205^A9,IF(A9='Données projet'!$A$88,'Données projet'!$B$88,BD8+BC9-BL8)))</f>
        <v>5.8512972424092187</v>
      </c>
      <c r="BE9" s="14">
        <f>BD9*VLOOKUP('Données projet'!$B$11,Paramètres!$A$1:$I$89,3,0)*VLOOKUP('Données projet'!$B$11,Paramètres!$A$1:$I$89,5,0)</f>
        <v>4.290171138134439</v>
      </c>
      <c r="BF9" s="14">
        <f t="shared" si="37"/>
        <v>1.6688090117596963</v>
      </c>
      <c r="BG9" s="22">
        <f t="shared" si="7"/>
        <v>10.378557094398952</v>
      </c>
      <c r="BH9" s="62">
        <f t="shared" si="8"/>
        <v>191.84880919065793</v>
      </c>
      <c r="BI9" s="62">
        <f ca="1">AVERAGE(OFFSET($BH$3,0,0,'Données projet'!$E$11+1,1))-AVERAGE(OFFSET($H$3,0,0,'Données projet'!$E$11+1,1))</f>
        <v>400.4480038202409</v>
      </c>
      <c r="BJ9" s="62">
        <f t="shared" si="38"/>
        <v>384.86917865380076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10.163529411764706</v>
      </c>
      <c r="N10" s="14">
        <f>IF('Données projet'!$A$36&gt;35,N9+M10-V9,IF(A10&lt;'Données projet'!$A$36,$K$205^A10,IF(A10='Données projet'!$A$36,'Données projet'!$B$36,N9+M10-V9)))</f>
        <v>8.3429730452220969</v>
      </c>
      <c r="O10" s="14">
        <f>N10*VLOOKUP('Données projet'!$B$9,Paramètres!$A$1:$I$89,3,0)*VLOOKUP('Données projet'!$B$9,Paramètres!$A$1:$I$89,5,0)</f>
        <v>4.6637219322791523</v>
      </c>
      <c r="P10" s="14">
        <f t="shared" si="33"/>
        <v>1.7965703706377396</v>
      </c>
      <c r="Q10" s="22">
        <f t="shared" si="2"/>
        <v>11.251675760913587</v>
      </c>
      <c r="R10" s="62">
        <f t="shared" si="0"/>
        <v>195.37585669664983</v>
      </c>
      <c r="S10" s="62">
        <f ca="1">AVERAGE(OFFSET($R$3,0,0,'Données projet'!$E$9+1,1))-AVERAGE(OFFSET($H$3,0,0,'Données projet'!$E$9+1,1))</f>
        <v>419.0448820879102</v>
      </c>
      <c r="T10" s="62">
        <f t="shared" si="34"/>
        <v>553.33038335026379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4.8</v>
      </c>
      <c r="AI10" s="14">
        <f>IF('Données projet'!$A$62&gt;35,AI9+AH10-AQ9,IF(A10&lt;'Données projet'!$A$62,$AF$205^A10,IF(A10='Données projet'!$A$62,'Données projet'!$B$62,AI9+AH10-AQ9)))</f>
        <v>15.026881656709007</v>
      </c>
      <c r="AJ10" s="14">
        <f>AI10*VLOOKUP('Données projet'!$B$10,Paramètres!$A$1:$I$89,3,0)*VLOOKUP('Données projet'!$B$10,Paramètres!$A$1:$I$89,5,0)</f>
        <v>8.2046773845631176</v>
      </c>
      <c r="AK10" s="14">
        <f t="shared" si="35"/>
        <v>2.959489572450039</v>
      </c>
      <c r="AL10" s="22">
        <f t="shared" si="4"/>
        <v>19.444257450131246</v>
      </c>
      <c r="AM10" s="62">
        <f t="shared" si="5"/>
        <v>203.56843838586747</v>
      </c>
      <c r="AN10" s="62">
        <f ca="1">AVERAGE(OFFSET($AM$3,0,0,'Données projet'!$E$10+1,1))-AVERAGE(OFFSET($H$3,0,0,'Données projet'!$E$10+1,1))</f>
        <v>221.57008282490327</v>
      </c>
      <c r="AO10" s="62">
        <f t="shared" si="36"/>
        <v>320.19912501885199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1.9</v>
      </c>
      <c r="BD10" s="13">
        <f>IF('Données projet'!$A$88&gt;35,BD9+BC10-BL9,IF(A10&lt;'Données projet'!$A$88,$BA$205^A10,IF(A10='Données projet'!$A$88,'Données projet'!$B$88,BD9+BC10-BL9)))</f>
        <v>7.8546623499408135</v>
      </c>
      <c r="BE10" s="14">
        <f>BD10*VLOOKUP('Données projet'!$B$11,Paramètres!$A$1:$I$89,3,0)*VLOOKUP('Données projet'!$B$11,Paramètres!$A$1:$I$89,5,0)</f>
        <v>5.7590384349766044</v>
      </c>
      <c r="BF10" s="14">
        <f t="shared" si="37"/>
        <v>2.1646979432521807</v>
      </c>
      <c r="BG10" s="22">
        <f t="shared" si="7"/>
        <v>13.800507525415135</v>
      </c>
      <c r="BH10" s="62">
        <f t="shared" si="8"/>
        <v>197.92468846115136</v>
      </c>
      <c r="BI10" s="62">
        <f ca="1">AVERAGE(OFFSET($BH$3,0,0,'Données projet'!$E$11+1,1))-AVERAGE(OFFSET($H$3,0,0,'Données projet'!$E$11+1,1))</f>
        <v>400.4480038202409</v>
      </c>
      <c r="BJ10" s="62">
        <f t="shared" si="38"/>
        <v>384.86917865380076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10.163529411764706</v>
      </c>
      <c r="N11" s="14">
        <f>IF('Données projet'!$A$36&gt;35,N10+M11-V10,IF(A11&lt;'Données projet'!$A$36,$K$205^A11,IF(A11='Données projet'!$A$36,'Données projet'!$B$36,N10+M11-V10)))</f>
        <v>11.296349050916252</v>
      </c>
      <c r="O11" s="14">
        <f>N11*VLOOKUP('Données projet'!$B$9,Paramètres!$A$1:$I$89,3,0)*VLOOKUP('Données projet'!$B$9,Paramètres!$A$1:$I$89,5,0)</f>
        <v>6.3146591194621848</v>
      </c>
      <c r="P11" s="14">
        <f t="shared" si="33"/>
        <v>2.3482333217583955</v>
      </c>
      <c r="Q11" s="22">
        <f t="shared" si="2"/>
        <v>15.087871001792513</v>
      </c>
      <c r="R11" s="62">
        <f t="shared" si="0"/>
        <v>201.84114386801306</v>
      </c>
      <c r="S11" s="62">
        <f ca="1">AVERAGE(OFFSET($R$3,0,0,'Données projet'!$E$9+1,1))-AVERAGE(OFFSET($H$3,0,0,'Données projet'!$E$9+1,1))</f>
        <v>419.0448820879102</v>
      </c>
      <c r="T11" s="62">
        <f t="shared" si="34"/>
        <v>553.33038335026379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4.8</v>
      </c>
      <c r="AI11" s="14">
        <f>IF('Données projet'!$A$62&gt;35,AI10+AH11-AQ10,IF(A11&lt;'Données projet'!$A$62,$AF$205^A11,IF(A11='Données projet'!$A$62,'Données projet'!$B$62,AI10+AH11-AQ10)))</f>
        <v>22.130589875561483</v>
      </c>
      <c r="AJ11" s="14">
        <f>AI11*VLOOKUP('Données projet'!$B$10,Paramètres!$A$1:$I$89,3,0)*VLOOKUP('Données projet'!$B$10,Paramètres!$A$1:$I$89,5,0)</f>
        <v>12.08330207205657</v>
      </c>
      <c r="AK11" s="14">
        <f t="shared" si="35"/>
        <v>4.166499075912184</v>
      </c>
      <c r="AL11" s="22">
        <f t="shared" si="4"/>
        <v>28.301736999378914</v>
      </c>
      <c r="AM11" s="62">
        <f t="shared" si="5"/>
        <v>215.05500986559946</v>
      </c>
      <c r="AN11" s="62">
        <f ca="1">AVERAGE(OFFSET($AM$3,0,0,'Données projet'!$E$10+1,1))-AVERAGE(OFFSET($H$3,0,0,'Données projet'!$E$10+1,1))</f>
        <v>221.57008282490327</v>
      </c>
      <c r="AO11" s="62">
        <f t="shared" si="36"/>
        <v>320.19912501885199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1.9</v>
      </c>
      <c r="BD11" s="13">
        <f>IF('Données projet'!$A$88&gt;35,BD10+BC11-BL10,IF(A11&lt;'Données projet'!$A$88,$BA$205^A11,IF(A11='Données projet'!$A$88,'Données projet'!$B$88,BD10+BC11-BL10)))</f>
        <v>10.543938903738736</v>
      </c>
      <c r="BE11" s="14">
        <f>BD11*VLOOKUP('Données projet'!$B$11,Paramètres!$A$1:$I$89,3,0)*VLOOKUP('Données projet'!$B$11,Paramètres!$A$1:$I$89,5,0)</f>
        <v>7.730816004221241</v>
      </c>
      <c r="BF11" s="14">
        <f t="shared" si="37"/>
        <v>2.8079409641844508</v>
      </c>
      <c r="BG11" s="22">
        <f t="shared" si="7"/>
        <v>18.355001719973249</v>
      </c>
      <c r="BH11" s="62">
        <f t="shared" si="8"/>
        <v>205.1082745861938</v>
      </c>
      <c r="BI11" s="62">
        <f ca="1">AVERAGE(OFFSET($BH$3,0,0,'Données projet'!$E$11+1,1))-AVERAGE(OFFSET($H$3,0,0,'Données projet'!$E$11+1,1))</f>
        <v>400.4480038202409</v>
      </c>
      <c r="BJ11" s="62">
        <f t="shared" si="38"/>
        <v>384.86917865380076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10.163529411764706</v>
      </c>
      <c r="N12" s="14">
        <f>IF('Données projet'!$A$36&gt;35,N11+M12-V11,IF(A12&lt;'Données projet'!$A$36,$K$205^A12,IF(A12='Données projet'!$A$36,'Données projet'!$B$36,N11+M12-V11)))</f>
        <v>15.295207258666087</v>
      </c>
      <c r="O12" s="14">
        <f>N12*VLOOKUP('Données projet'!$B$9,Paramètres!$A$1:$I$89,3,0)*VLOOKUP('Données projet'!$B$9,Paramètres!$A$1:$I$89,5,0)</f>
        <v>8.5500208575943439</v>
      </c>
      <c r="P12" s="14">
        <f t="shared" si="33"/>
        <v>3.0692923714750222</v>
      </c>
      <c r="Q12" s="22">
        <f t="shared" si="2"/>
        <v>20.236970540629144</v>
      </c>
      <c r="R12" s="62">
        <f t="shared" si="0"/>
        <v>209.5949292931852</v>
      </c>
      <c r="S12" s="62">
        <f ca="1">AVERAGE(OFFSET($R$3,0,0,'Données projet'!$E$9+1,1))-AVERAGE(OFFSET($H$3,0,0,'Données projet'!$E$9+1,1))</f>
        <v>419.0448820879102</v>
      </c>
      <c r="T12" s="62">
        <f t="shared" si="34"/>
        <v>553.33038335026379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4.8</v>
      </c>
      <c r="AI12" s="14">
        <f>IF('Données projet'!$A$62&gt;35,AI11+AH12-AQ11,IF(A12&lt;'Données projet'!$A$62,$AF$205^A12,IF(A12='Données projet'!$A$62,'Données projet'!$B$62,AI11+AH12-AQ11)))</f>
        <v>32.592457931658856</v>
      </c>
      <c r="AJ12" s="14">
        <f>AI12*VLOOKUP('Données projet'!$B$10,Paramètres!$A$1:$I$89,3,0)*VLOOKUP('Données projet'!$B$10,Paramètres!$A$1:$I$89,5,0)</f>
        <v>17.795482030685736</v>
      </c>
      <c r="AK12" s="14">
        <f t="shared" si="35"/>
        <v>5.8657799342086214</v>
      </c>
      <c r="AL12" s="22">
        <f t="shared" si="4"/>
        <v>41.210031255524335</v>
      </c>
      <c r="AM12" s="62">
        <f t="shared" si="5"/>
        <v>230.56799000808041</v>
      </c>
      <c r="AN12" s="62">
        <f ca="1">AVERAGE(OFFSET($AM$3,0,0,'Données projet'!$E$10+1,1))-AVERAGE(OFFSET($H$3,0,0,'Données projet'!$E$10+1,1))</f>
        <v>221.57008282490327</v>
      </c>
      <c r="AO12" s="62">
        <f t="shared" si="36"/>
        <v>320.19912501885199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1.9</v>
      </c>
      <c r="BD12" s="13">
        <f>IF('Données projet'!$A$88&gt;35,BD11+BC12-BL11,IF(A12&lt;'Données projet'!$A$88,$BA$205^A12,IF(A12='Données projet'!$A$88,'Données projet'!$B$88,BD11+BC12-BL11)))</f>
        <v>14.153969025366564</v>
      </c>
      <c r="BE12" s="14">
        <f>BD12*VLOOKUP('Données projet'!$B$11,Paramètres!$A$1:$I$89,3,0)*VLOOKUP('Données projet'!$B$11,Paramètres!$A$1:$I$89,5,0)</f>
        <v>10.377690089398765</v>
      </c>
      <c r="BF12" s="14">
        <f t="shared" si="37"/>
        <v>3.6423245482922235</v>
      </c>
      <c r="BG12" s="22">
        <f t="shared" si="7"/>
        <v>24.418192160645134</v>
      </c>
      <c r="BH12" s="62">
        <f t="shared" si="8"/>
        <v>213.77615091320121</v>
      </c>
      <c r="BI12" s="62">
        <f ca="1">AVERAGE(OFFSET($BH$3,0,0,'Données projet'!$E$11+1,1))-AVERAGE(OFFSET($H$3,0,0,'Données projet'!$E$11+1,1))</f>
        <v>400.4480038202409</v>
      </c>
      <c r="BJ12" s="62">
        <f t="shared" si="38"/>
        <v>384.86917865380076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10.163529411764706</v>
      </c>
      <c r="N13" s="14">
        <f>IF('Données projet'!$A$36&gt;35,N12+M13-V12,IF(A13&lt;'Données projet'!$A$36,$K$205^A13,IF(A13='Données projet'!$A$36,'Données projet'!$B$36,N12+M13-V12)))</f>
        <v>20.709643800053833</v>
      </c>
      <c r="O13" s="14">
        <f>N13*VLOOKUP('Données projet'!$B$9,Paramètres!$A$1:$I$89,3,0)*VLOOKUP('Données projet'!$B$9,Paramètres!$A$1:$I$89,5,0)</f>
        <v>11.576690884230093</v>
      </c>
      <c r="P13" s="14">
        <f t="shared" si="33"/>
        <v>4.0117630451391877</v>
      </c>
      <c r="Q13" s="22">
        <f t="shared" si="2"/>
        <v>27.149890593651492</v>
      </c>
      <c r="R13" s="62">
        <f t="shared" si="0"/>
        <v>219.08855257869638</v>
      </c>
      <c r="S13" s="62">
        <f ca="1">AVERAGE(OFFSET($R$3,0,0,'Données projet'!$E$9+1,1))-AVERAGE(OFFSET($H$3,0,0,'Données projet'!$E$9+1,1))</f>
        <v>419.0448820879102</v>
      </c>
      <c r="T13" s="62">
        <f t="shared" si="34"/>
        <v>553.33038335026379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48</v>
      </c>
      <c r="AG13" s="13">
        <f>VLOOKUP(A13,'Données projet'!$A$61:$I$81,9,0)</f>
        <v>4.8</v>
      </c>
      <c r="AH13" s="13">
        <f t="array" ref="AH13">INDEX(AG:AG,MIN(IF(ISNUMBER(AG13:AG209),ROW(AG13:AG209),"")))</f>
        <v>4.8</v>
      </c>
      <c r="AI13" s="14">
        <f>IF('Données projet'!$A$62&gt;35,AI12+AH13-AQ12,IF(A13&lt;'Données projet'!$A$62,$AF$205^A13,IF(A13='Données projet'!$A$62,'Données projet'!$B$62,AI12+AH13-AQ12)))</f>
        <v>48</v>
      </c>
      <c r="AJ13" s="14">
        <f>AI13*VLOOKUP('Données projet'!$B$10,Paramètres!$A$1:$I$89,3,0)*VLOOKUP('Données projet'!$B$10,Paramètres!$A$1:$I$89,5,0)</f>
        <v>26.208000000000002</v>
      </c>
      <c r="AK13" s="14">
        <f t="shared" si="35"/>
        <v>8.2581019723450986</v>
      </c>
      <c r="AL13" s="22">
        <f t="shared" si="4"/>
        <v>60.028460935167708</v>
      </c>
      <c r="AM13" s="62">
        <f t="shared" si="5"/>
        <v>251.9671229202126</v>
      </c>
      <c r="AN13" s="62">
        <f ca="1">AVERAGE(OFFSET($AM$3,0,0,'Données projet'!$E$10+1,1))-AVERAGE(OFFSET($H$3,0,0,'Données projet'!$E$10+1,1))</f>
        <v>221.57008282490327</v>
      </c>
      <c r="AO13" s="62">
        <f t="shared" si="36"/>
        <v>320.19912501885199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10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1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6.1819883444945036</v>
      </c>
      <c r="AX13" s="23">
        <f t="shared" si="6"/>
        <v>6.1819883444945036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19</v>
      </c>
      <c r="BB13" s="13">
        <f>VLOOKUP(A13,'Données projet'!$A$87:$I$107,9,0)</f>
        <v>1.9</v>
      </c>
      <c r="BC13" s="13">
        <f t="array" ref="BC13">INDEX(BB:BB,MIN(IF(ISNUMBER(BB13:BB209),ROW(BB13:BB209),"")))</f>
        <v>1.9</v>
      </c>
      <c r="BD13" s="13">
        <f>IF('Données projet'!$A$88&gt;35,BD12+BC13-BL12,IF(A13&lt;'Données projet'!$A$88,$BA$205^A13,IF(A13='Données projet'!$A$88,'Données projet'!$B$88,BD12+BC13-BL12)))</f>
        <v>19</v>
      </c>
      <c r="BE13" s="14">
        <f>BD13*VLOOKUP('Données projet'!$B$11,Paramètres!$A$1:$I$89,3,0)*VLOOKUP('Données projet'!$B$11,Paramètres!$A$1:$I$89,5,0)</f>
        <v>13.9308</v>
      </c>
      <c r="BF13" s="14">
        <f t="shared" si="37"/>
        <v>4.7246463812124082</v>
      </c>
      <c r="BG13" s="22">
        <f t="shared" si="7"/>
        <v>32.491569113944941</v>
      </c>
      <c r="BH13" s="62">
        <f t="shared" si="8"/>
        <v>224.43023109898982</v>
      </c>
      <c r="BI13" s="62">
        <f ca="1">AVERAGE(OFFSET($BH$3,0,0,'Données projet'!$E$11+1,1))-AVERAGE(OFFSET($H$3,0,0,'Données projet'!$E$11+1,1))</f>
        <v>400.4480038202409</v>
      </c>
      <c r="BJ13" s="62">
        <f t="shared" si="38"/>
        <v>384.86917865380076</v>
      </c>
      <c r="BK13" s="16">
        <f>IF(ISNA(VLOOKUP(A13,'Données projet'!$A$87:$I$107,3,0)),0,VLOOKUP(A13,'Données projet'!$A$87:$I$107,3,0))</f>
        <v>1</v>
      </c>
      <c r="BL13" s="16">
        <f>IF(ISNA(VLOOKUP(A13,'Données projet'!$A$87:$I$107,4,0)),0,VLOOKUP(A13,'Données projet'!$A$87:$I$107,4,0))</f>
        <v>7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10.163529411764706</v>
      </c>
      <c r="N14" s="14">
        <f>IF('Données projet'!$A$36&gt;35,N13+M14-V13,IF(A14&lt;'Données projet'!$A$36,$K$205^A14,IF(A14='Données projet'!$A$36,'Données projet'!$B$36,N13+M14-V13)))</f>
        <v>28.040767220209094</v>
      </c>
      <c r="O14" s="14">
        <f>N14*VLOOKUP('Données projet'!$B$9,Paramètres!$A$1:$I$89,3,0)*VLOOKUP('Données projet'!$B$9,Paramètres!$A$1:$I$89,5,0)</f>
        <v>15.674788876096885</v>
      </c>
      <c r="P14" s="14">
        <f t="shared" si="33"/>
        <v>5.2436329884760928</v>
      </c>
      <c r="Q14" s="22">
        <f t="shared" si="2"/>
        <v>36.432918080797933</v>
      </c>
      <c r="R14" s="62">
        <f t="shared" si="0"/>
        <v>230.92871668991205</v>
      </c>
      <c r="S14" s="62">
        <f ca="1">AVERAGE(OFFSET($R$3,0,0,'Données projet'!$E$9+1,1))-AVERAGE(OFFSET($H$3,0,0,'Données projet'!$E$9+1,1))</f>
        <v>419.0448820879102</v>
      </c>
      <c r="T14" s="62">
        <f t="shared" si="34"/>
        <v>553.33038335026379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14.8</v>
      </c>
      <c r="AI14" s="14">
        <f>IF('Données projet'!$A$62&gt;35,AI13+AH14-AQ13,IF(A14&lt;'Données projet'!$A$62,$AF$205^A14,IF(A14='Données projet'!$A$62,'Données projet'!$B$62,AI13+AH14-AQ13)))</f>
        <v>52.8</v>
      </c>
      <c r="AJ14" s="14">
        <f>AI14*VLOOKUP('Données projet'!$B$10,Paramètres!$A$1:$I$89,3,0)*VLOOKUP('Données projet'!$B$10,Paramètres!$A$1:$I$89,5,0)</f>
        <v>28.828799999999998</v>
      </c>
      <c r="AK14" s="14">
        <f t="shared" si="35"/>
        <v>8.983691253405949</v>
      </c>
      <c r="AL14" s="22">
        <f t="shared" si="4"/>
        <v>65.856755599682018</v>
      </c>
      <c r="AM14" s="62">
        <f t="shared" si="5"/>
        <v>260.35255420879616</v>
      </c>
      <c r="AN14" s="62">
        <f ca="1">AVERAGE(OFFSET($AM$3,0,0,'Données projet'!$E$10+1,1))-AVERAGE(OFFSET($H$3,0,0,'Données projet'!$E$10+1,1))</f>
        <v>221.57008282490327</v>
      </c>
      <c r="AO14" s="62">
        <f t="shared" si="36"/>
        <v>320.19912501885199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4.3713258796082624</v>
      </c>
      <c r="AX14" s="23">
        <f t="shared" si="6"/>
        <v>4.3713258796082624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14.4</v>
      </c>
      <c r="BD14" s="13">
        <f>IF('Données projet'!$A$88&gt;35,BD13+BC14-BL13,IF(A14&lt;'Données projet'!$A$88,$BA$205^A14,IF(A14='Données projet'!$A$88,'Données projet'!$B$88,BD13+BC14-BL13)))</f>
        <v>26.4</v>
      </c>
      <c r="BE14" s="14">
        <f>BD14*VLOOKUP('Données projet'!$B$11,Paramètres!$A$1:$I$89,3,0)*VLOOKUP('Données projet'!$B$11,Paramètres!$A$1:$I$89,5,0)</f>
        <v>19.356480000000001</v>
      </c>
      <c r="BF14" s="14">
        <f t="shared" si="37"/>
        <v>6.3181780007167561</v>
      </c>
      <c r="BG14" s="22">
        <f t="shared" si="7"/>
        <v>44.716696017915012</v>
      </c>
      <c r="BH14" s="62">
        <f t="shared" si="8"/>
        <v>239.21249462702914</v>
      </c>
      <c r="BI14" s="62">
        <f ca="1">AVERAGE(OFFSET($BH$3,0,0,'Données projet'!$E$11+1,1))-AVERAGE(OFFSET($H$3,0,0,'Données projet'!$E$11+1,1))</f>
        <v>400.4480038202409</v>
      </c>
      <c r="BJ14" s="62">
        <f t="shared" si="38"/>
        <v>384.86917865380076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10.163529411764706</v>
      </c>
      <c r="N15" s="14">
        <f>IF('Données projet'!$A$36&gt;35,N14+M15-V14,IF(A15&lt;'Données projet'!$A$36,$K$205^A15,IF(A15='Données projet'!$A$36,'Données projet'!$B$36,N14+M15-V14)))</f>
        <v>37.967076299782079</v>
      </c>
      <c r="O15" s="14">
        <f>N15*VLOOKUP('Données projet'!$B$9,Paramètres!$A$1:$I$89,3,0)*VLOOKUP('Données projet'!$B$9,Paramètres!$A$1:$I$89,5,0)</f>
        <v>21.223595651578183</v>
      </c>
      <c r="P15" s="14">
        <f t="shared" si="33"/>
        <v>6.8537664384614088</v>
      </c>
      <c r="Q15" s="22">
        <f t="shared" si="2"/>
        <v>48.901405640152291</v>
      </c>
      <c r="R15" s="62">
        <f t="shared" si="0"/>
        <v>245.93118309288516</v>
      </c>
      <c r="S15" s="62">
        <f ca="1">AVERAGE(OFFSET($R$3,0,0,'Données projet'!$E$9+1,1))-AVERAGE(OFFSET($H$3,0,0,'Données projet'!$E$9+1,1))</f>
        <v>419.0448820879102</v>
      </c>
      <c r="T15" s="62">
        <f t="shared" si="34"/>
        <v>553.33038335026379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14.8</v>
      </c>
      <c r="AI15" s="14">
        <f>IF('Données projet'!$A$62&gt;35,AI14+AH15-AQ14,IF(A15&lt;'Données projet'!$A$62,$AF$205^A15,IF(A15='Données projet'!$A$62,'Données projet'!$B$62,AI14+AH15-AQ14)))</f>
        <v>67.599999999999994</v>
      </c>
      <c r="AJ15" s="14">
        <f>AI15*VLOOKUP('Données projet'!$B$10,Paramètres!$A$1:$I$89,3,0)*VLOOKUP('Données projet'!$B$10,Paramètres!$A$1:$I$89,5,0)</f>
        <v>36.909599999999998</v>
      </c>
      <c r="AK15" s="14">
        <f t="shared" si="35"/>
        <v>11.175742444525723</v>
      </c>
      <c r="AL15" s="22">
        <f t="shared" si="4"/>
        <v>83.748638090882295</v>
      </c>
      <c r="AM15" s="62">
        <f t="shared" si="5"/>
        <v>280.77841554361515</v>
      </c>
      <c r="AN15" s="62">
        <f ca="1">AVERAGE(OFFSET($AM$3,0,0,'Données projet'!$E$10+1,1))-AVERAGE(OFFSET($H$3,0,0,'Données projet'!$E$10+1,1))</f>
        <v>221.57008282490327</v>
      </c>
      <c r="AO15" s="62">
        <f t="shared" si="36"/>
        <v>320.19912501885199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3.0909941722472523</v>
      </c>
      <c r="AX15" s="23">
        <f t="shared" si="6"/>
        <v>3.0909941722472523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14.4</v>
      </c>
      <c r="BD15" s="13">
        <f>IF('Données projet'!$A$88&gt;35,BD14+BC15-BL14,IF(A15&lt;'Données projet'!$A$88,$BA$205^A15,IF(A15='Données projet'!$A$88,'Données projet'!$B$88,BD14+BC15-BL14)))</f>
        <v>40.799999999999997</v>
      </c>
      <c r="BE15" s="14">
        <f>BD15*VLOOKUP('Données projet'!$B$11,Paramètres!$A$1:$I$89,3,0)*VLOOKUP('Données projet'!$B$11,Paramètres!$A$1:$I$89,5,0)</f>
        <v>29.914559999999998</v>
      </c>
      <c r="BF15" s="14">
        <f t="shared" si="37"/>
        <v>9.2820081914942723</v>
      </c>
      <c r="BG15" s="22">
        <f t="shared" si="7"/>
        <v>68.267356266852531</v>
      </c>
      <c r="BH15" s="62">
        <f t="shared" si="8"/>
        <v>265.29713371958542</v>
      </c>
      <c r="BI15" s="62">
        <f ca="1">AVERAGE(OFFSET($BH$3,0,0,'Données projet'!$E$11+1,1))-AVERAGE(OFFSET($H$3,0,0,'Données projet'!$E$11+1,1))</f>
        <v>400.4480038202409</v>
      </c>
      <c r="BJ15" s="62">
        <f t="shared" si="38"/>
        <v>384.86917865380076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10.163529411764706</v>
      </c>
      <c r="N16" s="14">
        <f>IF('Données projet'!$A$36&gt;35,N15+M16-V15,IF(A16&lt;'Données projet'!$A$36,$K$205^A16,IF(A16='Données projet'!$A$36,'Données projet'!$B$36,N15+M16-V15)))</f>
        <v>51.40725542326031</v>
      </c>
      <c r="O16" s="14">
        <f>N16*VLOOKUP('Données projet'!$B$9,Paramètres!$A$1:$I$89,3,0)*VLOOKUP('Données projet'!$B$9,Paramètres!$A$1:$I$89,5,0)</f>
        <v>28.736655781602511</v>
      </c>
      <c r="P16" s="14">
        <f t="shared" si="33"/>
        <v>8.9583146830098084</v>
      </c>
      <c r="Q16" s="22">
        <f t="shared" si="2"/>
        <v>65.652073559199778</v>
      </c>
      <c r="R16" s="62">
        <f t="shared" si="0"/>
        <v>265.19307381081859</v>
      </c>
      <c r="S16" s="62">
        <f ca="1">AVERAGE(OFFSET($R$3,0,0,'Données projet'!$E$9+1,1))-AVERAGE(OFFSET($H$3,0,0,'Données projet'!$E$9+1,1))</f>
        <v>419.0448820879102</v>
      </c>
      <c r="T16" s="62">
        <f t="shared" si="34"/>
        <v>553.33038335026379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14.8</v>
      </c>
      <c r="AI16" s="14">
        <f>IF('Données projet'!$A$62&gt;35,AI15+AH16-AQ15,IF(A16&lt;'Données projet'!$A$62,$AF$205^A16,IF(A16='Données projet'!$A$62,'Données projet'!$B$62,AI15+AH16-AQ15)))</f>
        <v>82.399999999999991</v>
      </c>
      <c r="AJ16" s="14">
        <f>AI16*VLOOKUP('Données projet'!$B$10,Paramètres!$A$1:$I$89,3,0)*VLOOKUP('Données projet'!$B$10,Paramètres!$A$1:$I$89,5,0)</f>
        <v>44.990400000000001</v>
      </c>
      <c r="AK16" s="14">
        <f t="shared" si="35"/>
        <v>13.312167338738384</v>
      </c>
      <c r="AL16" s="22">
        <f t="shared" si="4"/>
        <v>101.54363811496934</v>
      </c>
      <c r="AM16" s="62">
        <f t="shared" si="5"/>
        <v>301.08463836658814</v>
      </c>
      <c r="AN16" s="62">
        <f ca="1">AVERAGE(OFFSET($AM$3,0,0,'Données projet'!$E$10+1,1))-AVERAGE(OFFSET($H$3,0,0,'Données projet'!$E$10+1,1))</f>
        <v>221.57008282490327</v>
      </c>
      <c r="AO16" s="62">
        <f t="shared" si="36"/>
        <v>320.19912501885199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2.1856629398041316</v>
      </c>
      <c r="AX16" s="23">
        <f t="shared" si="6"/>
        <v>2.1856629398041316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14.4</v>
      </c>
      <c r="BD16" s="13">
        <f>IF('Données projet'!$A$88&gt;35,BD15+BC16-BL15,IF(A16&lt;'Données projet'!$A$88,$BA$205^A16,IF(A16='Données projet'!$A$88,'Données projet'!$B$88,BD15+BC16-BL15)))</f>
        <v>55.199999999999996</v>
      </c>
      <c r="BE16" s="14">
        <f>BD16*VLOOKUP('Données projet'!$B$11,Paramètres!$A$1:$I$89,3,0)*VLOOKUP('Données projet'!$B$11,Paramètres!$A$1:$I$89,5,0)</f>
        <v>40.472639999999991</v>
      </c>
      <c r="BF16" s="14">
        <f t="shared" si="37"/>
        <v>12.123834417890356</v>
      </c>
      <c r="BG16" s="22">
        <f t="shared" si="7"/>
        <v>91.605526277825675</v>
      </c>
      <c r="BH16" s="62">
        <f t="shared" si="8"/>
        <v>291.14652652944449</v>
      </c>
      <c r="BI16" s="62">
        <f ca="1">AVERAGE(OFFSET($BH$3,0,0,'Données projet'!$E$11+1,1))-AVERAGE(OFFSET($H$3,0,0,'Données projet'!$E$11+1,1))</f>
        <v>400.4480038202409</v>
      </c>
      <c r="BJ16" s="62">
        <f t="shared" si="38"/>
        <v>384.86917865380076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10.163529411764706</v>
      </c>
      <c r="N17" s="14">
        <f>IF('Données projet'!$A$36&gt;35,N16+M17-V16,IF(A17&lt;'Données projet'!$A$36,$K$205^A17,IF(A17='Données projet'!$A$36,'Données projet'!$B$36,N16+M17-V16)))</f>
        <v>69.605199233302443</v>
      </c>
      <c r="O17" s="14">
        <f>N17*VLOOKUP('Données projet'!$B$9,Paramètres!$A$1:$I$89,3,0)*VLOOKUP('Données projet'!$B$9,Paramètres!$A$1:$I$89,5,0)</f>
        <v>38.909306371416065</v>
      </c>
      <c r="P17" s="14">
        <f t="shared" si="33"/>
        <v>11.709094945150285</v>
      </c>
      <c r="Q17" s="22">
        <f t="shared" si="2"/>
        <v>88.160382293019723</v>
      </c>
      <c r="R17" s="62">
        <f t="shared" si="0"/>
        <v>290.19024406529292</v>
      </c>
      <c r="S17" s="62">
        <f ca="1">AVERAGE(OFFSET($R$3,0,0,'Données projet'!$E$9+1,1))-AVERAGE(OFFSET($H$3,0,0,'Données projet'!$E$9+1,1))</f>
        <v>419.0448820879102</v>
      </c>
      <c r="T17" s="62">
        <f t="shared" si="34"/>
        <v>553.33038335026379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14.8</v>
      </c>
      <c r="AI17" s="14">
        <f>IF('Données projet'!$A$62&gt;35,AI16+AH17-AQ16,IF(A17&lt;'Données projet'!$A$62,$AF$205^A17,IF(A17='Données projet'!$A$62,'Données projet'!$B$62,AI16+AH17-AQ16)))</f>
        <v>97.199999999999989</v>
      </c>
      <c r="AJ17" s="14">
        <f>AI17*VLOOKUP('Données projet'!$B$10,Paramètres!$A$1:$I$89,3,0)*VLOOKUP('Données projet'!$B$10,Paramètres!$A$1:$I$89,5,0)</f>
        <v>53.07119999999999</v>
      </c>
      <c r="AK17" s="14">
        <f t="shared" si="35"/>
        <v>15.404137822648009</v>
      </c>
      <c r="AL17" s="22">
        <f t="shared" si="4"/>
        <v>119.26121337444526</v>
      </c>
      <c r="AM17" s="62">
        <f t="shared" si="5"/>
        <v>321.29107514671847</v>
      </c>
      <c r="AN17" s="62">
        <f ca="1">AVERAGE(OFFSET($AM$3,0,0,'Données projet'!$E$10+1,1))-AVERAGE(OFFSET($H$3,0,0,'Données projet'!$E$10+1,1))</f>
        <v>221.57008282490327</v>
      </c>
      <c r="AO17" s="62">
        <f t="shared" si="36"/>
        <v>320.19912501885199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1.5454970861236264</v>
      </c>
      <c r="AX17" s="23">
        <f t="shared" si="6"/>
        <v>1.5454970861236264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14.4</v>
      </c>
      <c r="BD17" s="13">
        <f>IF('Données projet'!$A$88&gt;35,BD16+BC17-BL16,IF(A17&lt;'Données projet'!$A$88,$BA$205^A17,IF(A17='Données projet'!$A$88,'Données projet'!$B$88,BD16+BC17-BL16)))</f>
        <v>69.599999999999994</v>
      </c>
      <c r="BE17" s="14">
        <f>BD17*VLOOKUP('Données projet'!$B$11,Paramètres!$A$1:$I$89,3,0)*VLOOKUP('Données projet'!$B$11,Paramètres!$A$1:$I$89,5,0)</f>
        <v>51.030719999999995</v>
      </c>
      <c r="BF17" s="14">
        <f t="shared" si="37"/>
        <v>14.879630660597618</v>
      </c>
      <c r="BG17" s="22">
        <f t="shared" si="7"/>
        <v>114.79386073387417</v>
      </c>
      <c r="BH17" s="62">
        <f t="shared" si="8"/>
        <v>316.82372250614736</v>
      </c>
      <c r="BI17" s="62">
        <f ca="1">AVERAGE(OFFSET($BH$3,0,0,'Données projet'!$E$11+1,1))-AVERAGE(OFFSET($H$3,0,0,'Données projet'!$E$11+1,1))</f>
        <v>400.4480038202409</v>
      </c>
      <c r="BJ17" s="62">
        <f t="shared" si="38"/>
        <v>384.86917865380076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10.163529411764706</v>
      </c>
      <c r="N18" s="14">
        <f>IF('Données projet'!$A$36&gt;35,N17+M18-V17,IF(A18&lt;'Données projet'!$A$36,$K$205^A18,IF(A18='Données projet'!$A$36,'Données projet'!$B$36,N17+M18-V17)))</f>
        <v>94.245135641214503</v>
      </c>
      <c r="O18" s="14">
        <f>N18*VLOOKUP('Données projet'!$B$9,Paramètres!$A$1:$I$89,3,0)*VLOOKUP('Données projet'!$B$9,Paramètres!$A$1:$I$89,5,0)</f>
        <v>52.683030823438912</v>
      </c>
      <c r="P18" s="14">
        <f t="shared" si="33"/>
        <v>15.304542124934633</v>
      </c>
      <c r="Q18" s="22">
        <f t="shared" si="2"/>
        <v>118.41168955175056</v>
      </c>
      <c r="R18" s="62">
        <f t="shared" si="0"/>
        <v>322.90843948463157</v>
      </c>
      <c r="S18" s="62">
        <f ca="1">AVERAGE(OFFSET($R$3,0,0,'Données projet'!$E$9+1,1))-AVERAGE(OFFSET($H$3,0,0,'Données projet'!$E$9+1,1))</f>
        <v>419.0448820879102</v>
      </c>
      <c r="T18" s="62">
        <f t="shared" si="34"/>
        <v>553.33038335026379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112</v>
      </c>
      <c r="AG18" s="13">
        <f>VLOOKUP(A18,'Données projet'!$A$61:$I$81,9,0)</f>
        <v>14.8</v>
      </c>
      <c r="AH18" s="13">
        <f t="array" ref="AH18">INDEX(AG:AG,MIN(IF(ISNUMBER(AG18:AG214),ROW(AG18:AG214),"")))</f>
        <v>14.8</v>
      </c>
      <c r="AI18" s="14">
        <f>IF('Données projet'!$A$62&gt;35,AI17+AH18-AQ17,IF(A18&lt;'Données projet'!$A$62,$AF$205^A18,IF(A18='Données projet'!$A$62,'Données projet'!$B$62,AI17+AH18-AQ17)))</f>
        <v>111.99999999999999</v>
      </c>
      <c r="AJ18" s="14">
        <f>AI18*VLOOKUP('Données projet'!$B$10,Paramètres!$A$1:$I$89,3,0)*VLOOKUP('Données projet'!$B$10,Paramètres!$A$1:$I$89,5,0)</f>
        <v>61.151999999999994</v>
      </c>
      <c r="AK18" s="14">
        <f t="shared" si="35"/>
        <v>17.459207591071255</v>
      </c>
      <c r="AL18" s="22">
        <f t="shared" si="4"/>
        <v>136.9145198877824</v>
      </c>
      <c r="AM18" s="62">
        <f t="shared" si="5"/>
        <v>341.41126982066345</v>
      </c>
      <c r="AN18" s="62">
        <f ca="1">AVERAGE(OFFSET($AM$3,0,0,'Données projet'!$E$10+1,1))-AVERAGE(OFFSET($H$3,0,0,'Données projet'!$E$10+1,1))</f>
        <v>221.57008282490327</v>
      </c>
      <c r="AO18" s="62">
        <f t="shared" si="36"/>
        <v>320.19912501885199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30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1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19.638796503385574</v>
      </c>
      <c r="AX18" s="23">
        <f t="shared" si="6"/>
        <v>19.638796503385574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84</v>
      </c>
      <c r="BB18" s="13">
        <f>VLOOKUP(A18,'Données projet'!$A$87:$I$107,9,0)</f>
        <v>14.4</v>
      </c>
      <c r="BC18" s="13">
        <f t="array" ref="BC18">INDEX(BB:BB,MIN(IF(ISNUMBER(BB18:BB214),ROW(BB18:BB214),"")))</f>
        <v>14.4</v>
      </c>
      <c r="BD18" s="13">
        <f>IF('Données projet'!$A$88&gt;35,BD17+BC18-BL17,IF(A18&lt;'Données projet'!$A$88,$BA$205^A18,IF(A18='Données projet'!$A$88,'Données projet'!$B$88,BD17+BC18-BL17)))</f>
        <v>84</v>
      </c>
      <c r="BE18" s="14">
        <f>BD18*VLOOKUP('Données projet'!$B$11,Paramètres!$A$1:$I$89,3,0)*VLOOKUP('Données projet'!$B$11,Paramètres!$A$1:$I$89,5,0)</f>
        <v>61.588799999999999</v>
      </c>
      <c r="BF18" s="14">
        <f t="shared" si="37"/>
        <v>17.56935444538782</v>
      </c>
      <c r="BG18" s="22">
        <f t="shared" si="7"/>
        <v>137.86711899238378</v>
      </c>
      <c r="BH18" s="62">
        <f t="shared" si="8"/>
        <v>342.3638689252648</v>
      </c>
      <c r="BI18" s="62">
        <f ca="1">AVERAGE(OFFSET($BH$3,0,0,'Données projet'!$E$11+1,1))-AVERAGE(OFFSET($H$3,0,0,'Données projet'!$E$11+1,1))</f>
        <v>400.4480038202409</v>
      </c>
      <c r="BJ18" s="62">
        <f t="shared" si="38"/>
        <v>384.86917865380076</v>
      </c>
      <c r="BK18" s="16">
        <f>IF(ISNA(VLOOKUP(A18,'Données projet'!$A$87:$I$107,3,0)),0,VLOOKUP(A18,'Données projet'!$A$87:$I$107,3,0))</f>
        <v>2</v>
      </c>
      <c r="BL18" s="16">
        <f>IF(ISNA(VLOOKUP(A18,'Données projet'!$A$87:$I$107,4,0)),0,VLOOKUP(A18,'Données projet'!$A$87:$I$107,4,0))</f>
        <v>42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0.215</v>
      </c>
      <c r="BO18" s="17">
        <f>IF(ISNA(VLOOKUP(A18,'Données projet'!$A$87:$I$107,7,0)),0%,VLOOKUP(A18,'Données projet'!$A$87:$I$107,7,0))</f>
        <v>0.5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7.2902758055827315</v>
      </c>
      <c r="BR18" s="23">
        <f>EXP(-LN(2)/2)*BR17+(1-EXP(-LN(2)/2))/(LN(2)/2)*BL18*BO18*VLOOKUP('Données projet'!$B$11,Paramètres!$A$1:$I$89,3,0)*0.475*44/12</f>
        <v>14.527672609562082</v>
      </c>
      <c r="BS18" s="24">
        <f t="shared" si="9"/>
        <v>21.817948415144812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10.163529411764706</v>
      </c>
      <c r="N19" s="14">
        <f>IF('Données projet'!$A$36&gt;35,N18+M19-V18,IF(A19&lt;'Données projet'!$A$36,$K$205^A19,IF(A19='Données projet'!$A$36,'Données projet'!$B$36,N18+M19-V18)))</f>
        <v>127.60750188013651</v>
      </c>
      <c r="O19" s="14">
        <f>N19*VLOOKUP('Données projet'!$B$9,Paramètres!$A$1:$I$89,3,0)*VLOOKUP('Données projet'!$B$9,Paramètres!$A$1:$I$89,5,0)</f>
        <v>71.332593550996307</v>
      </c>
      <c r="P19" s="14">
        <f t="shared" si="33"/>
        <v>20.004023432307392</v>
      </c>
      <c r="Q19" s="22">
        <f t="shared" si="2"/>
        <v>159.07794124592061</v>
      </c>
      <c r="R19" s="62">
        <f t="shared" si="0"/>
        <v>366.01998716803467</v>
      </c>
      <c r="S19" s="62">
        <f ca="1">AVERAGE(OFFSET($R$3,0,0,'Données projet'!$E$9+1,1))-AVERAGE(OFFSET($H$3,0,0,'Données projet'!$E$9+1,1))</f>
        <v>419.0448820879102</v>
      </c>
      <c r="T19" s="62">
        <f t="shared" si="34"/>
        <v>553.33038335026379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15.6</v>
      </c>
      <c r="AI19" s="14">
        <f>IF('Données projet'!$A$62&gt;35,AI18+AH19-AQ18,IF(A19&lt;'Données projet'!$A$62,$AF$205^A19,IF(A19='Données projet'!$A$62,'Données projet'!$B$62,AI18+AH19-AQ18)))</f>
        <v>97.59999999999998</v>
      </c>
      <c r="AJ19" s="14">
        <f>AI19*VLOOKUP('Données projet'!$B$10,Paramètres!$A$1:$I$89,3,0)*VLOOKUP('Données projet'!$B$10,Paramètres!$A$1:$I$89,5,0)</f>
        <v>53.289599999999986</v>
      </c>
      <c r="AK19" s="14">
        <f t="shared" si="35"/>
        <v>15.460137169232418</v>
      </c>
      <c r="AL19" s="22">
        <f t="shared" si="4"/>
        <v>119.73912556974642</v>
      </c>
      <c r="AM19" s="62">
        <f t="shared" si="5"/>
        <v>326.68117149186048</v>
      </c>
      <c r="AN19" s="62">
        <f ca="1">AVERAGE(OFFSET($AM$3,0,0,'Données projet'!$E$10+1,1))-AVERAGE(OFFSET($H$3,0,0,'Données projet'!$E$10+1,1))</f>
        <v>221.57008282490327</v>
      </c>
      <c r="AO19" s="62">
        <f t="shared" si="36"/>
        <v>320.19912501885199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13.886726181886599</v>
      </c>
      <c r="AX19" s="23">
        <f t="shared" si="6"/>
        <v>13.886726181886599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16.2</v>
      </c>
      <c r="BD19" s="13">
        <f>IF('Données projet'!$A$88&gt;35,BD18+BC19-BL18,IF(A19&lt;'Données projet'!$A$88,$BA$205^A19,IF(A19='Données projet'!$A$88,'Données projet'!$B$88,BD18+BC19-BL18)))</f>
        <v>58.2</v>
      </c>
      <c r="BE19" s="14">
        <f>BD19*VLOOKUP('Données projet'!$B$11,Paramètres!$A$1:$I$89,3,0)*VLOOKUP('Données projet'!$B$11,Paramètres!$A$1:$I$89,5,0)</f>
        <v>42.672240000000002</v>
      </c>
      <c r="BF19" s="14">
        <f t="shared" si="37"/>
        <v>12.704236692203963</v>
      </c>
      <c r="BG19" s="22">
        <f t="shared" si="7"/>
        <v>96.447363572255242</v>
      </c>
      <c r="BH19" s="62">
        <f t="shared" si="8"/>
        <v>303.38940949436932</v>
      </c>
      <c r="BI19" s="62">
        <f ca="1">AVERAGE(OFFSET($BH$3,0,0,'Données projet'!$E$11+1,1))-AVERAGE(OFFSET($H$3,0,0,'Données projet'!$E$11+1,1))</f>
        <v>400.4480038202409</v>
      </c>
      <c r="BJ19" s="62">
        <f t="shared" si="38"/>
        <v>384.86917865380076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7.090922830300129</v>
      </c>
      <c r="BR19" s="23">
        <f>EXP(-LN(2)/2)*BR18+(1-EXP(-LN(2)/2))/(LN(2)/2)*BL19*BO19*VLOOKUP('Données projet'!$B$11,Paramètres!$A$1:$I$89,3,0)*0.475*44/12</f>
        <v>10.272615817079416</v>
      </c>
      <c r="BS19" s="24">
        <f t="shared" si="9"/>
        <v>17.363538647379546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172.78</v>
      </c>
      <c r="L20" s="13">
        <f>VLOOKUP(A20,'Données projet'!$A$35:$I$55,9,0)</f>
        <v>10.163529411764706</v>
      </c>
      <c r="M20" s="13">
        <f t="array" ref="M20">INDEX(L:L,MIN(IF(ISNUMBER(L20:L216),ROW(L20:L216),"")))</f>
        <v>10.163529411764706</v>
      </c>
      <c r="N20" s="14">
        <f>IF('Données projet'!$A$36&gt;35,N19+M20-V19,IF(A20&lt;'Données projet'!$A$36,$K$205^A20,IF(A20='Données projet'!$A$36,'Données projet'!$B$36,N19+M20-V19)))</f>
        <v>172.78</v>
      </c>
      <c r="O20" s="14">
        <f>N20*VLOOKUP('Données projet'!$B$9,Paramètres!$A$1:$I$89,3,0)*VLOOKUP('Données projet'!$B$9,Paramètres!$A$1:$I$89,5,0)</f>
        <v>96.58402000000001</v>
      </c>
      <c r="P20" s="14">
        <f t="shared" si="33"/>
        <v>26.146548535310259</v>
      </c>
      <c r="Q20" s="22">
        <f t="shared" si="2"/>
        <v>213.75574019899872</v>
      </c>
      <c r="R20" s="62">
        <f t="shared" si="0"/>
        <v>423.12186451487145</v>
      </c>
      <c r="S20" s="62">
        <f ca="1">AVERAGE(OFFSET($R$3,0,0,'Données projet'!$E$9+1,1))-AVERAGE(OFFSET($H$3,0,0,'Données projet'!$E$9+1,1))</f>
        <v>419.0448820879102</v>
      </c>
      <c r="T20" s="62">
        <f t="shared" si="34"/>
        <v>553.33038335026379</v>
      </c>
      <c r="U20" s="16">
        <f>IF(ISNA(VLOOKUP(A20,'Données projet'!$A$35:$I$55,3,0)),0,VLOOKUP(A20,'Données projet'!$A$35:$I$55,3,0))</f>
        <v>1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15.6</v>
      </c>
      <c r="AI20" s="14">
        <f>IF('Données projet'!$A$62&gt;35,AI19+AH20-AQ19,IF(A20&lt;'Données projet'!$A$62,$AF$205^A20,IF(A20='Données projet'!$A$62,'Données projet'!$B$62,AI19+AH20-AQ19)))</f>
        <v>113.19999999999997</v>
      </c>
      <c r="AJ20" s="14">
        <f>AI20*VLOOKUP('Données projet'!$B$10,Paramètres!$A$1:$I$89,3,0)*VLOOKUP('Données projet'!$B$10,Paramètres!$A$1:$I$89,5,0)</f>
        <v>61.807199999999987</v>
      </c>
      <c r="AK20" s="14">
        <f t="shared" si="35"/>
        <v>17.624393742765658</v>
      </c>
      <c r="AL20" s="22">
        <f t="shared" si="4"/>
        <v>138.34335910198348</v>
      </c>
      <c r="AM20" s="62">
        <f t="shared" si="5"/>
        <v>347.70948341785618</v>
      </c>
      <c r="AN20" s="62">
        <f ca="1">AVERAGE(OFFSET($AM$3,0,0,'Données projet'!$E$10+1,1))-AVERAGE(OFFSET($H$3,0,0,'Données projet'!$E$10+1,1))</f>
        <v>221.57008282490327</v>
      </c>
      <c r="AO20" s="62">
        <f t="shared" si="36"/>
        <v>320.19912501885199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9.8193982516927889</v>
      </c>
      <c r="AX20" s="23">
        <f t="shared" si="6"/>
        <v>9.8193982516927889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16.2</v>
      </c>
      <c r="BD20" s="13">
        <f>IF('Données projet'!$A$88&gt;35,BD19+BC20-BL19,IF(A20&lt;'Données projet'!$A$88,$BA$205^A20,IF(A20='Données projet'!$A$88,'Données projet'!$B$88,BD19+BC20-BL19)))</f>
        <v>74.400000000000006</v>
      </c>
      <c r="BE20" s="14">
        <f>BD20*VLOOKUP('Données projet'!$B$11,Paramètres!$A$1:$I$89,3,0)*VLOOKUP('Données projet'!$B$11,Paramètres!$A$1:$I$89,5,0)</f>
        <v>54.550080000000008</v>
      </c>
      <c r="BF20" s="14">
        <f t="shared" si="37"/>
        <v>15.782815260920124</v>
      </c>
      <c r="BG20" s="22">
        <f t="shared" si="7"/>
        <v>122.49645924610256</v>
      </c>
      <c r="BH20" s="62">
        <f t="shared" si="8"/>
        <v>331.86258356197527</v>
      </c>
      <c r="BI20" s="62">
        <f ca="1">AVERAGE(OFFSET($BH$3,0,0,'Données projet'!$E$11+1,1))-AVERAGE(OFFSET($H$3,0,0,'Données projet'!$E$11+1,1))</f>
        <v>400.4480038202409</v>
      </c>
      <c r="BJ20" s="62">
        <f t="shared" si="38"/>
        <v>384.86917865380076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6.8970211726101471</v>
      </c>
      <c r="BR20" s="23">
        <f>EXP(-LN(2)/2)*BR19+(1-EXP(-LN(2)/2))/(LN(2)/2)*BL20*BO20*VLOOKUP('Données projet'!$B$11,Paramètres!$A$1:$I$89,3,0)*0.475*44/12</f>
        <v>7.2638363047810417</v>
      </c>
      <c r="BS20" s="24">
        <f t="shared" si="9"/>
        <v>14.16085747739119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202.31</v>
      </c>
      <c r="L21" s="13">
        <f>VLOOKUP(A21,'Données projet'!$A$35:$I$55,9,0)</f>
        <v>29.53</v>
      </c>
      <c r="M21" s="13">
        <f t="array" ref="M21">INDEX(L:L,MIN(IF(ISNUMBER(L21:L217),ROW(L21:L217),"")))</f>
        <v>29.53</v>
      </c>
      <c r="N21" s="14">
        <f>IF('Données projet'!$A$36&gt;35,N20+M21-V20,IF(A21&lt;'Données projet'!$A$36,$K$205^A21,IF(A21='Données projet'!$A$36,'Données projet'!$B$36,N20+M21-V20)))</f>
        <v>202.31</v>
      </c>
      <c r="O21" s="14">
        <f>N21*VLOOKUP('Données projet'!$B$9,Paramètres!$A$1:$I$89,3,0)*VLOOKUP('Données projet'!$B$9,Paramètres!$A$1:$I$89,5,0)</f>
        <v>113.09129000000001</v>
      </c>
      <c r="P21" s="14">
        <f t="shared" si="33"/>
        <v>30.05813764305373</v>
      </c>
      <c r="Q21" s="22">
        <f t="shared" si="2"/>
        <v>249.31858647831859</v>
      </c>
      <c r="R21" s="62">
        <f t="shared" si="0"/>
        <v>461.0879396703217</v>
      </c>
      <c r="S21" s="62">
        <f ca="1">AVERAGE(OFFSET($R$3,0,0,'Données projet'!$E$9+1,1))-AVERAGE(OFFSET($H$3,0,0,'Données projet'!$E$9+1,1))</f>
        <v>419.0448820879102</v>
      </c>
      <c r="T21" s="62">
        <f t="shared" si="34"/>
        <v>553.33038335026379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74.819999999999993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1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47.354913860019963</v>
      </c>
      <c r="AC21" s="24">
        <f t="shared" si="3"/>
        <v>47.354913860019963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15.6</v>
      </c>
      <c r="AI21" s="14">
        <f>IF('Données projet'!$A$62&gt;35,AI20+AH21-AQ20,IF(A21&lt;'Données projet'!$A$62,$AF$205^A21,IF(A21='Données projet'!$A$62,'Données projet'!$B$62,AI20+AH21-AQ20)))</f>
        <v>128.79999999999998</v>
      </c>
      <c r="AJ21" s="14">
        <f>AI21*VLOOKUP('Données projet'!$B$10,Paramètres!$A$1:$I$89,3,0)*VLOOKUP('Données projet'!$B$10,Paramètres!$A$1:$I$89,5,0)</f>
        <v>70.324799999999982</v>
      </c>
      <c r="AK21" s="14">
        <f t="shared" si="35"/>
        <v>19.754095114409182</v>
      </c>
      <c r="AL21" s="22">
        <f t="shared" si="4"/>
        <v>156.88740899092929</v>
      </c>
      <c r="AM21" s="62">
        <f t="shared" si="5"/>
        <v>368.65676218293243</v>
      </c>
      <c r="AN21" s="62">
        <f ca="1">AVERAGE(OFFSET($AM$3,0,0,'Données projet'!$E$10+1,1))-AVERAGE(OFFSET($H$3,0,0,'Données projet'!$E$10+1,1))</f>
        <v>221.57008282490327</v>
      </c>
      <c r="AO21" s="62">
        <f t="shared" si="36"/>
        <v>320.19912501885199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6.9433630909433006</v>
      </c>
      <c r="AX21" s="23">
        <f t="shared" si="6"/>
        <v>6.9433630909433006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16.2</v>
      </c>
      <c r="BD21" s="13">
        <f>IF('Données projet'!$A$88&gt;35,BD20+BC21-BL20,IF(A21&lt;'Données projet'!$A$88,$BA$205^A21,IF(A21='Données projet'!$A$88,'Données projet'!$B$88,BD20+BC21-BL20)))</f>
        <v>90.600000000000009</v>
      </c>
      <c r="BE21" s="14">
        <f>BD21*VLOOKUP('Données projet'!$B$11,Paramètres!$A$1:$I$89,3,0)*VLOOKUP('Données projet'!$B$11,Paramètres!$A$1:$I$89,5,0)</f>
        <v>66.42792</v>
      </c>
      <c r="BF21" s="14">
        <f t="shared" si="37"/>
        <v>18.783698241275044</v>
      </c>
      <c r="BG21" s="22">
        <f t="shared" si="7"/>
        <v>148.41023510355402</v>
      </c>
      <c r="BH21" s="62">
        <f t="shared" si="8"/>
        <v>360.1795882955571</v>
      </c>
      <c r="BI21" s="62">
        <f ca="1">AVERAGE(OFFSET($BH$3,0,0,'Données projet'!$E$11+1,1))-AVERAGE(OFFSET($H$3,0,0,'Données projet'!$E$11+1,1))</f>
        <v>400.4480038202409</v>
      </c>
      <c r="BJ21" s="62">
        <f t="shared" si="38"/>
        <v>384.86917865380076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6.7084217659465422</v>
      </c>
      <c r="BR21" s="23">
        <f>EXP(-LN(2)/2)*BR20+(1-EXP(-LN(2)/2))/(LN(2)/2)*BL21*BO21*VLOOKUP('Données projet'!$B$11,Paramètres!$A$1:$I$89,3,0)*0.475*44/12</f>
        <v>5.1363079085397088</v>
      </c>
      <c r="BS21" s="24">
        <f t="shared" si="9"/>
        <v>11.844729674486251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150.35</v>
      </c>
      <c r="L22" s="13">
        <f>VLOOKUP(A22,'Données projet'!$A$35:$I$55,9,0)</f>
        <v>22.859999999999985</v>
      </c>
      <c r="M22" s="13">
        <f t="array" ref="M22">INDEX(L:L,MIN(IF(ISNUMBER(L22:L218),ROW(L22:L218),"")))</f>
        <v>22.859999999999985</v>
      </c>
      <c r="N22" s="14">
        <f>IF('Données projet'!$A$36&gt;35,N21+M22-V21,IF(A22&lt;'Données projet'!$A$36,$K$205^A22,IF(A22='Données projet'!$A$36,'Données projet'!$B$36,N21+M22-V21)))</f>
        <v>150.35</v>
      </c>
      <c r="O22" s="14">
        <f>N22*VLOOKUP('Données projet'!$B$9,Paramètres!$A$1:$I$89,3,0)*VLOOKUP('Données projet'!$B$9,Paramètres!$A$1:$I$89,5,0)</f>
        <v>84.045649999999995</v>
      </c>
      <c r="P22" s="14">
        <f t="shared" si="33"/>
        <v>23.123508581543572</v>
      </c>
      <c r="Q22" s="22">
        <f t="shared" si="2"/>
        <v>186.65295119618835</v>
      </c>
      <c r="R22" s="62">
        <f t="shared" si="0"/>
        <v>400.80504543921188</v>
      </c>
      <c r="S22" s="62">
        <f ca="1">AVERAGE(OFFSET($R$3,0,0,'Données projet'!$E$9+1,1))-AVERAGE(OFFSET($H$3,0,0,'Données projet'!$E$9+1,1))</f>
        <v>419.0448820879102</v>
      </c>
      <c r="T22" s="62">
        <f t="shared" si="34"/>
        <v>553.33038335026379</v>
      </c>
      <c r="U22" s="16">
        <f>IF(ISNA(VLOOKUP(A22,'Données projet'!$A$35:$I$55,3,0)),0,VLOOKUP(A22,'Données projet'!$A$35:$I$55,3,0))</f>
        <v>3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33.484980712924944</v>
      </c>
      <c r="AC22" s="24">
        <f t="shared" si="3"/>
        <v>33.484980712924944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15.6</v>
      </c>
      <c r="AI22" s="14">
        <f>IF('Données projet'!$A$62&gt;35,AI21+AH22-AQ21,IF(A22&lt;'Données projet'!$A$62,$AF$205^A22,IF(A22='Données projet'!$A$62,'Données projet'!$B$62,AI21+AH22-AQ21)))</f>
        <v>144.39999999999998</v>
      </c>
      <c r="AJ22" s="14">
        <f>AI22*VLOOKUP('Données projet'!$B$10,Paramètres!$A$1:$I$89,3,0)*VLOOKUP('Données projet'!$B$10,Paramètres!$A$1:$I$89,5,0)</f>
        <v>78.842399999999984</v>
      </c>
      <c r="AK22" s="14">
        <f t="shared" si="35"/>
        <v>21.853905254591407</v>
      </c>
      <c r="AL22" s="22">
        <f t="shared" si="4"/>
        <v>175.37939831841334</v>
      </c>
      <c r="AM22" s="62">
        <f t="shared" si="5"/>
        <v>389.53149256143683</v>
      </c>
      <c r="AN22" s="62">
        <f ca="1">AVERAGE(OFFSET($AM$3,0,0,'Données projet'!$E$10+1,1))-AVERAGE(OFFSET($H$3,0,0,'Données projet'!$E$10+1,1))</f>
        <v>221.57008282490327</v>
      </c>
      <c r="AO22" s="62">
        <f t="shared" si="36"/>
        <v>320.19912501885199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4.9096991258463953</v>
      </c>
      <c r="AX22" s="23">
        <f t="shared" si="6"/>
        <v>4.9096991258463953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16.2</v>
      </c>
      <c r="BD22" s="13">
        <f>IF('Données projet'!$A$88&gt;35,BD21+BC22-BL21,IF(A22&lt;'Données projet'!$A$88,$BA$205^A22,IF(A22='Données projet'!$A$88,'Données projet'!$B$88,BD21+BC22-BL21)))</f>
        <v>106.80000000000001</v>
      </c>
      <c r="BE22" s="14">
        <f>BD22*VLOOKUP('Données projet'!$B$11,Paramètres!$A$1:$I$89,3,0)*VLOOKUP('Données projet'!$B$11,Paramètres!$A$1:$I$89,5,0)</f>
        <v>78.305760000000006</v>
      </c>
      <c r="BF22" s="14">
        <f t="shared" si="37"/>
        <v>21.722418982737217</v>
      </c>
      <c r="BG22" s="22">
        <f t="shared" si="7"/>
        <v>174.21574506160064</v>
      </c>
      <c r="BH22" s="62">
        <f t="shared" si="8"/>
        <v>388.36783930462417</v>
      </c>
      <c r="BI22" s="62">
        <f ca="1">AVERAGE(OFFSET($BH$3,0,0,'Données projet'!$E$11+1,1))-AVERAGE(OFFSET($H$3,0,0,'Données projet'!$E$11+1,1))</f>
        <v>400.4480038202409</v>
      </c>
      <c r="BJ22" s="62">
        <f t="shared" si="38"/>
        <v>384.86917865380076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6.5249796199761656</v>
      </c>
      <c r="BR22" s="23">
        <f>EXP(-LN(2)/2)*BR21+(1-EXP(-LN(2)/2))/(LN(2)/2)*BL22*BO22*VLOOKUP('Données projet'!$B$11,Paramètres!$A$1:$I$89,3,0)*0.475*44/12</f>
        <v>3.6319181523905217</v>
      </c>
      <c r="BS22" s="24">
        <f t="shared" si="9"/>
        <v>10.156897772366687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27.097500000000004</v>
      </c>
      <c r="N23" s="14">
        <f>IF('Données projet'!$A$36&gt;35,N22+M23-V22,IF(A23&lt;'Données projet'!$A$36,$K$205^A23,IF(A23='Données projet'!$A$36,'Données projet'!$B$36,N22+M23-V22)))</f>
        <v>177.44749999999999</v>
      </c>
      <c r="O23" s="14">
        <f>N23*VLOOKUP('Données projet'!$B$9,Paramètres!$A$1:$I$89,3,0)*VLOOKUP('Données projet'!$B$9,Paramètres!$A$1:$I$89,5,0)</f>
        <v>99.193152499999997</v>
      </c>
      <c r="P23" s="14">
        <f t="shared" si="33"/>
        <v>26.769686721634265</v>
      </c>
      <c r="Q23" s="22">
        <f t="shared" si="2"/>
        <v>219.38527831101297</v>
      </c>
      <c r="R23" s="62">
        <f t="shared" si="0"/>
        <v>435.89998119790869</v>
      </c>
      <c r="S23" s="62">
        <f ca="1">AVERAGE(OFFSET($R$3,0,0,'Données projet'!$E$9+1,1))-AVERAGE(OFFSET($H$3,0,0,'Données projet'!$E$9+1,1))</f>
        <v>419.0448820879102</v>
      </c>
      <c r="T23" s="62">
        <f t="shared" si="34"/>
        <v>553.33038335026379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23.677456930009985</v>
      </c>
      <c r="AC23" s="24">
        <f t="shared" si="3"/>
        <v>23.677456930009985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160</v>
      </c>
      <c r="AG23" s="13">
        <f>VLOOKUP(A23,'Données projet'!$A$61:$I$81,9,0)</f>
        <v>15.6</v>
      </c>
      <c r="AH23" s="13">
        <f t="array" ref="AH23">INDEX(AG:AG,MIN(IF(ISNUMBER(AG23:AG219),ROW(AG23:AG219),"")))</f>
        <v>15.6</v>
      </c>
      <c r="AI23" s="14">
        <f>IF('Données projet'!$A$62&gt;35,AI22+AH23-AQ22,IF(A23&lt;'Données projet'!$A$62,$AF$205^A23,IF(A23='Données projet'!$A$62,'Données projet'!$B$62,AI22+AH23-AQ22)))</f>
        <v>159.99999999999997</v>
      </c>
      <c r="AJ23" s="14">
        <f>AI23*VLOOKUP('Données projet'!$B$10,Paramètres!$A$1:$I$89,3,0)*VLOOKUP('Données projet'!$B$10,Paramètres!$A$1:$I$89,5,0)</f>
        <v>87.359999999999985</v>
      </c>
      <c r="AK23" s="14">
        <f t="shared" si="35"/>
        <v>23.927421530185931</v>
      </c>
      <c r="AL23" s="22">
        <f t="shared" si="4"/>
        <v>193.82559249840713</v>
      </c>
      <c r="AM23" s="62">
        <f t="shared" si="5"/>
        <v>410.34029538530285</v>
      </c>
      <c r="AN23" s="62">
        <f ca="1">AVERAGE(OFFSET($AM$3,0,0,'Données projet'!$E$10+1,1))-AVERAGE(OFFSET($H$3,0,0,'Données projet'!$E$10+1,1))</f>
        <v>221.57008282490327</v>
      </c>
      <c r="AO23" s="62">
        <f t="shared" si="36"/>
        <v>320.19912501885199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34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0.12</v>
      </c>
      <c r="AT23" s="17">
        <f>IF(ISNA(VLOOKUP(A23,'Données projet'!$A$61:$I$81,7,0)),0%,VLOOKUP(A23,'Données projet'!$A$61:$I$81,7,0))</f>
        <v>0.8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2.9435255108142062</v>
      </c>
      <c r="AW23" s="23">
        <f>EXP(-LN(2)/2)*AW22+(1-EXP(-LN(2)/2))/(LN(2)/2)*AQ23*AT23*VLOOKUP('Données projet'!$B$10,Paramètres!$A$1:$I$89,3,0)*0.475*44/12</f>
        <v>20.286689842496699</v>
      </c>
      <c r="AX23" s="23">
        <f t="shared" si="6"/>
        <v>23.230215353310903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123</v>
      </c>
      <c r="BB23" s="13">
        <f>VLOOKUP(A23,'Données projet'!$A$87:$I$107,9,0)</f>
        <v>16.2</v>
      </c>
      <c r="BC23" s="13">
        <f t="array" ref="BC23">INDEX(BB:BB,MIN(IF(ISNUMBER(BB23:BB219),ROW(BB23:BB219),"")))</f>
        <v>16.2</v>
      </c>
      <c r="BD23" s="13">
        <f>IF('Données projet'!$A$88&gt;35,BD22+BC23-BL22,IF(A23&lt;'Données projet'!$A$88,$BA$205^A23,IF(A23='Données projet'!$A$88,'Données projet'!$B$88,BD22+BC23-BL22)))</f>
        <v>123.00000000000001</v>
      </c>
      <c r="BE23" s="14">
        <f>BD23*VLOOKUP('Données projet'!$B$11,Paramètres!$A$1:$I$89,3,0)*VLOOKUP('Données projet'!$B$11,Paramètres!$A$1:$I$89,5,0)</f>
        <v>90.183600000000013</v>
      </c>
      <c r="BF23" s="14">
        <f t="shared" si="37"/>
        <v>24.609499639553789</v>
      </c>
      <c r="BG23" s="22">
        <f t="shared" si="7"/>
        <v>199.93131520555619</v>
      </c>
      <c r="BH23" s="62">
        <f t="shared" si="8"/>
        <v>416.44601809245194</v>
      </c>
      <c r="BI23" s="62">
        <f ca="1">AVERAGE(OFFSET($BH$3,0,0,'Données projet'!$E$11+1,1))-AVERAGE(OFFSET($H$3,0,0,'Données projet'!$E$11+1,1))</f>
        <v>400.4480038202409</v>
      </c>
      <c r="BJ23" s="62">
        <f t="shared" si="38"/>
        <v>384.86917865380076</v>
      </c>
      <c r="BK23" s="16">
        <f>IF(ISNA(VLOOKUP(A23,'Données projet'!$A$87:$I$107,3,0)),0,VLOOKUP(A23,'Données projet'!$A$87:$I$107,3,0))</f>
        <v>3</v>
      </c>
      <c r="BL23" s="16">
        <f>IF(ISNA(VLOOKUP(A23,'Données projet'!$A$87:$I$107,4,0)),0,VLOOKUP(A23,'Données projet'!$A$87:$I$107,4,0))</f>
        <v>42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0.215</v>
      </c>
      <c r="BO23" s="17">
        <f>IF(ISNA(VLOOKUP(A23,'Données projet'!$A$87:$I$107,7,0)),0%,VLOOKUP(A23,'Données projet'!$A$87:$I$107,7,0))</f>
        <v>0.5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13.636829514716883</v>
      </c>
      <c r="BR23" s="23">
        <f>EXP(-LN(2)/2)*BR22+(1-EXP(-LN(2)/2))/(LN(2)/2)*BL23*BO23*VLOOKUP('Données projet'!$B$11,Paramètres!$A$1:$I$89,3,0)*0.475*44/12</f>
        <v>17.095826563831935</v>
      </c>
      <c r="BS23" s="24">
        <f t="shared" si="9"/>
        <v>30.732656078548818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27.097500000000004</v>
      </c>
      <c r="N24" s="14">
        <f>IF('Données projet'!$A$36&gt;35,N23+M24-V23,IF(A24&lt;'Données projet'!$A$36,$K$205^A24,IF(A24='Données projet'!$A$36,'Données projet'!$B$36,N23+M24-V23)))</f>
        <v>204.54499999999999</v>
      </c>
      <c r="O24" s="14">
        <f>N24*VLOOKUP('Données projet'!$B$9,Paramètres!$A$1:$I$89,3,0)*VLOOKUP('Données projet'!$B$9,Paramètres!$A$1:$I$89,5,0)</f>
        <v>114.340655</v>
      </c>
      <c r="P24" s="14">
        <f t="shared" si="33"/>
        <v>30.351361817470281</v>
      </c>
      <c r="Q24" s="22">
        <f t="shared" si="2"/>
        <v>252.00526262376073</v>
      </c>
      <c r="R24" s="62">
        <f t="shared" si="0"/>
        <v>470.86279099963508</v>
      </c>
      <c r="S24" s="62">
        <f ca="1">AVERAGE(OFFSET($R$3,0,0,'Données projet'!$E$9+1,1))-AVERAGE(OFFSET($H$3,0,0,'Données projet'!$E$9+1,1))</f>
        <v>419.0448820879102</v>
      </c>
      <c r="T24" s="62">
        <f t="shared" si="34"/>
        <v>553.33038335026379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16.742490356462476</v>
      </c>
      <c r="AC24" s="24">
        <f t="shared" si="3"/>
        <v>16.742490356462476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13.8</v>
      </c>
      <c r="AI24" s="14">
        <f>IF('Données projet'!$A$62&gt;35,AI23+AH24-AQ23,IF(A24&lt;'Données projet'!$A$62,$AF$205^A24,IF(A24='Données projet'!$A$62,'Données projet'!$B$62,AI23+AH24-AQ23)))</f>
        <v>139.79999999999998</v>
      </c>
      <c r="AJ24" s="14">
        <f>AI24*VLOOKUP('Données projet'!$B$10,Paramètres!$A$1:$I$89,3,0)*VLOOKUP('Données projet'!$B$10,Paramètres!$A$1:$I$89,5,0)</f>
        <v>76.330799999999996</v>
      </c>
      <c r="AK24" s="14">
        <f t="shared" si="35"/>
        <v>21.237608988423052</v>
      </c>
      <c r="AL24" s="22">
        <f t="shared" si="4"/>
        <v>169.93164565483679</v>
      </c>
      <c r="AM24" s="62">
        <f t="shared" si="5"/>
        <v>388.78917403071114</v>
      </c>
      <c r="AN24" s="62">
        <f ca="1">AVERAGE(OFFSET($AM$3,0,0,'Données projet'!$E$10+1,1))-AVERAGE(OFFSET($H$3,0,0,'Données projet'!$E$10+1,1))</f>
        <v>221.57008282490327</v>
      </c>
      <c r="AO24" s="62">
        <f t="shared" si="36"/>
        <v>320.19912501885199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2.8630346509277125</v>
      </c>
      <c r="AW24" s="23">
        <f>EXP(-LN(2)/2)*AW23+(1-EXP(-LN(2)/2))/(LN(2)/2)*AQ24*AT24*VLOOKUP('Données projet'!$B$10,Paramètres!$A$1:$I$89,3,0)*0.475*44/12</f>
        <v>14.344855955457671</v>
      </c>
      <c r="AX24" s="23">
        <f t="shared" si="6"/>
        <v>17.207890606385384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16.8</v>
      </c>
      <c r="BD24" s="13">
        <f>IF('Données projet'!$A$88&gt;35,BD23+BC24-BL23,IF(A24&lt;'Données projet'!$A$88,$BA$205^A24,IF(A24='Données projet'!$A$88,'Données projet'!$B$88,BD23+BC24-BL23)))</f>
        <v>97.800000000000011</v>
      </c>
      <c r="BE24" s="14">
        <f>BD24*VLOOKUP('Données projet'!$B$11,Paramètres!$A$1:$I$89,3,0)*VLOOKUP('Données projet'!$B$11,Paramètres!$A$1:$I$89,5,0)</f>
        <v>71.706960000000009</v>
      </c>
      <c r="BF24" s="14">
        <f t="shared" si="37"/>
        <v>20.096759687088312</v>
      </c>
      <c r="BG24" s="22">
        <f t="shared" si="7"/>
        <v>159.89147845501216</v>
      </c>
      <c r="BH24" s="62">
        <f t="shared" si="8"/>
        <v>378.74900683088651</v>
      </c>
      <c r="BI24" s="62">
        <f ca="1">AVERAGE(OFFSET($BH$3,0,0,'Données projet'!$E$11+1,1))-AVERAGE(OFFSET($H$3,0,0,'Données projet'!$E$11+1,1))</f>
        <v>400.4480038202409</v>
      </c>
      <c r="BJ24" s="62">
        <f t="shared" si="38"/>
        <v>384.86917865380076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13.263929694507253</v>
      </c>
      <c r="BR24" s="23">
        <f>EXP(-LN(2)/2)*BR23+(1-EXP(-LN(2)/2))/(LN(2)/2)*BL24*BO24*VLOOKUP('Données projet'!$B$11,Paramètres!$A$1:$I$89,3,0)*0.475*44/12</f>
        <v>12.088574893274675</v>
      </c>
      <c r="BS24" s="24">
        <f t="shared" si="9"/>
        <v>25.35250458778193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27.097500000000004</v>
      </c>
      <c r="N25" s="14">
        <f>IF('Données projet'!$A$36&gt;35,N24+M25-V24,IF(A25&lt;'Données projet'!$A$36,$K$205^A25,IF(A25='Données projet'!$A$36,'Données projet'!$B$36,N24+M25-V24)))</f>
        <v>231.64249999999998</v>
      </c>
      <c r="O25" s="14">
        <f>N25*VLOOKUP('Données projet'!$B$9,Paramètres!$A$1:$I$89,3,0)*VLOOKUP('Données projet'!$B$9,Paramètres!$A$1:$I$89,5,0)</f>
        <v>129.4881575</v>
      </c>
      <c r="P25" s="14">
        <f t="shared" si="33"/>
        <v>33.878060417139011</v>
      </c>
      <c r="Q25" s="22">
        <f t="shared" si="2"/>
        <v>284.52949620568376</v>
      </c>
      <c r="R25" s="62">
        <f t="shared" si="0"/>
        <v>505.71041010915212</v>
      </c>
      <c r="S25" s="62">
        <f ca="1">AVERAGE(OFFSET($R$3,0,0,'Données projet'!$E$9+1,1))-AVERAGE(OFFSET($H$3,0,0,'Données projet'!$E$9+1,1))</f>
        <v>419.0448820879102</v>
      </c>
      <c r="T25" s="62">
        <f t="shared" si="34"/>
        <v>553.33038335026379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11.838728465004994</v>
      </c>
      <c r="AC25" s="24">
        <f t="shared" si="3"/>
        <v>11.838728465004994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13.8</v>
      </c>
      <c r="AI25" s="14">
        <f>IF('Données projet'!$A$62&gt;35,AI24+AH25-AQ24,IF(A25&lt;'Données projet'!$A$62,$AF$205^A25,IF(A25='Données projet'!$A$62,'Données projet'!$B$62,AI24+AH25-AQ24)))</f>
        <v>153.6</v>
      </c>
      <c r="AJ25" s="14">
        <f>AI25*VLOOKUP('Données projet'!$B$10,Paramètres!$A$1:$I$89,3,0)*VLOOKUP('Données projet'!$B$10,Paramètres!$A$1:$I$89,5,0)</f>
        <v>83.865600000000001</v>
      </c>
      <c r="AK25" s="14">
        <f t="shared" si="35"/>
        <v>23.079732033574274</v>
      </c>
      <c r="AL25" s="22">
        <f t="shared" si="4"/>
        <v>186.26311995847519</v>
      </c>
      <c r="AM25" s="62">
        <f t="shared" si="5"/>
        <v>407.44403386194358</v>
      </c>
      <c r="AN25" s="62">
        <f ca="1">AVERAGE(OFFSET($AM$3,0,0,'Données projet'!$E$10+1,1))-AVERAGE(OFFSET($H$3,0,0,'Données projet'!$E$10+1,1))</f>
        <v>221.57008282490327</v>
      </c>
      <c r="AO25" s="62">
        <f t="shared" si="36"/>
        <v>320.19912501885199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2.7847448178376455</v>
      </c>
      <c r="AW25" s="23">
        <f>EXP(-LN(2)/2)*AW24+(1-EXP(-LN(2)/2))/(LN(2)/2)*AQ25*AT25*VLOOKUP('Données projet'!$B$10,Paramètres!$A$1:$I$89,3,0)*0.475*44/12</f>
        <v>10.143344921248351</v>
      </c>
      <c r="AX25" s="23">
        <f t="shared" si="6"/>
        <v>12.928089739085998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16.8</v>
      </c>
      <c r="BD25" s="13">
        <f>IF('Données projet'!$A$88&gt;35,BD24+BC25-BL24,IF(A25&lt;'Données projet'!$A$88,$BA$205^A25,IF(A25='Données projet'!$A$88,'Données projet'!$B$88,BD24+BC25-BL24)))</f>
        <v>114.60000000000001</v>
      </c>
      <c r="BE25" s="14">
        <f>BD25*VLOOKUP('Données projet'!$B$11,Paramètres!$A$1:$I$89,3,0)*VLOOKUP('Données projet'!$B$11,Paramètres!$A$1:$I$89,5,0)</f>
        <v>84.024720000000002</v>
      </c>
      <c r="BF25" s="14">
        <f t="shared" si="37"/>
        <v>23.11842031654454</v>
      </c>
      <c r="BG25" s="22">
        <f t="shared" si="7"/>
        <v>186.6076360513151</v>
      </c>
      <c r="BH25" s="62">
        <f t="shared" si="8"/>
        <v>407.78854995478349</v>
      </c>
      <c r="BI25" s="62">
        <f ca="1">AVERAGE(OFFSET($BH$3,0,0,'Données projet'!$E$11+1,1))-AVERAGE(OFFSET($H$3,0,0,'Données projet'!$E$11+1,1))</f>
        <v>400.4480038202409</v>
      </c>
      <c r="BJ25" s="62">
        <f t="shared" si="38"/>
        <v>384.86917865380076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12.901226839491205</v>
      </c>
      <c r="BR25" s="23">
        <f>EXP(-LN(2)/2)*BR24+(1-EXP(-LN(2)/2))/(LN(2)/2)*BL25*BO25*VLOOKUP('Données projet'!$B$11,Paramètres!$A$1:$I$89,3,0)*0.475*44/12</f>
        <v>8.5479132819159691</v>
      </c>
      <c r="BS25" s="24">
        <f t="shared" si="9"/>
        <v>21.449140121407176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258.74</v>
      </c>
      <c r="L26" s="13">
        <f>VLOOKUP(A26,'Données projet'!$A$35:$I$55,9,0)</f>
        <v>27.097500000000004</v>
      </c>
      <c r="M26" s="13">
        <f t="array" ref="M26">INDEX(L:L,MIN(IF(ISNUMBER(L26:L222),ROW(L26:L222),"")))</f>
        <v>27.097500000000004</v>
      </c>
      <c r="N26" s="14">
        <f>IF('Données projet'!$A$36&gt;35,N25+M26-V25,IF(A26&lt;'Données projet'!$A$36,$K$205^A26,IF(A26='Données projet'!$A$36,'Données projet'!$B$36,N25+M26-V25)))</f>
        <v>258.74</v>
      </c>
      <c r="O26" s="14">
        <f>N26*VLOOKUP('Données projet'!$B$9,Paramètres!$A$1:$I$89,3,0)*VLOOKUP('Données projet'!$B$9,Paramètres!$A$1:$I$89,5,0)</f>
        <v>144.63566</v>
      </c>
      <c r="P26" s="14">
        <f t="shared" si="33"/>
        <v>37.356948366647352</v>
      </c>
      <c r="Q26" s="22">
        <f t="shared" si="2"/>
        <v>316.97045957191079</v>
      </c>
      <c r="R26" s="62">
        <f t="shared" si="0"/>
        <v>540.45565628145732</v>
      </c>
      <c r="S26" s="62">
        <f ca="1">AVERAGE(OFFSET($R$3,0,0,'Données projet'!$E$9+1,1))-AVERAGE(OFFSET($H$3,0,0,'Données projet'!$E$9+1,1))</f>
        <v>419.0448820879102</v>
      </c>
      <c r="T26" s="62">
        <f t="shared" si="34"/>
        <v>553.33038335026379</v>
      </c>
      <c r="U26" s="16">
        <f>IF(ISNA(VLOOKUP(A26,'Données projet'!$A$35:$I$55,3,0)),0,VLOOKUP(A26,'Données projet'!$A$35:$I$55,3,0))</f>
        <v>4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8.3712451782312378</v>
      </c>
      <c r="AC26" s="24">
        <f t="shared" si="3"/>
        <v>8.3712451782312378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13.8</v>
      </c>
      <c r="AI26" s="14">
        <f>IF('Données projet'!$A$62&gt;35,AI25+AH26-AQ25,IF(A26&lt;'Données projet'!$A$62,$AF$205^A26,IF(A26='Données projet'!$A$62,'Données projet'!$B$62,AI25+AH26-AQ25)))</f>
        <v>167.4</v>
      </c>
      <c r="AJ26" s="14">
        <f>AI26*VLOOKUP('Données projet'!$B$10,Paramètres!$A$1:$I$89,3,0)*VLOOKUP('Données projet'!$B$10,Paramètres!$A$1:$I$89,5,0)</f>
        <v>91.400399999999991</v>
      </c>
      <c r="AK26" s="14">
        <f t="shared" si="35"/>
        <v>24.902663651802118</v>
      </c>
      <c r="AL26" s="22">
        <f t="shared" si="4"/>
        <v>202.56116919355532</v>
      </c>
      <c r="AM26" s="62">
        <f t="shared" si="5"/>
        <v>426.04636590310179</v>
      </c>
      <c r="AN26" s="62">
        <f ca="1">AVERAGE(OFFSET($AM$3,0,0,'Données projet'!$E$10+1,1))-AVERAGE(OFFSET($H$3,0,0,'Données projet'!$E$10+1,1))</f>
        <v>221.57008282490327</v>
      </c>
      <c r="AO26" s="62">
        <f t="shared" si="36"/>
        <v>320.19912501885199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2.7085958243505099</v>
      </c>
      <c r="AW26" s="23">
        <f>EXP(-LN(2)/2)*AW25+(1-EXP(-LN(2)/2))/(LN(2)/2)*AQ26*AT26*VLOOKUP('Données projet'!$B$10,Paramètres!$A$1:$I$89,3,0)*0.475*44/12</f>
        <v>7.1724279777288364</v>
      </c>
      <c r="AX26" s="23">
        <f t="shared" si="6"/>
        <v>9.8810238020793459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16.8</v>
      </c>
      <c r="BD26" s="13">
        <f>IF('Données projet'!$A$88&gt;35,BD25+BC26-BL25,IF(A26&lt;'Données projet'!$A$88,$BA$205^A26,IF(A26='Données projet'!$A$88,'Données projet'!$B$88,BD25+BC26-BL25)))</f>
        <v>131.4</v>
      </c>
      <c r="BE26" s="14">
        <f>BD26*VLOOKUP('Données projet'!$B$11,Paramètres!$A$1:$I$89,3,0)*VLOOKUP('Données projet'!$B$11,Paramètres!$A$1:$I$89,5,0)</f>
        <v>96.342480000000009</v>
      </c>
      <c r="BF26" s="14">
        <f t="shared" si="37"/>
        <v>26.088763268244669</v>
      </c>
      <c r="BG26" s="22">
        <f t="shared" si="7"/>
        <v>213.23441535885948</v>
      </c>
      <c r="BH26" s="62">
        <f t="shared" si="8"/>
        <v>436.71961206840598</v>
      </c>
      <c r="BI26" s="62">
        <f ca="1">AVERAGE(OFFSET($BH$3,0,0,'Données projet'!$E$11+1,1))-AVERAGE(OFFSET($H$3,0,0,'Données projet'!$E$11+1,1))</f>
        <v>400.4480038202409</v>
      </c>
      <c r="BJ26" s="62">
        <f t="shared" si="38"/>
        <v>384.86917865380076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12.548442113119284</v>
      </c>
      <c r="BR26" s="23">
        <f>EXP(-LN(2)/2)*BR25+(1-EXP(-LN(2)/2))/(LN(2)/2)*BL26*BO26*VLOOKUP('Données projet'!$B$11,Paramètres!$A$1:$I$89,3,0)*0.475*44/12</f>
        <v>6.0442874466373393</v>
      </c>
      <c r="BS26" s="24">
        <f t="shared" si="9"/>
        <v>18.592729559756624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>
        <f>VLOOKUP(A27,'Données projet'!$A$35:$I$55,2,0)</f>
        <v>289.08999999999997</v>
      </c>
      <c r="L27" s="13">
        <f>VLOOKUP(A27,'Données projet'!$A$35:$I$55,9,0)</f>
        <v>30.349999999999966</v>
      </c>
      <c r="M27" s="13">
        <f t="array" ref="M27">INDEX(L:L,MIN(IF(ISNUMBER(L27:L223),ROW(L27:L223),"")))</f>
        <v>30.349999999999966</v>
      </c>
      <c r="N27" s="14">
        <f>IF('Données projet'!$A$36&gt;35,N26+M27-V26,IF(A27&lt;'Données projet'!$A$36,$K$205^A27,IF(A27='Données projet'!$A$36,'Données projet'!$B$36,N26+M27-V26)))</f>
        <v>289.08999999999997</v>
      </c>
      <c r="O27" s="14">
        <f>N27*VLOOKUP('Données projet'!$B$9,Paramètres!$A$1:$I$89,3,0)*VLOOKUP('Données projet'!$B$9,Paramètres!$A$1:$I$89,5,0)</f>
        <v>161.60130999999998</v>
      </c>
      <c r="P27" s="14">
        <f t="shared" si="33"/>
        <v>41.203485747561459</v>
      </c>
      <c r="Q27" s="22">
        <f t="shared" si="2"/>
        <v>353.21835259366952</v>
      </c>
      <c r="R27" s="62">
        <f t="shared" si="0"/>
        <v>578.9890607772893</v>
      </c>
      <c r="S27" s="62">
        <f ca="1">AVERAGE(OFFSET($R$3,0,0,'Données projet'!$E$9+1,1))-AVERAGE(OFFSET($H$3,0,0,'Données projet'!$E$9+1,1))</f>
        <v>419.0448820879102</v>
      </c>
      <c r="T27" s="62">
        <f t="shared" si="34"/>
        <v>553.33038335026379</v>
      </c>
      <c r="U27" s="16">
        <f>IF(ISNA(VLOOKUP(A27,'Données projet'!$A$35:$I$55,3,0)),0,VLOOKUP(A27,'Données projet'!$A$35:$I$55,3,0))</f>
        <v>5</v>
      </c>
      <c r="V27" s="16">
        <f>IF(ISNA(VLOOKUP(A27,'Données projet'!$A$35:$I$55,4,0)),0,VLOOKUP(A27,'Données projet'!$A$35:$I$55,4,0))</f>
        <v>51.39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1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38.445012765868256</v>
      </c>
      <c r="AC27" s="24">
        <f t="shared" si="3"/>
        <v>38.445012765868256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13.8</v>
      </c>
      <c r="AI27" s="14">
        <f>IF('Données projet'!$A$62&gt;35,AI26+AH27-AQ26,IF(A27&lt;'Données projet'!$A$62,$AF$205^A27,IF(A27='Données projet'!$A$62,'Données projet'!$B$62,AI26+AH27-AQ26)))</f>
        <v>181.20000000000002</v>
      </c>
      <c r="AJ27" s="14">
        <f>AI27*VLOOKUP('Données projet'!$B$10,Paramètres!$A$1:$I$89,3,0)*VLOOKUP('Données projet'!$B$10,Paramètres!$A$1:$I$89,5,0)</f>
        <v>98.935200000000009</v>
      </c>
      <c r="AK27" s="14">
        <f t="shared" si="35"/>
        <v>26.708165799953093</v>
      </c>
      <c r="AL27" s="22">
        <f t="shared" si="4"/>
        <v>218.82886210158497</v>
      </c>
      <c r="AM27" s="62">
        <f t="shared" si="5"/>
        <v>444.59957028520478</v>
      </c>
      <c r="AN27" s="62">
        <f ca="1">AVERAGE(OFFSET($AM$3,0,0,'Données projet'!$E$10+1,1))-AVERAGE(OFFSET($H$3,0,0,'Données projet'!$E$10+1,1))</f>
        <v>221.57008282490327</v>
      </c>
      <c r="AO27" s="62">
        <f t="shared" si="36"/>
        <v>320.19912501885199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2.6345291290947812</v>
      </c>
      <c r="AW27" s="23">
        <f>EXP(-LN(2)/2)*AW26+(1-EXP(-LN(2)/2))/(LN(2)/2)*AQ27*AT27*VLOOKUP('Données projet'!$B$10,Paramètres!$A$1:$I$89,3,0)*0.475*44/12</f>
        <v>5.0716724606241765</v>
      </c>
      <c r="AX27" s="23">
        <f t="shared" si="6"/>
        <v>7.7062015897189582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16.8</v>
      </c>
      <c r="BD27" s="13">
        <f>IF('Données projet'!$A$88&gt;35,BD26+BC27-BL26,IF(A27&lt;'Données projet'!$A$88,$BA$205^A27,IF(A27='Données projet'!$A$88,'Données projet'!$B$88,BD26+BC27-BL26)))</f>
        <v>148.20000000000002</v>
      </c>
      <c r="BE27" s="14">
        <f>BD27*VLOOKUP('Données projet'!$B$11,Paramètres!$A$1:$I$89,3,0)*VLOOKUP('Données projet'!$B$11,Paramètres!$A$1:$I$89,5,0)</f>
        <v>108.66024000000002</v>
      </c>
      <c r="BF27" s="14">
        <f t="shared" si="37"/>
        <v>29.015101890437414</v>
      </c>
      <c r="BG27" s="22">
        <f t="shared" si="7"/>
        <v>239.78455379251184</v>
      </c>
      <c r="BH27" s="62">
        <f t="shared" si="8"/>
        <v>465.55526197613165</v>
      </c>
      <c r="BI27" s="62">
        <f ca="1">AVERAGE(OFFSET($BH$3,0,0,'Données projet'!$E$11+1,1))-AVERAGE(OFFSET($H$3,0,0,'Données projet'!$E$11+1,1))</f>
        <v>400.4480038202409</v>
      </c>
      <c r="BJ27" s="62">
        <f t="shared" si="38"/>
        <v>384.86917865380076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12.205304303642146</v>
      </c>
      <c r="BR27" s="23">
        <f>EXP(-LN(2)/2)*BR26+(1-EXP(-LN(2)/2))/(LN(2)/2)*BL27*BO27*VLOOKUP('Données projet'!$B$11,Paramètres!$A$1:$I$89,3,0)*0.475*44/12</f>
        <v>4.2739566409579854</v>
      </c>
      <c r="BS27" s="24">
        <f t="shared" si="9"/>
        <v>16.479260944600131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27.550000000000011</v>
      </c>
      <c r="N28" s="14">
        <f>IF('Données projet'!$A$36&gt;35,N27+M28-V27,IF(A28&lt;'Données projet'!$A$36,$K$205^A28,IF(A28='Données projet'!$A$36,'Données projet'!$B$36,N27+M28-V27)))</f>
        <v>265.25</v>
      </c>
      <c r="O28" s="14">
        <f>N28*VLOOKUP('Données projet'!$B$9,Paramètres!$A$1:$I$89,3,0)*VLOOKUP('Données projet'!$B$9,Paramètres!$A$1:$I$89,5,0)</f>
        <v>148.27475000000001</v>
      </c>
      <c r="P28" s="14">
        <f t="shared" si="33"/>
        <v>38.186252787335206</v>
      </c>
      <c r="Q28" s="22">
        <f t="shared" si="2"/>
        <v>324.75291318794217</v>
      </c>
      <c r="R28" s="62">
        <f t="shared" si="0"/>
        <v>552.79068715427434</v>
      </c>
      <c r="S28" s="62">
        <f ca="1">AVERAGE(OFFSET($R$3,0,0,'Données projet'!$E$9+1,1))-AVERAGE(OFFSET($H$3,0,0,'Données projet'!$E$9+1,1))</f>
        <v>419.0448820879102</v>
      </c>
      <c r="T28" s="62">
        <f t="shared" si="34"/>
        <v>553.33038335026379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27.184729229548832</v>
      </c>
      <c r="AC28" s="24">
        <f t="shared" si="3"/>
        <v>27.184729229548832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195</v>
      </c>
      <c r="AG28" s="13">
        <f>VLOOKUP(A28,'Données projet'!$A$61:$I$81,9,0)</f>
        <v>13.8</v>
      </c>
      <c r="AH28" s="13">
        <f t="array" ref="AH28">INDEX(AG:AG,MIN(IF(ISNUMBER(AG28:AG224),ROW(AG28:AG224),"")))</f>
        <v>13.8</v>
      </c>
      <c r="AI28" s="14">
        <f>IF('Données projet'!$A$62&gt;35,AI27+AH28-AQ27,IF(A28&lt;'Données projet'!$A$62,$AF$205^A28,IF(A28='Données projet'!$A$62,'Données projet'!$B$62,AI27+AH28-AQ27)))</f>
        <v>195.00000000000003</v>
      </c>
      <c r="AJ28" s="14">
        <f>AI28*VLOOKUP('Données projet'!$B$10,Paramètres!$A$1:$I$89,3,0)*VLOOKUP('Données projet'!$B$10,Paramètres!$A$1:$I$89,5,0)</f>
        <v>106.47000000000001</v>
      </c>
      <c r="AK28" s="14">
        <f t="shared" si="35"/>
        <v>28.49771681771891</v>
      </c>
      <c r="AL28" s="22">
        <f t="shared" si="4"/>
        <v>235.0687734575271</v>
      </c>
      <c r="AM28" s="62">
        <f t="shared" si="5"/>
        <v>463.10654742385918</v>
      </c>
      <c r="AN28" s="62">
        <f ca="1">AVERAGE(OFFSET($AM$3,0,0,'Données projet'!$E$10+1,1))-AVERAGE(OFFSET($H$3,0,0,'Données projet'!$E$10+1,1))</f>
        <v>221.57008282490327</v>
      </c>
      <c r="AO28" s="62">
        <f t="shared" si="36"/>
        <v>320.19912501885199</v>
      </c>
      <c r="AP28" s="16">
        <f>IF(ISNA(VLOOKUP(A28,'Données projet'!$A$61:$I$81,3,0)),0,VLOOKUP(A28,'Données projet'!$A$61:$I$81,3,0))</f>
        <v>4</v>
      </c>
      <c r="AQ28" s="16">
        <f>IF(ISNA(VLOOKUP(A28,'Données projet'!$A$61:$I$81,4,0)),0,VLOOKUP(A28,'Données projet'!$A$61:$I$81,4,0))</f>
        <v>32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0.12</v>
      </c>
      <c r="AT28" s="17">
        <f>IF(ISNA(VLOOKUP(A28,'Données projet'!$A$61:$I$81,7,0)),0%,VLOOKUP(A28,'Données projet'!$A$61:$I$81,7,0))</f>
        <v>0.8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5.332864742870365</v>
      </c>
      <c r="AW28" s="23">
        <f>EXP(-LN(2)/2)*AW27+(1-EXP(-LN(2)/2))/(LN(2)/2)*AQ28*AT28*VLOOKUP('Données projet'!$B$10,Paramètres!$A$1:$I$89,3,0)*0.475*44/12</f>
        <v>19.41210415077035</v>
      </c>
      <c r="AX28" s="23">
        <f t="shared" si="6"/>
        <v>24.744968893640717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165</v>
      </c>
      <c r="BB28" s="13">
        <f>VLOOKUP(A28,'Données projet'!$A$87:$I$107,9,0)</f>
        <v>16.8</v>
      </c>
      <c r="BC28" s="13">
        <f t="array" ref="BC28">INDEX(BB:BB,MIN(IF(ISNUMBER(BB28:BB224),ROW(BB28:BB224),"")))</f>
        <v>16.8</v>
      </c>
      <c r="BD28" s="13">
        <f>IF('Données projet'!$A$88&gt;35,BD27+BC28-BL27,IF(A28&lt;'Données projet'!$A$88,$BA$205^A28,IF(A28='Données projet'!$A$88,'Données projet'!$B$88,BD27+BC28-BL27)))</f>
        <v>165.00000000000003</v>
      </c>
      <c r="BE28" s="14">
        <f>BD28*VLOOKUP('Données projet'!$B$11,Paramètres!$A$1:$I$89,3,0)*VLOOKUP('Données projet'!$B$11,Paramètres!$A$1:$I$89,5,0)</f>
        <v>120.97800000000002</v>
      </c>
      <c r="BF28" s="14">
        <f t="shared" si="37"/>
        <v>31.902993864447531</v>
      </c>
      <c r="BG28" s="22">
        <f t="shared" si="7"/>
        <v>266.26773098057953</v>
      </c>
      <c r="BH28" s="62">
        <f t="shared" si="8"/>
        <v>494.30550494691164</v>
      </c>
      <c r="BI28" s="62">
        <f ca="1">AVERAGE(OFFSET($BH$3,0,0,'Données projet'!$E$11+1,1))-AVERAGE(OFFSET($H$3,0,0,'Données projet'!$E$11+1,1))</f>
        <v>400.4480038202409</v>
      </c>
      <c r="BJ28" s="62">
        <f t="shared" si="38"/>
        <v>384.86917865380076</v>
      </c>
      <c r="BK28" s="16">
        <f>IF(ISNA(VLOOKUP(A28,'Données projet'!$A$87:$I$107,3,0)),0,VLOOKUP(A28,'Données projet'!$A$87:$I$107,3,0))</f>
        <v>4</v>
      </c>
      <c r="BL28" s="16">
        <f>IF(ISNA(VLOOKUP(A28,'Données projet'!$A$87:$I$107,4,0)),0,VLOOKUP(A28,'Données projet'!$A$87:$I$107,4,0))</f>
        <v>42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0.25800000000000001</v>
      </c>
      <c r="BO28" s="17">
        <f>IF(ISNA(VLOOKUP(A28,'Données projet'!$A$87:$I$107,7,0)),0%,VLOOKUP(A28,'Données projet'!$A$87:$I$107,7,0))</f>
        <v>0.4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20.619880582309271</v>
      </c>
      <c r="BR28" s="23">
        <f>EXP(-LN(2)/2)*BR27+(1-EXP(-LN(2)/2))/(LN(2)/2)*BL28*BO28*VLOOKUP('Données projet'!$B$11,Paramètres!$A$1:$I$89,3,0)*0.475*44/12</f>
        <v>14.644281810968337</v>
      </c>
      <c r="BS28" s="24">
        <f t="shared" si="9"/>
        <v>35.264162393277608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>
        <f>VLOOKUP(A29,'Données projet'!$A$35:$I$55,2,0)</f>
        <v>292.8</v>
      </c>
      <c r="L29" s="13">
        <f>VLOOKUP(A29,'Données projet'!$A$35:$I$55,9,0)</f>
        <v>27.550000000000011</v>
      </c>
      <c r="M29" s="13">
        <f t="array" ref="M29">INDEX(L:L,MIN(IF(ISNUMBER(L29:L225),ROW(L29:L225),"")))</f>
        <v>27.550000000000011</v>
      </c>
      <c r="N29" s="14">
        <f>IF('Données projet'!$A$36&gt;35,N28+M29-V28,IF(A29&lt;'Données projet'!$A$36,$K$205^A29,IF(A29='Données projet'!$A$36,'Données projet'!$B$36,N28+M29-V28)))</f>
        <v>292.8</v>
      </c>
      <c r="O29" s="14">
        <f>N29*VLOOKUP('Données projet'!$B$9,Paramètres!$A$1:$I$89,3,0)*VLOOKUP('Données projet'!$B$9,Paramètres!$A$1:$I$89,5,0)</f>
        <v>163.67519999999999</v>
      </c>
      <c r="P29" s="14">
        <f t="shared" si="33"/>
        <v>41.670368197291587</v>
      </c>
      <c r="Q29" s="22">
        <f t="shared" si="2"/>
        <v>357.64353127694949</v>
      </c>
      <c r="R29" s="62">
        <f t="shared" si="0"/>
        <v>587.9302453261397</v>
      </c>
      <c r="S29" s="62">
        <f ca="1">AVERAGE(OFFSET($R$3,0,0,'Données projet'!$E$9+1,1))-AVERAGE(OFFSET($H$3,0,0,'Données projet'!$E$9+1,1))</f>
        <v>419.0448820879102</v>
      </c>
      <c r="T29" s="62">
        <f t="shared" si="34"/>
        <v>553.33038335026379</v>
      </c>
      <c r="U29" s="16">
        <f>IF(ISNA(VLOOKUP(A29,'Données projet'!$A$35:$I$55,3,0)),0,VLOOKUP(A29,'Données projet'!$A$35:$I$55,3,0))</f>
        <v>6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19.222506382934132</v>
      </c>
      <c r="AC29" s="24">
        <f t="shared" si="3"/>
        <v>19.222506382934132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11.4</v>
      </c>
      <c r="AI29" s="14">
        <f>IF('Données projet'!$A$62&gt;35,AI28+AH29-AQ28,IF(A29&lt;'Données projet'!$A$62,$AF$205^A29,IF(A29='Données projet'!$A$62,'Données projet'!$B$62,AI28+AH29-AQ28)))</f>
        <v>174.40000000000003</v>
      </c>
      <c r="AJ29" s="14">
        <f>AI29*VLOOKUP('Données projet'!$B$10,Paramètres!$A$1:$I$89,3,0)*VLOOKUP('Données projet'!$B$10,Paramètres!$A$1:$I$89,5,0)</f>
        <v>95.222400000000007</v>
      </c>
      <c r="AK29" s="14">
        <f t="shared" si="35"/>
        <v>25.82057766648499</v>
      </c>
      <c r="AL29" s="22">
        <f t="shared" si="4"/>
        <v>210.8165194357947</v>
      </c>
      <c r="AM29" s="62">
        <f t="shared" si="5"/>
        <v>441.10323348498491</v>
      </c>
      <c r="AN29" s="62">
        <f ca="1">AVERAGE(OFFSET($AM$3,0,0,'Données projet'!$E$10+1,1))-AVERAGE(OFFSET($H$3,0,0,'Données projet'!$E$10+1,1))</f>
        <v>221.57008282490327</v>
      </c>
      <c r="AO29" s="62">
        <f t="shared" si="36"/>
        <v>320.19912501885199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5.1870372760334069</v>
      </c>
      <c r="AW29" s="23">
        <f>EXP(-LN(2)/2)*AW28+(1-EXP(-LN(2)/2))/(LN(2)/2)*AQ29*AT29*VLOOKUP('Données projet'!$B$10,Paramètres!$A$1:$I$89,3,0)*0.475*44/12</f>
        <v>13.726430482109242</v>
      </c>
      <c r="AX29" s="23">
        <f t="shared" si="6"/>
        <v>18.913467758142648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16.399999999999999</v>
      </c>
      <c r="BD29" s="13">
        <f>IF('Données projet'!$A$88&gt;35,BD28+BC29-BL28,IF(A29&lt;'Données projet'!$A$88,$BA$205^A29,IF(A29='Données projet'!$A$88,'Données projet'!$B$88,BD28+BC29-BL28)))</f>
        <v>139.40000000000003</v>
      </c>
      <c r="BE29" s="14">
        <f>BD29*VLOOKUP('Données projet'!$B$11,Paramètres!$A$1:$I$89,3,0)*VLOOKUP('Données projet'!$B$11,Paramètres!$A$1:$I$89,5,0)</f>
        <v>102.20808000000002</v>
      </c>
      <c r="BF29" s="14">
        <f t="shared" si="37"/>
        <v>27.487371629246301</v>
      </c>
      <c r="BG29" s="22">
        <f t="shared" si="7"/>
        <v>225.88624492093732</v>
      </c>
      <c r="BH29" s="62">
        <f t="shared" si="8"/>
        <v>456.17295897012752</v>
      </c>
      <c r="BI29" s="62">
        <f ca="1">AVERAGE(OFFSET($BH$3,0,0,'Données projet'!$E$11+1,1))-AVERAGE(OFFSET($H$3,0,0,'Données projet'!$E$11+1,1))</f>
        <v>400.4480038202409</v>
      </c>
      <c r="BJ29" s="62">
        <f t="shared" si="38"/>
        <v>384.86917865380076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20.056028863433632</v>
      </c>
      <c r="BR29" s="23">
        <f>EXP(-LN(2)/2)*BR28+(1-EXP(-LN(2)/2))/(LN(2)/2)*BL29*BO29*VLOOKUP('Données projet'!$B$11,Paramètres!$A$1:$I$89,3,0)*0.475*44/12</f>
        <v>10.355070974142526</v>
      </c>
      <c r="BS29" s="24">
        <f t="shared" si="9"/>
        <v>30.41109983757616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28.629999999999995</v>
      </c>
      <c r="N30" s="14">
        <f>IF('Données projet'!$A$36&gt;35,N29+M30-V29,IF(A30&lt;'Données projet'!$A$36,$K$205^A30,IF(A30='Données projet'!$A$36,'Données projet'!$B$36,N29+M30-V29)))</f>
        <v>321.43</v>
      </c>
      <c r="O30" s="14">
        <f>N30*VLOOKUP('Données projet'!$B$9,Paramètres!$A$1:$I$89,3,0)*VLOOKUP('Données projet'!$B$9,Paramètres!$A$1:$I$89,5,0)</f>
        <v>179.67937000000001</v>
      </c>
      <c r="P30" s="14">
        <f t="shared" si="33"/>
        <v>45.250844498664819</v>
      </c>
      <c r="Q30" s="22">
        <f t="shared" si="2"/>
        <v>391.75345691850794</v>
      </c>
      <c r="R30" s="62">
        <f t="shared" si="0"/>
        <v>624.27129979107144</v>
      </c>
      <c r="S30" s="62">
        <f ca="1">AVERAGE(OFFSET($R$3,0,0,'Données projet'!$E$9+1,1))-AVERAGE(OFFSET($H$3,0,0,'Données projet'!$E$9+1,1))</f>
        <v>419.0448820879102</v>
      </c>
      <c r="T30" s="62">
        <f t="shared" si="34"/>
        <v>553.33038335026379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13.59236461477442</v>
      </c>
      <c r="AC30" s="24">
        <f t="shared" si="3"/>
        <v>13.59236461477442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11.4</v>
      </c>
      <c r="AI30" s="14">
        <f>IF('Données projet'!$A$62&gt;35,AI29+AH30-AQ29,IF(A30&lt;'Données projet'!$A$62,$AF$205^A30,IF(A30='Données projet'!$A$62,'Données projet'!$B$62,AI29+AH30-AQ29)))</f>
        <v>185.80000000000004</v>
      </c>
      <c r="AJ30" s="14">
        <f>AI30*VLOOKUP('Données projet'!$B$10,Paramètres!$A$1:$I$89,3,0)*VLOOKUP('Données projet'!$B$10,Paramètres!$A$1:$I$89,5,0)</f>
        <v>101.44680000000002</v>
      </c>
      <c r="AK30" s="14">
        <f t="shared" si="35"/>
        <v>27.306389014591463</v>
      </c>
      <c r="AL30" s="22">
        <f t="shared" si="4"/>
        <v>224.24513753374686</v>
      </c>
      <c r="AM30" s="62">
        <f t="shared" si="5"/>
        <v>456.76298040631036</v>
      </c>
      <c r="AN30" s="62">
        <f ca="1">AVERAGE(OFFSET($AM$3,0,0,'Données projet'!$E$10+1,1))-AVERAGE(OFFSET($H$3,0,0,'Données projet'!$E$10+1,1))</f>
        <v>221.57008282490327</v>
      </c>
      <c r="AO30" s="62">
        <f t="shared" si="36"/>
        <v>320.19912501885199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5.0451974689458385</v>
      </c>
      <c r="AW30" s="23">
        <f>EXP(-LN(2)/2)*AW29+(1-EXP(-LN(2)/2))/(LN(2)/2)*AQ30*AT30*VLOOKUP('Données projet'!$B$10,Paramètres!$A$1:$I$89,3,0)*0.475*44/12</f>
        <v>9.7060520753851769</v>
      </c>
      <c r="AX30" s="23">
        <f t="shared" si="6"/>
        <v>14.751249544331015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16.399999999999999</v>
      </c>
      <c r="BD30" s="13">
        <f>IF('Données projet'!$A$88&gt;35,BD29+BC30-BL29,IF(A30&lt;'Données projet'!$A$88,$BA$205^A30,IF(A30='Données projet'!$A$88,'Données projet'!$B$88,BD29+BC30-BL29)))</f>
        <v>155.80000000000004</v>
      </c>
      <c r="BE30" s="14">
        <f>BD30*VLOOKUP('Données projet'!$B$11,Paramètres!$A$1:$I$89,3,0)*VLOOKUP('Données projet'!$B$11,Paramètres!$A$1:$I$89,5,0)</f>
        <v>114.23256000000002</v>
      </c>
      <c r="BF30" s="14">
        <f t="shared" si="37"/>
        <v>30.326006869580301</v>
      </c>
      <c r="BG30" s="22">
        <f t="shared" si="7"/>
        <v>251.77283729785236</v>
      </c>
      <c r="BH30" s="62">
        <f t="shared" si="8"/>
        <v>484.29068017041584</v>
      </c>
      <c r="BI30" s="62">
        <f ca="1">AVERAGE(OFFSET($BH$3,0,0,'Données projet'!$E$11+1,1))-AVERAGE(OFFSET($H$3,0,0,'Données projet'!$E$11+1,1))</f>
        <v>400.4480038202409</v>
      </c>
      <c r="BJ30" s="62">
        <f t="shared" si="38"/>
        <v>384.86917865380076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19.507595699462321</v>
      </c>
      <c r="BR30" s="23">
        <f>EXP(-LN(2)/2)*BR29+(1-EXP(-LN(2)/2))/(LN(2)/2)*BL30*BO30*VLOOKUP('Données projet'!$B$11,Paramètres!$A$1:$I$89,3,0)*0.475*44/12</f>
        <v>7.3221409054841695</v>
      </c>
      <c r="BS30" s="24">
        <f t="shared" si="9"/>
        <v>26.82973660494649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>
        <f>VLOOKUP(A31,'Données projet'!$A$35:$I$55,2,0)</f>
        <v>350.06</v>
      </c>
      <c r="L31" s="13">
        <f>VLOOKUP(A31,'Données projet'!$A$35:$I$55,9,0)</f>
        <v>28.629999999999995</v>
      </c>
      <c r="M31" s="13">
        <f t="array" ref="M31">INDEX(L:L,MIN(IF(ISNUMBER(L31:L227),ROW(L31:L227),"")))</f>
        <v>28.629999999999995</v>
      </c>
      <c r="N31" s="14">
        <f>IF('Données projet'!$A$36&gt;35,N30+M31-V30,IF(A31&lt;'Données projet'!$A$36,$K$205^A31,IF(A31='Données projet'!$A$36,'Données projet'!$B$36,N30+M31-V30)))</f>
        <v>350.06</v>
      </c>
      <c r="O31" s="14">
        <f>N31*VLOOKUP('Données projet'!$B$9,Paramètres!$A$1:$I$89,3,0)*VLOOKUP('Données projet'!$B$9,Paramètres!$A$1:$I$89,5,0)</f>
        <v>195.68354000000002</v>
      </c>
      <c r="P31" s="14">
        <f t="shared" si="33"/>
        <v>48.79433922175842</v>
      </c>
      <c r="Q31" s="22">
        <f t="shared" si="2"/>
        <v>425.79897297789597</v>
      </c>
      <c r="R31" s="62">
        <f t="shared" si="0"/>
        <v>660.53044239988003</v>
      </c>
      <c r="S31" s="62">
        <f ca="1">AVERAGE(OFFSET($R$3,0,0,'Données projet'!$E$9+1,1))-AVERAGE(OFFSET($H$3,0,0,'Données projet'!$E$9+1,1))</f>
        <v>419.0448820879102</v>
      </c>
      <c r="T31" s="62">
        <f t="shared" si="34"/>
        <v>553.33038335026379</v>
      </c>
      <c r="U31" s="16">
        <f>IF(ISNA(VLOOKUP(A31,'Données projet'!$A$35:$I$55,3,0)),0,VLOOKUP(A31,'Données projet'!$A$35:$I$55,3,0))</f>
        <v>7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9.6112531914670676</v>
      </c>
      <c r="AC31" s="24">
        <f t="shared" si="3"/>
        <v>9.6112531914670676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11.4</v>
      </c>
      <c r="AI31" s="14">
        <f>IF('Données projet'!$A$62&gt;35,AI30+AH31-AQ30,IF(A31&lt;'Données projet'!$A$62,$AF$205^A31,IF(A31='Données projet'!$A$62,'Données projet'!$B$62,AI30+AH31-AQ30)))</f>
        <v>197.20000000000005</v>
      </c>
      <c r="AJ31" s="14">
        <f>AI31*VLOOKUP('Données projet'!$B$10,Paramètres!$A$1:$I$89,3,0)*VLOOKUP('Données projet'!$B$10,Paramètres!$A$1:$I$89,5,0)</f>
        <v>107.67120000000001</v>
      </c>
      <c r="AK31" s="14">
        <f t="shared" si="35"/>
        <v>28.781619683258381</v>
      </c>
      <c r="AL31" s="22">
        <f t="shared" si="4"/>
        <v>237.65532761500836</v>
      </c>
      <c r="AM31" s="62">
        <f t="shared" si="5"/>
        <v>472.38679703699245</v>
      </c>
      <c r="AN31" s="62">
        <f ca="1">AVERAGE(OFFSET($AM$3,0,0,'Données projet'!$E$10+1,1))-AVERAGE(OFFSET($H$3,0,0,'Données projet'!$E$10+1,1))</f>
        <v>221.57008282490327</v>
      </c>
      <c r="AO31" s="62">
        <f t="shared" si="36"/>
        <v>320.19912501885199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4.9072362788421104</v>
      </c>
      <c r="AW31" s="23">
        <f>EXP(-LN(2)/2)*AW30+(1-EXP(-LN(2)/2))/(LN(2)/2)*AQ31*AT31*VLOOKUP('Données projet'!$B$10,Paramètres!$A$1:$I$89,3,0)*0.475*44/12</f>
        <v>6.8632152410546219</v>
      </c>
      <c r="AX31" s="23">
        <f t="shared" si="6"/>
        <v>11.770451519896731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16.399999999999999</v>
      </c>
      <c r="BD31" s="13">
        <f>IF('Données projet'!$A$88&gt;35,BD30+BC31-BL30,IF(A31&lt;'Données projet'!$A$88,$BA$205^A31,IF(A31='Données projet'!$A$88,'Données projet'!$B$88,BD30+BC31-BL30)))</f>
        <v>172.20000000000005</v>
      </c>
      <c r="BE31" s="14">
        <f>BD31*VLOOKUP('Données projet'!$B$11,Paramètres!$A$1:$I$89,3,0)*VLOOKUP('Données projet'!$B$11,Paramètres!$A$1:$I$89,5,0)</f>
        <v>126.25704000000002</v>
      </c>
      <c r="BF31" s="14">
        <f t="shared" si="37"/>
        <v>33.130006114881255</v>
      </c>
      <c r="BG31" s="22">
        <f t="shared" si="7"/>
        <v>277.59910531675155</v>
      </c>
      <c r="BH31" s="62">
        <f t="shared" si="8"/>
        <v>512.33057473873566</v>
      </c>
      <c r="BI31" s="62">
        <f ca="1">AVERAGE(OFFSET($BH$3,0,0,'Données projet'!$E$11+1,1))-AVERAGE(OFFSET($H$3,0,0,'Données projet'!$E$11+1,1))</f>
        <v>400.4480038202409</v>
      </c>
      <c r="BJ31" s="62">
        <f t="shared" si="38"/>
        <v>384.86917865380076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18.97415946920065</v>
      </c>
      <c r="BR31" s="23">
        <f>EXP(-LN(2)/2)*BR30+(1-EXP(-LN(2)/2))/(LN(2)/2)*BL31*BO31*VLOOKUP('Données projet'!$B$11,Paramètres!$A$1:$I$89,3,0)*0.475*44/12</f>
        <v>5.177535487071264</v>
      </c>
      <c r="BS31" s="24">
        <f t="shared" si="9"/>
        <v>24.151694956271914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30.25</v>
      </c>
      <c r="N32" s="14">
        <f>IF('Données projet'!$A$36&gt;35,N31+M32-V31,IF(A32&lt;'Données projet'!$A$36,$K$205^A32,IF(A32='Données projet'!$A$36,'Données projet'!$B$36,N31+M32-V31)))</f>
        <v>380.31</v>
      </c>
      <c r="O32" s="14">
        <f>N32*VLOOKUP('Données projet'!$B$9,Paramètres!$A$1:$I$89,3,0)*VLOOKUP('Données projet'!$B$9,Paramètres!$A$1:$I$89,5,0)</f>
        <v>212.59329</v>
      </c>
      <c r="P32" s="14">
        <f t="shared" si="33"/>
        <v>52.501879375758435</v>
      </c>
      <c r="Q32" s="22">
        <f t="shared" si="2"/>
        <v>461.70741999611255</v>
      </c>
      <c r="R32" s="62">
        <f t="shared" si="0"/>
        <v>698.63531731888838</v>
      </c>
      <c r="S32" s="62">
        <f ca="1">AVERAGE(OFFSET($R$3,0,0,'Données projet'!$E$9+1,1))-AVERAGE(OFFSET($H$3,0,0,'Données projet'!$E$9+1,1))</f>
        <v>419.0448820879102</v>
      </c>
      <c r="T32" s="62">
        <f t="shared" si="34"/>
        <v>553.33038335026379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6.7961823073872107</v>
      </c>
      <c r="AC32" s="24">
        <f t="shared" si="3"/>
        <v>6.7961823073872107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11.4</v>
      </c>
      <c r="AI32" s="14">
        <f>IF('Données projet'!$A$62&gt;35,AI31+AH32-AQ31,IF(A32&lt;'Données projet'!$A$62,$AF$205^A32,IF(A32='Données projet'!$A$62,'Données projet'!$B$62,AI31+AH32-AQ31)))</f>
        <v>208.60000000000005</v>
      </c>
      <c r="AJ32" s="14">
        <f>AI32*VLOOKUP('Données projet'!$B$10,Paramètres!$A$1:$I$89,3,0)*VLOOKUP('Données projet'!$B$10,Paramètres!$A$1:$I$89,5,0)</f>
        <v>113.89560000000003</v>
      </c>
      <c r="AK32" s="14">
        <f t="shared" si="35"/>
        <v>30.246951020055789</v>
      </c>
      <c r="AL32" s="22">
        <f t="shared" si="4"/>
        <v>251.0482763599305</v>
      </c>
      <c r="AM32" s="62">
        <f t="shared" si="5"/>
        <v>487.9761736827063</v>
      </c>
      <c r="AN32" s="62">
        <f ca="1">AVERAGE(OFFSET($AM$3,0,0,'Données projet'!$E$10+1,1))-AVERAGE(OFFSET($H$3,0,0,'Données projet'!$E$10+1,1))</f>
        <v>221.57008282490327</v>
      </c>
      <c r="AO32" s="62">
        <f t="shared" si="36"/>
        <v>320.19912501885199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4.7730476447368329</v>
      </c>
      <c r="AW32" s="23">
        <f>EXP(-LN(2)/2)*AW31+(1-EXP(-LN(2)/2))/(LN(2)/2)*AQ32*AT32*VLOOKUP('Données projet'!$B$10,Paramètres!$A$1:$I$89,3,0)*0.475*44/12</f>
        <v>4.8530260376925884</v>
      </c>
      <c r="AX32" s="23">
        <f t="shared" si="6"/>
        <v>9.6260736824294213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16.399999999999999</v>
      </c>
      <c r="BD32" s="13">
        <f>IF('Données projet'!$A$88&gt;35,BD31+BC32-BL31,IF(A32&lt;'Données projet'!$A$88,$BA$205^A32,IF(A32='Données projet'!$A$88,'Données projet'!$B$88,BD31+BC32-BL31)))</f>
        <v>188.60000000000005</v>
      </c>
      <c r="BE32" s="14">
        <f>BD32*VLOOKUP('Données projet'!$B$11,Paramètres!$A$1:$I$89,3,0)*VLOOKUP('Données projet'!$B$11,Paramètres!$A$1:$I$89,5,0)</f>
        <v>138.28152000000003</v>
      </c>
      <c r="BF32" s="14">
        <f t="shared" si="37"/>
        <v>35.903043322174675</v>
      </c>
      <c r="BG32" s="22">
        <f t="shared" si="7"/>
        <v>303.37144778612094</v>
      </c>
      <c r="BH32" s="62">
        <f t="shared" si="8"/>
        <v>540.29934510889677</v>
      </c>
      <c r="BI32" s="62">
        <f ca="1">AVERAGE(OFFSET($BH$3,0,0,'Données projet'!$E$11+1,1))-AVERAGE(OFFSET($H$3,0,0,'Données projet'!$E$11+1,1))</f>
        <v>400.4480038202409</v>
      </c>
      <c r="BJ32" s="62">
        <f t="shared" si="38"/>
        <v>384.86917865380076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18.45531008070768</v>
      </c>
      <c r="BR32" s="23">
        <f>EXP(-LN(2)/2)*BR31+(1-EXP(-LN(2)/2))/(LN(2)/2)*BL32*BO32*VLOOKUP('Données projet'!$B$11,Paramètres!$A$1:$I$89,3,0)*0.475*44/12</f>
        <v>3.6610704527420852</v>
      </c>
      <c r="BS32" s="24">
        <f t="shared" si="9"/>
        <v>22.116380533449764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410.56</v>
      </c>
      <c r="L33" s="13">
        <f>VLOOKUP(A33,'Données projet'!$A$35:$I$55,9,0)</f>
        <v>30.25</v>
      </c>
      <c r="M33" s="13">
        <f t="array" ref="M33">INDEX(L:L,MIN(IF(ISNUMBER(L33:L229),ROW(L33:L229),"")))</f>
        <v>30.25</v>
      </c>
      <c r="N33" s="14">
        <f>IF('Données projet'!$A$36&gt;35,N32+M33-V32,IF(A33&lt;'Données projet'!$A$36,$K$205^A33,IF(A33='Données projet'!$A$36,'Données projet'!$B$36,N32+M33-V32)))</f>
        <v>410.56</v>
      </c>
      <c r="O33" s="14">
        <f>N33*VLOOKUP('Données projet'!$B$9,Paramètres!$A$1:$I$89,3,0)*VLOOKUP('Données projet'!$B$9,Paramètres!$A$1:$I$89,5,0)</f>
        <v>229.50304</v>
      </c>
      <c r="P33" s="14">
        <f t="shared" si="33"/>
        <v>56.175213636682351</v>
      </c>
      <c r="Q33" s="22">
        <f t="shared" si="2"/>
        <v>497.55629175055515</v>
      </c>
      <c r="R33" s="62">
        <f t="shared" si="0"/>
        <v>736.66371668359716</v>
      </c>
      <c r="S33" s="62">
        <f ca="1">AVERAGE(OFFSET($R$3,0,0,'Données projet'!$E$9+1,1))-AVERAGE(OFFSET($H$3,0,0,'Données projet'!$E$9+1,1))</f>
        <v>419.0448820879102</v>
      </c>
      <c r="T33" s="62">
        <f t="shared" si="34"/>
        <v>553.33038335026379</v>
      </c>
      <c r="U33" s="16">
        <f>IF(ISNA(VLOOKUP(A33,'Données projet'!$A$35:$I$55,3,0)),0,VLOOKUP(A33,'Données projet'!$A$35:$I$55,3,0))</f>
        <v>8</v>
      </c>
      <c r="V33" s="16">
        <f>IF(ISNA(VLOOKUP(A33,'Données projet'!$A$35:$I$55,4,0)),0,VLOOKUP(A33,'Données projet'!$A$35:$I$55,4,0))</f>
        <v>80.97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0.11000000000000001</v>
      </c>
      <c r="Y33" s="17">
        <f>IF(ISNA(VLOOKUP(A33,'Données projet'!$A$35:$I$55,7,0)),0%,VLOOKUP(A33,'Données projet'!$A$35:$I$55,7,0))</f>
        <v>0.8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6.5787537505150695</v>
      </c>
      <c r="AB33" s="23">
        <f>EXP(-LN(2)/2)*AB32+(1-EXP(-LN(2)/2))/(LN(2)/2)*V33*Y33*VLOOKUP('Données projet'!$B$9,Paramètres!$A$1:$I$89,3,0)*0.475*44/12</f>
        <v>45.803513526990592</v>
      </c>
      <c r="AC33" s="24">
        <f t="shared" si="3"/>
        <v>52.382267277505662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220</v>
      </c>
      <c r="AG33" s="13">
        <f>VLOOKUP(A33,'Données projet'!$A$61:$I$81,9,0)</f>
        <v>11.4</v>
      </c>
      <c r="AH33" s="13">
        <f t="array" ref="AH33">INDEX(AG:AG,MIN(IF(ISNUMBER(AG33:AG229),ROW(AG33:AG229),"")))</f>
        <v>11.4</v>
      </c>
      <c r="AI33" s="14">
        <f>IF('Données projet'!$A$62&gt;35,AI32+AH33-AQ32,IF(A33&lt;'Données projet'!$A$62,$AF$205^A33,IF(A33='Données projet'!$A$62,'Données projet'!$B$62,AI32+AH33-AQ32)))</f>
        <v>220.00000000000006</v>
      </c>
      <c r="AJ33" s="14">
        <f>AI33*VLOOKUP('Données projet'!$B$10,Paramètres!$A$1:$I$89,3,0)*VLOOKUP('Données projet'!$B$10,Paramètres!$A$1:$I$89,5,0)</f>
        <v>120.12000000000003</v>
      </c>
      <c r="AK33" s="14">
        <f t="shared" si="35"/>
        <v>31.702985695201871</v>
      </c>
      <c r="AL33" s="22">
        <f t="shared" si="4"/>
        <v>264.42503341914335</v>
      </c>
      <c r="AM33" s="62">
        <f t="shared" si="5"/>
        <v>503.53245835218536</v>
      </c>
      <c r="AN33" s="62">
        <f ca="1">AVERAGE(OFFSET($AM$3,0,0,'Données projet'!$E$10+1,1))-AVERAGE(OFFSET($H$3,0,0,'Données projet'!$E$10+1,1))</f>
        <v>221.57008282490327</v>
      </c>
      <c r="AO33" s="62">
        <f t="shared" si="36"/>
        <v>320.19912501885199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27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4.6425284058878376</v>
      </c>
      <c r="AW33" s="23">
        <f>EXP(-LN(2)/2)*AW32+(1-EXP(-LN(2)/2))/(LN(2)/2)*AQ33*AT33*VLOOKUP('Données projet'!$B$10,Paramètres!$A$1:$I$89,3,0)*0.475*44/12</f>
        <v>3.4316076205273109</v>
      </c>
      <c r="AX33" s="23">
        <f t="shared" si="6"/>
        <v>8.0741360264151485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205</v>
      </c>
      <c r="BB33" s="13">
        <f>VLOOKUP(A33,'Données projet'!$A$87:$I$107,9,0)</f>
        <v>16.399999999999999</v>
      </c>
      <c r="BC33" s="13">
        <f t="array" ref="BC33">INDEX(BB:BB,MIN(IF(ISNUMBER(BB33:BB229),ROW(BB33:BB229),"")))</f>
        <v>16.399999999999999</v>
      </c>
      <c r="BD33" s="13">
        <f>IF('Données projet'!$A$88&gt;35,BD32+BC33-BL32,IF(A33&lt;'Données projet'!$A$88,$BA$205^A33,IF(A33='Données projet'!$A$88,'Données projet'!$B$88,BD32+BC33-BL32)))</f>
        <v>205.00000000000006</v>
      </c>
      <c r="BE33" s="14">
        <f>BD33*VLOOKUP('Données projet'!$B$11,Paramètres!$A$1:$I$89,3,0)*VLOOKUP('Données projet'!$B$11,Paramètres!$A$1:$I$89,5,0)</f>
        <v>150.30600000000004</v>
      </c>
      <c r="BF33" s="14">
        <f t="shared" si="37"/>
        <v>38.648116968856677</v>
      </c>
      <c r="BG33" s="22">
        <f t="shared" si="7"/>
        <v>329.09508705409212</v>
      </c>
      <c r="BH33" s="62">
        <f t="shared" si="8"/>
        <v>568.20251198713413</v>
      </c>
      <c r="BI33" s="62">
        <f ca="1">AVERAGE(OFFSET($BH$3,0,0,'Données projet'!$E$11+1,1))-AVERAGE(OFFSET($H$3,0,0,'Données projet'!$E$11+1,1))</f>
        <v>400.4480038202409</v>
      </c>
      <c r="BJ33" s="62">
        <f t="shared" si="38"/>
        <v>384.86917865380076</v>
      </c>
      <c r="BK33" s="16">
        <f>IF(ISNA(VLOOKUP(A33,'Données projet'!$A$87:$I$107,3,0)),0,VLOOKUP(A33,'Données projet'!$A$87:$I$107,3,0))</f>
        <v>5</v>
      </c>
      <c r="BL33" s="16">
        <f>IF(ISNA(VLOOKUP(A33,'Données projet'!$A$87:$I$107,4,0)),0,VLOOKUP(A33,'Données projet'!$A$87:$I$107,4,0))</f>
        <v>42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0.30099999999999999</v>
      </c>
      <c r="BO33" s="17">
        <f>IF(ISNA(VLOOKUP(A33,'Données projet'!$A$87:$I$107,7,0)),0%,VLOOKUP(A33,'Données projet'!$A$87:$I$107,7,0))</f>
        <v>0.3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28.157034783843976</v>
      </c>
      <c r="BR33" s="23">
        <f>EXP(-LN(2)/2)*BR32+(1-EXP(-LN(2)/2))/(LN(2)/2)*BL33*BO33*VLOOKUP('Données projet'!$B$11,Paramètres!$A$1:$I$89,3,0)*0.475*44/12</f>
        <v>11.30537130927288</v>
      </c>
      <c r="BS33" s="24">
        <f t="shared" si="9"/>
        <v>39.462406093116854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27.439999999999998</v>
      </c>
      <c r="N34" s="14">
        <f>IF('Données projet'!$A$36&gt;35,N33+M34-V33,IF(A34&lt;'Données projet'!$A$36,$K$205^A34,IF(A34='Données projet'!$A$36,'Données projet'!$B$36,N33+M34-V33)))</f>
        <v>357.03</v>
      </c>
      <c r="O34" s="14">
        <f>N34*VLOOKUP('Données projet'!$B$9,Paramètres!$A$1:$I$89,3,0)*VLOOKUP('Données projet'!$B$9,Paramètres!$A$1:$I$89,5,0)</f>
        <v>199.57977</v>
      </c>
      <c r="P34" s="14">
        <f t="shared" si="33"/>
        <v>49.651802587972696</v>
      </c>
      <c r="Q34" s="22">
        <f t="shared" si="2"/>
        <v>434.07832225738576</v>
      </c>
      <c r="R34" s="62">
        <f t="shared" si="0"/>
        <v>674.12644547020329</v>
      </c>
      <c r="S34" s="62">
        <f ca="1">AVERAGE(OFFSET($R$3,0,0,'Données projet'!$E$9+1,1))-AVERAGE(OFFSET($H$3,0,0,'Données projet'!$E$9+1,1))</f>
        <v>419.0448820879102</v>
      </c>
      <c r="T34" s="62">
        <f t="shared" si="34"/>
        <v>553.33038335026379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6.3988573832456108</v>
      </c>
      <c r="AB34" s="23">
        <f>EXP(-LN(2)/2)*AB33+(1-EXP(-LN(2)/2))/(LN(2)/2)*V34*Y34*VLOOKUP('Données projet'!$B$9,Paramètres!$A$1:$I$89,3,0)*0.475*44/12</f>
        <v>32.387975017104807</v>
      </c>
      <c r="AC34" s="24">
        <f t="shared" si="3"/>
        <v>38.78683240035042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8.6</v>
      </c>
      <c r="AI34" s="14">
        <f>IF('Données projet'!$A$62&gt;35,AI33+AH34-AQ33,IF(A34&lt;'Données projet'!$A$62,$AF$205^A34,IF(A34='Données projet'!$A$62,'Données projet'!$B$62,AI33+AH34-AQ33)))</f>
        <v>201.60000000000005</v>
      </c>
      <c r="AJ34" s="14">
        <f>AI34*VLOOKUP('Données projet'!$B$10,Paramètres!$A$1:$I$89,3,0)*VLOOKUP('Données projet'!$B$10,Paramètres!$A$1:$I$89,5,0)</f>
        <v>110.07360000000001</v>
      </c>
      <c r="AK34" s="14">
        <f t="shared" si="35"/>
        <v>29.348324631518828</v>
      </c>
      <c r="AL34" s="22">
        <f t="shared" si="4"/>
        <v>242.8265187332286</v>
      </c>
      <c r="AM34" s="62">
        <f t="shared" si="5"/>
        <v>482.87464194604615</v>
      </c>
      <c r="AN34" s="62">
        <f ca="1">AVERAGE(OFFSET($AM$3,0,0,'Données projet'!$E$10+1,1))-AVERAGE(OFFSET($H$3,0,0,'Données projet'!$E$10+1,1))</f>
        <v>221.57008282490327</v>
      </c>
      <c r="AO34" s="62">
        <f t="shared" si="36"/>
        <v>320.19912501885199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4.5155782224888767</v>
      </c>
      <c r="AW34" s="23">
        <f>EXP(-LN(2)/2)*AW33+(1-EXP(-LN(2)/2))/(LN(2)/2)*AQ34*AT34*VLOOKUP('Données projet'!$B$10,Paramètres!$A$1:$I$89,3,0)*0.475*44/12</f>
        <v>2.4265130188462942</v>
      </c>
      <c r="AX34" s="23">
        <f t="shared" si="6"/>
        <v>6.942091241335171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15.2</v>
      </c>
      <c r="BD34" s="13">
        <f>IF('Données projet'!$A$88&gt;35,BD33+BC34-BL33,IF(A34&lt;'Données projet'!$A$88,$BA$205^A34,IF(A34='Données projet'!$A$88,'Données projet'!$B$88,BD33+BC34-BL33)))</f>
        <v>178.20000000000005</v>
      </c>
      <c r="BE34" s="14">
        <f>BD34*VLOOKUP('Données projet'!$B$11,Paramètres!$A$1:$I$89,3,0)*VLOOKUP('Données projet'!$B$11,Paramètres!$A$1:$I$89,5,0)</f>
        <v>130.65624000000003</v>
      </c>
      <c r="BF34" s="14">
        <f t="shared" si="37"/>
        <v>34.147952661921146</v>
      </c>
      <c r="BG34" s="22">
        <f t="shared" si="7"/>
        <v>287.03396888617937</v>
      </c>
      <c r="BH34" s="62">
        <f t="shared" si="8"/>
        <v>527.0820920989969</v>
      </c>
      <c r="BI34" s="62">
        <f ca="1">AVERAGE(OFFSET($BH$3,0,0,'Données projet'!$E$11+1,1))-AVERAGE(OFFSET($H$3,0,0,'Données projet'!$E$11+1,1))</f>
        <v>400.4480038202409</v>
      </c>
      <c r="BJ34" s="62">
        <f t="shared" si="38"/>
        <v>384.86917865380076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27.387079186965657</v>
      </c>
      <c r="BR34" s="23">
        <f>EXP(-LN(2)/2)*BR33+(1-EXP(-LN(2)/2))/(LN(2)/2)*BL34*BO34*VLOOKUP('Données projet'!$B$11,Paramètres!$A$1:$I$89,3,0)*0.475*44/12</f>
        <v>7.9941047166186916</v>
      </c>
      <c r="BS34" s="24">
        <f t="shared" si="9"/>
        <v>35.381183903584351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>
        <f>VLOOKUP(A35,'Données projet'!$A$35:$I$55,2,0)</f>
        <v>384.47</v>
      </c>
      <c r="L35" s="13">
        <f>VLOOKUP(A35,'Données projet'!$A$35:$I$55,9,0)</f>
        <v>27.439999999999998</v>
      </c>
      <c r="M35" s="13">
        <f t="array" ref="M35">INDEX(L:L,MIN(IF(ISNUMBER(L35:L231),ROW(L35:L231),"")))</f>
        <v>27.439999999999998</v>
      </c>
      <c r="N35" s="14">
        <f>IF('Données projet'!$A$36&gt;35,N34+M35-V34,IF(A35&lt;'Données projet'!$A$36,$K$205^A35,IF(A35='Données projet'!$A$36,'Données projet'!$B$36,N34+M35-V34)))</f>
        <v>384.46999999999997</v>
      </c>
      <c r="O35" s="14">
        <f>N35*VLOOKUP('Données projet'!$B$9,Paramètres!$A$1:$I$89,3,0)*VLOOKUP('Données projet'!$B$9,Paramètres!$A$1:$I$89,5,0)</f>
        <v>214.91872999999998</v>
      </c>
      <c r="P35" s="14">
        <f t="shared" si="33"/>
        <v>53.008999324398879</v>
      </c>
      <c r="Q35" s="22">
        <f t="shared" ref="Q35:Q66" si="53">(O35+P35)*0.475*44/12</f>
        <v>466.6407952399947</v>
      </c>
      <c r="R35" s="62">
        <f t="shared" si="0"/>
        <v>707.61329772051999</v>
      </c>
      <c r="S35" s="62">
        <f ca="1">AVERAGE(OFFSET($R$3,0,0,'Données projet'!$E$9+1,1))-AVERAGE(OFFSET($H$3,0,0,'Données projet'!$E$9+1,1))</f>
        <v>419.0448820879102</v>
      </c>
      <c r="T35" s="62">
        <f t="shared" si="34"/>
        <v>553.33038335026379</v>
      </c>
      <c r="U35" s="16">
        <f>IF(ISNA(VLOOKUP(A35,'Données projet'!$A$35:$I$55,3,0)),0,VLOOKUP(A35,'Données projet'!$A$35:$I$55,3,0))</f>
        <v>9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6.2238802915994746</v>
      </c>
      <c r="AB35" s="23">
        <f>EXP(-LN(2)/2)*AB34+(1-EXP(-LN(2)/2))/(LN(2)/2)*V35*Y35*VLOOKUP('Données projet'!$B$9,Paramètres!$A$1:$I$89,3,0)*0.475*44/12</f>
        <v>22.9017567634953</v>
      </c>
      <c r="AC35" s="24">
        <f t="shared" si="3"/>
        <v>29.125637055094774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8.6</v>
      </c>
      <c r="AI35" s="14">
        <f>IF('Données projet'!$A$62&gt;35,AI34+AH35-AQ34,IF(A35&lt;'Données projet'!$A$62,$AF$205^A35,IF(A35='Données projet'!$A$62,'Données projet'!$B$62,AI34+AH35-AQ34)))</f>
        <v>210.20000000000005</v>
      </c>
      <c r="AJ35" s="14">
        <f>AI35*VLOOKUP('Données projet'!$B$10,Paramètres!$A$1:$I$89,3,0)*VLOOKUP('Données projet'!$B$10,Paramètres!$A$1:$I$89,5,0)</f>
        <v>114.76920000000003</v>
      </c>
      <c r="AK35" s="14">
        <f t="shared" si="35"/>
        <v>30.451854637594572</v>
      </c>
      <c r="AL35" s="22">
        <f t="shared" si="4"/>
        <v>252.92667016047722</v>
      </c>
      <c r="AM35" s="62">
        <f t="shared" si="5"/>
        <v>493.89917264100256</v>
      </c>
      <c r="AN35" s="62">
        <f ca="1">AVERAGE(OFFSET($AM$3,0,0,'Données projet'!$E$10+1,1))-AVERAGE(OFFSET($H$3,0,0,'Données projet'!$E$10+1,1))</f>
        <v>221.57008282490327</v>
      </c>
      <c r="AO35" s="62">
        <f t="shared" si="36"/>
        <v>320.19912501885199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4.39209949853098</v>
      </c>
      <c r="AW35" s="23">
        <f>EXP(-LN(2)/2)*AW34+(1-EXP(-LN(2)/2))/(LN(2)/2)*AQ35*AT35*VLOOKUP('Données projet'!$B$10,Paramètres!$A$1:$I$89,3,0)*0.475*44/12</f>
        <v>1.7158038102636555</v>
      </c>
      <c r="AX35" s="23">
        <f t="shared" si="6"/>
        <v>6.1079033087946355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15.2</v>
      </c>
      <c r="BD35" s="13">
        <f>IF('Données projet'!$A$88&gt;35,BD34+BC35-BL34,IF(A35&lt;'Données projet'!$A$88,$BA$205^A35,IF(A35='Données projet'!$A$88,'Données projet'!$B$88,BD34+BC35-BL34)))</f>
        <v>193.40000000000003</v>
      </c>
      <c r="BE35" s="14">
        <f>BD35*VLOOKUP('Données projet'!$B$11,Paramètres!$A$1:$I$89,3,0)*VLOOKUP('Données projet'!$B$11,Paramètres!$A$1:$I$89,5,0)</f>
        <v>141.80088000000003</v>
      </c>
      <c r="BF35" s="14">
        <f t="shared" si="37"/>
        <v>36.709254421801973</v>
      </c>
      <c r="BG35" s="22">
        <f t="shared" si="7"/>
        <v>310.90515078463847</v>
      </c>
      <c r="BH35" s="62">
        <f t="shared" si="8"/>
        <v>551.87765326516376</v>
      </c>
      <c r="BI35" s="62">
        <f ca="1">AVERAGE(OFFSET($BH$3,0,0,'Données projet'!$E$11+1,1))-AVERAGE(OFFSET($H$3,0,0,'Données projet'!$E$11+1,1))</f>
        <v>400.4480038202409</v>
      </c>
      <c r="BJ35" s="62">
        <f t="shared" si="38"/>
        <v>384.86917865380076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26.638178066374181</v>
      </c>
      <c r="BR35" s="23">
        <f>EXP(-LN(2)/2)*BR34+(1-EXP(-LN(2)/2))/(LN(2)/2)*BL35*BO35*VLOOKUP('Données projet'!$B$11,Paramètres!$A$1:$I$89,3,0)*0.475*44/12</f>
        <v>5.652685654636441</v>
      </c>
      <c r="BS35" s="24">
        <f t="shared" si="9"/>
        <v>32.290863721010624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28.699999999999989</v>
      </c>
      <c r="N36" s="14">
        <f>IF('Données projet'!$A$36&gt;35,N35+M36-V35,IF(A36&lt;'Données projet'!$A$36,$K$205^A36,IF(A36='Données projet'!$A$36,'Données projet'!$B$36,N35+M36-V35)))</f>
        <v>413.16999999999996</v>
      </c>
      <c r="O36" s="14">
        <f>N36*VLOOKUP('Données projet'!$B$9,Paramètres!$A$1:$I$89,3,0)*VLOOKUP('Données projet'!$B$9,Paramètres!$A$1:$I$89,5,0)</f>
        <v>230.96203</v>
      </c>
      <c r="P36" s="14">
        <f t="shared" si="33"/>
        <v>56.49064435022833</v>
      </c>
      <c r="Q36" s="22">
        <f t="shared" si="53"/>
        <v>500.64674115998105</v>
      </c>
      <c r="R36" s="62">
        <f t="shared" si="0"/>
        <v>742.52758699452181</v>
      </c>
      <c r="S36" s="62">
        <f ca="1">AVERAGE(OFFSET($R$3,0,0,'Données projet'!$E$9+1,1))-AVERAGE(OFFSET($H$3,0,0,'Données projet'!$E$9+1,1))</f>
        <v>419.0448820879102</v>
      </c>
      <c r="T36" s="62">
        <f t="shared" si="34"/>
        <v>553.33038335026379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6.053687957726047</v>
      </c>
      <c r="AB36" s="23">
        <f>EXP(-LN(2)/2)*AB35+(1-EXP(-LN(2)/2))/(LN(2)/2)*V36*Y36*VLOOKUP('Données projet'!$B$9,Paramètres!$A$1:$I$89,3,0)*0.475*44/12</f>
        <v>16.193987508552407</v>
      </c>
      <c r="AC36" s="24">
        <f t="shared" si="3"/>
        <v>22.247675466278455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8.6</v>
      </c>
      <c r="AI36" s="14">
        <f>IF('Données projet'!$A$62&gt;35,AI35+AH36-AQ35,IF(A36&lt;'Données projet'!$A$62,$AF$205^A36,IF(A36='Données projet'!$A$62,'Données projet'!$B$62,AI35+AH36-AQ35)))</f>
        <v>218.80000000000004</v>
      </c>
      <c r="AJ36" s="14">
        <f>AI36*VLOOKUP('Données projet'!$B$10,Paramètres!$A$1:$I$89,3,0)*VLOOKUP('Données projet'!$B$10,Paramètres!$A$1:$I$89,5,0)</f>
        <v>119.46480000000003</v>
      </c>
      <c r="AK36" s="14">
        <f t="shared" si="35"/>
        <v>31.550140227707256</v>
      </c>
      <c r="AL36" s="22">
        <f t="shared" si="4"/>
        <v>263.01768756325686</v>
      </c>
      <c r="AM36" s="62">
        <f t="shared" si="5"/>
        <v>504.89853339779756</v>
      </c>
      <c r="AN36" s="62">
        <f ca="1">AVERAGE(OFFSET($AM$3,0,0,'Données projet'!$E$10+1,1))-AVERAGE(OFFSET($H$3,0,0,'Données projet'!$E$10+1,1))</f>
        <v>221.57008282490327</v>
      </c>
      <c r="AO36" s="62">
        <f t="shared" si="36"/>
        <v>320.19912501885199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4.2719973067731765</v>
      </c>
      <c r="AW36" s="23">
        <f>EXP(-LN(2)/2)*AW35+(1-EXP(-LN(2)/2))/(LN(2)/2)*AQ36*AT36*VLOOKUP('Données projet'!$B$10,Paramètres!$A$1:$I$89,3,0)*0.475*44/12</f>
        <v>1.2132565094231471</v>
      </c>
      <c r="AX36" s="23">
        <f t="shared" si="6"/>
        <v>5.4852538161963231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15.2</v>
      </c>
      <c r="BD36" s="13">
        <f>IF('Données projet'!$A$88&gt;35,BD35+BC36-BL35,IF(A36&lt;'Données projet'!$A$88,$BA$205^A36,IF(A36='Données projet'!$A$88,'Données projet'!$B$88,BD35+BC36-BL35)))</f>
        <v>208.60000000000002</v>
      </c>
      <c r="BE36" s="14">
        <f>BD36*VLOOKUP('Données projet'!$B$11,Paramètres!$A$1:$I$89,3,0)*VLOOKUP('Données projet'!$B$11,Paramètres!$A$1:$I$89,5,0)</f>
        <v>152.94552000000002</v>
      </c>
      <c r="BF36" s="14">
        <f t="shared" si="37"/>
        <v>39.247206134585156</v>
      </c>
      <c r="BG36" s="22">
        <f t="shared" si="7"/>
        <v>334.73566468440248</v>
      </c>
      <c r="BH36" s="62">
        <f t="shared" si="8"/>
        <v>576.61651051894319</v>
      </c>
      <c r="BI36" s="62">
        <f ca="1">AVERAGE(OFFSET($BH$3,0,0,'Données projet'!$E$11+1,1))-AVERAGE(OFFSET($H$3,0,0,'Données projet'!$E$11+1,1))</f>
        <v>400.4480038202409</v>
      </c>
      <c r="BJ36" s="62">
        <f t="shared" si="38"/>
        <v>384.86917865380076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25.909755686308277</v>
      </c>
      <c r="BR36" s="23">
        <f>EXP(-LN(2)/2)*BR35+(1-EXP(-LN(2)/2))/(LN(2)/2)*BL36*BO36*VLOOKUP('Données projet'!$B$11,Paramètres!$A$1:$I$89,3,0)*0.475*44/12</f>
        <v>3.9970523583093462</v>
      </c>
      <c r="BS36" s="24">
        <f t="shared" si="9"/>
        <v>29.906808044617623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441.87</v>
      </c>
      <c r="L37" s="13">
        <f>VLOOKUP(A37,'Données projet'!$A$35:$I$55,9,0)</f>
        <v>28.699999999999989</v>
      </c>
      <c r="M37" s="13">
        <f t="array" ref="M37">INDEX(L:L,MIN(IF(ISNUMBER(L37:L233),ROW(L37:L233),"")))</f>
        <v>28.699999999999989</v>
      </c>
      <c r="N37" s="14">
        <f>IF('Données projet'!$A$36&gt;35,N36+M37-V36,IF(A37&lt;'Données projet'!$A$36,$K$205^A37,IF(A37='Données projet'!$A$36,'Données projet'!$B$36,N36+M37-V36)))</f>
        <v>441.86999999999995</v>
      </c>
      <c r="O37" s="14">
        <f>N37*VLOOKUP('Données projet'!$B$9,Paramètres!$A$1:$I$89,3,0)*VLOOKUP('Données projet'!$B$9,Paramètres!$A$1:$I$89,5,0)</f>
        <v>247.00532999999996</v>
      </c>
      <c r="P37" s="14">
        <f t="shared" si="33"/>
        <v>59.944228275257743</v>
      </c>
      <c r="Q37" s="22">
        <f t="shared" si="53"/>
        <v>534.60381399607388</v>
      </c>
      <c r="R37" s="62">
        <f t="shared" si="0"/>
        <v>777.37724545818946</v>
      </c>
      <c r="S37" s="62">
        <f ca="1">AVERAGE(OFFSET($R$3,0,0,'Données projet'!$E$9+1,1))-AVERAGE(OFFSET($H$3,0,0,'Données projet'!$E$9+1,1))</f>
        <v>419.0448820879102</v>
      </c>
      <c r="T37" s="62">
        <f t="shared" si="34"/>
        <v>553.33038335026379</v>
      </c>
      <c r="U37" s="16">
        <f>IF(ISNA(VLOOKUP(A37,'Données projet'!$A$35:$I$55,3,0)),0,VLOOKUP(A37,'Données projet'!$A$35:$I$55,3,0))</f>
        <v>10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5.8881495421724148</v>
      </c>
      <c r="AB37" s="23">
        <f>EXP(-LN(2)/2)*AB36+(1-EXP(-LN(2)/2))/(LN(2)/2)*V37*Y37*VLOOKUP('Données projet'!$B$9,Paramètres!$A$1:$I$89,3,0)*0.475*44/12</f>
        <v>11.450878381747652</v>
      </c>
      <c r="AC37" s="24">
        <f t="shared" si="3"/>
        <v>17.339027923920067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8.6</v>
      </c>
      <c r="AI37" s="14">
        <f>IF('Données projet'!$A$62&gt;35,AI36+AH37-AQ36,IF(A37&lt;'Données projet'!$A$62,$AF$205^A37,IF(A37='Données projet'!$A$62,'Données projet'!$B$62,AI36+AH37-AQ36)))</f>
        <v>227.40000000000003</v>
      </c>
      <c r="AJ37" s="14">
        <f>AI37*VLOOKUP('Données projet'!$B$10,Paramètres!$A$1:$I$89,3,0)*VLOOKUP('Données projet'!$B$10,Paramètres!$A$1:$I$89,5,0)</f>
        <v>124.16040000000001</v>
      </c>
      <c r="AK37" s="14">
        <f t="shared" si="35"/>
        <v>32.643411123997197</v>
      </c>
      <c r="AL37" s="22">
        <f t="shared" si="4"/>
        <v>273.09997104096175</v>
      </c>
      <c r="AM37" s="62">
        <f t="shared" si="5"/>
        <v>515.87340250307739</v>
      </c>
      <c r="AN37" s="62">
        <f ca="1">AVERAGE(OFFSET($AM$3,0,0,'Données projet'!$E$10+1,1))-AVERAGE(OFFSET($H$3,0,0,'Données projet'!$E$10+1,1))</f>
        <v>221.57008282490327</v>
      </c>
      <c r="AO37" s="62">
        <f t="shared" si="36"/>
        <v>320.19912501885199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4.1551793157648893</v>
      </c>
      <c r="AW37" s="23">
        <f>EXP(-LN(2)/2)*AW36+(1-EXP(-LN(2)/2))/(LN(2)/2)*AQ37*AT37*VLOOKUP('Données projet'!$B$10,Paramètres!$A$1:$I$89,3,0)*0.475*44/12</f>
        <v>0.85790190513182774</v>
      </c>
      <c r="AX37" s="23">
        <f t="shared" si="6"/>
        <v>5.0130812208967175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15.2</v>
      </c>
      <c r="BD37" s="13">
        <f>IF('Données projet'!$A$88&gt;35,BD36+BC37-BL36,IF(A37&lt;'Données projet'!$A$88,$BA$205^A37,IF(A37='Données projet'!$A$88,'Données projet'!$B$88,BD36+BC37-BL36)))</f>
        <v>223.8</v>
      </c>
      <c r="BE37" s="14">
        <f>BD37*VLOOKUP('Données projet'!$B$11,Paramètres!$A$1:$I$89,3,0)*VLOOKUP('Données projet'!$B$11,Paramètres!$A$1:$I$89,5,0)</f>
        <v>164.09016</v>
      </c>
      <c r="BF37" s="14">
        <f t="shared" si="37"/>
        <v>41.763702733606458</v>
      </c>
      <c r="BG37" s="22">
        <f t="shared" si="7"/>
        <v>358.52881092769786</v>
      </c>
      <c r="BH37" s="62">
        <f t="shared" si="8"/>
        <v>601.3022423898135</v>
      </c>
      <c r="BI37" s="62">
        <f ca="1">AVERAGE(OFFSET($BH$3,0,0,'Données projet'!$E$11+1,1))-AVERAGE(OFFSET($H$3,0,0,'Données projet'!$E$11+1,1))</f>
        <v>400.4480038202409</v>
      </c>
      <c r="BJ37" s="62">
        <f t="shared" si="38"/>
        <v>384.86917865380076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25.201252054531341</v>
      </c>
      <c r="BR37" s="23">
        <f>EXP(-LN(2)/2)*BR36+(1-EXP(-LN(2)/2))/(LN(2)/2)*BL37*BO37*VLOOKUP('Données projet'!$B$11,Paramètres!$A$1:$I$89,3,0)*0.475*44/12</f>
        <v>2.826342827318221</v>
      </c>
      <c r="BS37" s="24">
        <f t="shared" si="9"/>
        <v>28.027594881849563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29.77000000000001</v>
      </c>
      <c r="N38" s="14">
        <f>IF('Données projet'!$A$36&gt;35,N37+M38-V37,IF(A38&lt;'Données projet'!$A$36,$K$205^A38,IF(A38='Données projet'!$A$36,'Données projet'!$B$36,N37+M38-V37)))</f>
        <v>471.64</v>
      </c>
      <c r="O38" s="14">
        <f>N38*VLOOKUP('Données projet'!$B$9,Paramètres!$A$1:$I$89,3,0)*VLOOKUP('Données projet'!$B$9,Paramètres!$A$1:$I$89,5,0)</f>
        <v>263.64675999999997</v>
      </c>
      <c r="P38" s="14">
        <f t="shared" si="33"/>
        <v>63.49908855254693</v>
      </c>
      <c r="Q38" s="22">
        <f t="shared" si="53"/>
        <v>569.77901956235246</v>
      </c>
      <c r="R38" s="62">
        <f t="shared" si="0"/>
        <v>813.42955228692699</v>
      </c>
      <c r="S38" s="62">
        <f ca="1">AVERAGE(OFFSET($R$3,0,0,'Données projet'!$E$9+1,1))-AVERAGE(OFFSET($H$3,0,0,'Données projet'!$E$9+1,1))</f>
        <v>419.0448820879102</v>
      </c>
      <c r="T38" s="62">
        <f t="shared" si="34"/>
        <v>553.33038335026379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5.7271377832973833</v>
      </c>
      <c r="AB38" s="23">
        <f>EXP(-LN(2)/2)*AB37+(1-EXP(-LN(2)/2))/(LN(2)/2)*V38*Y38*VLOOKUP('Données projet'!$B$9,Paramètres!$A$1:$I$89,3,0)*0.475*44/12</f>
        <v>8.0969937542762054</v>
      </c>
      <c r="AC38" s="24">
        <f t="shared" si="3"/>
        <v>13.824131537573589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236</v>
      </c>
      <c r="AG38" s="13">
        <f>VLOOKUP(A38,'Données projet'!$A$61:$I$81,9,0)</f>
        <v>8.6</v>
      </c>
      <c r="AH38" s="13">
        <f t="array" ref="AH38">INDEX(AG:AG,MIN(IF(ISNUMBER(AG38:AG234),ROW(AG38:AG234),"")))</f>
        <v>8.6</v>
      </c>
      <c r="AI38" s="14">
        <f>IF('Données projet'!$A$62&gt;35,AI37+AH38-AQ37,IF(A38&lt;'Données projet'!$A$62,$AF$205^A38,IF(A38='Données projet'!$A$62,'Données projet'!$B$62,AI37+AH38-AQ37)))</f>
        <v>236.00000000000003</v>
      </c>
      <c r="AJ38" s="14">
        <f>AI38*VLOOKUP('Données projet'!$B$10,Paramètres!$A$1:$I$89,3,0)*VLOOKUP('Données projet'!$B$10,Paramètres!$A$1:$I$89,5,0)</f>
        <v>128.85600000000002</v>
      </c>
      <c r="AK38" s="14">
        <f t="shared" si="35"/>
        <v>33.731878688740906</v>
      </c>
      <c r="AL38" s="22">
        <f t="shared" si="4"/>
        <v>283.17388871622381</v>
      </c>
      <c r="AM38" s="62">
        <f t="shared" si="5"/>
        <v>526.82442144079835</v>
      </c>
      <c r="AN38" s="62">
        <f ca="1">AVERAGE(OFFSET($AM$3,0,0,'Données projet'!$E$10+1,1))-AVERAGE(OFFSET($H$3,0,0,'Données projet'!$E$10+1,1))</f>
        <v>221.57008282490327</v>
      </c>
      <c r="AO38" s="62">
        <f t="shared" si="36"/>
        <v>320.19912501885199</v>
      </c>
      <c r="AP38" s="16">
        <f>IF(ISNA(VLOOKUP(A38,'Données projet'!$A$61:$I$81,3,0)),0,VLOOKUP(A38,'Données projet'!$A$61:$I$81,3,0))</f>
        <v>6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4.0415557188639148</v>
      </c>
      <c r="AW38" s="23">
        <f>EXP(-LN(2)/2)*AW37+(1-EXP(-LN(2)/2))/(LN(2)/2)*AQ38*AT38*VLOOKUP('Données projet'!$B$10,Paramètres!$A$1:$I$89,3,0)*0.475*44/12</f>
        <v>0.60662825471157356</v>
      </c>
      <c r="AX38" s="23">
        <f t="shared" si="6"/>
        <v>4.6481839735754882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239</v>
      </c>
      <c r="BB38" s="13">
        <f>VLOOKUP(A38,'Données projet'!$A$87:$I$107,9,0)</f>
        <v>15.2</v>
      </c>
      <c r="BC38" s="13">
        <f t="array" ref="BC38">INDEX(BB:BB,MIN(IF(ISNUMBER(BB38:BB234),ROW(BB38:BB234),"")))</f>
        <v>15.2</v>
      </c>
      <c r="BD38" s="13">
        <f>IF('Données projet'!$A$88&gt;35,BD37+BC38-BL37,IF(A38&lt;'Données projet'!$A$88,$BA$205^A38,IF(A38='Données projet'!$A$88,'Données projet'!$B$88,BD37+BC38-BL37)))</f>
        <v>239</v>
      </c>
      <c r="BE38" s="14">
        <f>BD38*VLOOKUP('Données projet'!$B$11,Paramètres!$A$1:$I$89,3,0)*VLOOKUP('Données projet'!$B$11,Paramètres!$A$1:$I$89,5,0)</f>
        <v>175.23480000000001</v>
      </c>
      <c r="BF38" s="14">
        <f t="shared" si="37"/>
        <v>44.260367185241513</v>
      </c>
      <c r="BG38" s="22">
        <f t="shared" si="7"/>
        <v>382.28741618096228</v>
      </c>
      <c r="BH38" s="62">
        <f t="shared" si="8"/>
        <v>625.93794890553681</v>
      </c>
      <c r="BI38" s="62">
        <f ca="1">AVERAGE(OFFSET($BH$3,0,0,'Données projet'!$E$11+1,1))-AVERAGE(OFFSET($H$3,0,0,'Données projet'!$E$11+1,1))</f>
        <v>400.4480038202409</v>
      </c>
      <c r="BJ38" s="62">
        <f t="shared" si="38"/>
        <v>384.86917865380076</v>
      </c>
      <c r="BK38" s="16">
        <f>IF(ISNA(VLOOKUP(A38,'Données projet'!$A$87:$I$107,3,0)),0,VLOOKUP(A38,'Données projet'!$A$87:$I$107,3,0))</f>
        <v>6</v>
      </c>
      <c r="BL38" s="16">
        <f>IF(ISNA(VLOOKUP(A38,'Données projet'!$A$87:$I$107,4,0)),0,VLOOKUP(A38,'Données projet'!$A$87:$I$107,4,0))</f>
        <v>42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24.512122491823934</v>
      </c>
      <c r="BR38" s="23">
        <f>EXP(-LN(2)/2)*BR37+(1-EXP(-LN(2)/2))/(LN(2)/2)*BL38*BO38*VLOOKUP('Données projet'!$B$11,Paramètres!$A$1:$I$89,3,0)*0.475*44/12</f>
        <v>1.9985261791546736</v>
      </c>
      <c r="BS38" s="24">
        <f t="shared" si="9"/>
        <v>26.510648670978608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501.41</v>
      </c>
      <c r="L39" s="13">
        <f>VLOOKUP(A39,'Données projet'!$A$35:$I$55,9,0)</f>
        <v>29.77000000000001</v>
      </c>
      <c r="M39" s="13">
        <f t="array" ref="M39">INDEX(L:L,MIN(IF(ISNUMBER(L39:L235),ROW(L39:L235),"")))</f>
        <v>29.77000000000001</v>
      </c>
      <c r="N39" s="14">
        <f>IF('Données projet'!$A$36&gt;35,N38+M39-V38,IF(A39&lt;'Données projet'!$A$36,$K$205^A39,IF(A39='Données projet'!$A$36,'Données projet'!$B$36,N38+M39-V38)))</f>
        <v>501.40999999999997</v>
      </c>
      <c r="O39" s="14">
        <f>N39*VLOOKUP('Données projet'!$B$9,Paramètres!$A$1:$I$89,3,0)*VLOOKUP('Données projet'!$B$9,Paramètres!$A$1:$I$89,5,0)</f>
        <v>280.28818999999999</v>
      </c>
      <c r="P39" s="14">
        <f t="shared" si="33"/>
        <v>67.027908065763796</v>
      </c>
      <c r="Q39" s="22">
        <f t="shared" si="53"/>
        <v>604.90887079787183</v>
      </c>
      <c r="R39" s="62">
        <f t="shared" si="0"/>
        <v>849.42128903890625</v>
      </c>
      <c r="S39" s="62">
        <f ca="1">AVERAGE(OFFSET($R$3,0,0,'Données projet'!$E$9+1,1))-AVERAGE(OFFSET($H$3,0,0,'Données projet'!$E$9+1,1))</f>
        <v>419.0448820879102</v>
      </c>
      <c r="T39" s="62">
        <f t="shared" si="34"/>
        <v>553.33038335026379</v>
      </c>
      <c r="U39" s="16">
        <f>IF(ISNA(VLOOKUP(A39,'Données projet'!$A$35:$I$55,3,0)),0,VLOOKUP(A39,'Données projet'!$A$35:$I$55,3,0))</f>
        <v>11</v>
      </c>
      <c r="V39" s="16">
        <f>IF(ISNA(VLOOKUP(A39,'Données projet'!$A$35:$I$55,4,0)),0,VLOOKUP(A39,'Données projet'!$A$35:$I$55,4,0))</f>
        <v>85.88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5.57052889943603</v>
      </c>
      <c r="AB39" s="23">
        <f>EXP(-LN(2)/2)*AB38+(1-EXP(-LN(2)/2))/(LN(2)/2)*V39*Y39*VLOOKUP('Données projet'!$B$9,Paramètres!$A$1:$I$89,3,0)*0.475*44/12</f>
        <v>5.7254391908738267</v>
      </c>
      <c r="AC39" s="24">
        <f t="shared" si="3"/>
        <v>11.295968090309856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6.4</v>
      </c>
      <c r="AI39" s="14">
        <f>IF('Données projet'!$A$62&gt;35,AI38+AH39-AQ38,IF(A39&lt;'Données projet'!$A$62,$AF$205^A39,IF(A39='Données projet'!$A$62,'Données projet'!$B$62,AI38+AH39-AQ38)))</f>
        <v>221.40000000000003</v>
      </c>
      <c r="AJ39" s="14">
        <f>AI39*VLOOKUP('Données projet'!$B$10,Paramètres!$A$1:$I$89,3,0)*VLOOKUP('Données projet'!$B$10,Paramètres!$A$1:$I$89,5,0)</f>
        <v>120.88440000000003</v>
      </c>
      <c r="AK39" s="14">
        <f t="shared" si="35"/>
        <v>31.881182835365173</v>
      </c>
      <c r="AL39" s="22">
        <f t="shared" si="4"/>
        <v>266.06672343826102</v>
      </c>
      <c r="AM39" s="62">
        <f t="shared" si="5"/>
        <v>510.57914167929545</v>
      </c>
      <c r="AN39" s="62">
        <f ca="1">AVERAGE(OFFSET($AM$3,0,0,'Données projet'!$E$10+1,1))-AVERAGE(OFFSET($H$3,0,0,'Données projet'!$E$10+1,1))</f>
        <v>221.57008282490327</v>
      </c>
      <c r="AO39" s="62">
        <f t="shared" si="36"/>
        <v>320.19912501885199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3.9310391651954029</v>
      </c>
      <c r="AW39" s="23">
        <f>EXP(-LN(2)/2)*AW38+(1-EXP(-LN(2)/2))/(LN(2)/2)*AQ39*AT39*VLOOKUP('Données projet'!$B$10,Paramètres!$A$1:$I$89,3,0)*0.475*44/12</f>
        <v>0.42895095256591387</v>
      </c>
      <c r="AX39" s="23">
        <f t="shared" si="6"/>
        <v>4.359990117761317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13.2</v>
      </c>
      <c r="BD39" s="13">
        <f>IF('Données projet'!$A$88&gt;35,BD38+BC39-BL38,IF(A39&lt;'Données projet'!$A$88,$BA$205^A39,IF(A39='Données projet'!$A$88,'Données projet'!$B$88,BD38+BC39-BL38)))</f>
        <v>210.2</v>
      </c>
      <c r="BE39" s="14">
        <f>BD39*VLOOKUP('Données projet'!$B$11,Paramètres!$A$1:$I$89,3,0)*VLOOKUP('Données projet'!$B$11,Paramètres!$A$1:$I$89,5,0)</f>
        <v>154.11863999999997</v>
      </c>
      <c r="BF39" s="14">
        <f t="shared" si="37"/>
        <v>39.513080685376593</v>
      </c>
      <c r="BG39" s="22">
        <f t="shared" si="7"/>
        <v>337.24191352703082</v>
      </c>
      <c r="BH39" s="62">
        <f t="shared" si="8"/>
        <v>581.75433176806519</v>
      </c>
      <c r="BI39" s="62">
        <f ca="1">AVERAGE(OFFSET($BH$3,0,0,'Données projet'!$E$11+1,1))-AVERAGE(OFFSET($H$3,0,0,'Données projet'!$E$11+1,1))</f>
        <v>400.4480038202409</v>
      </c>
      <c r="BJ39" s="62">
        <f t="shared" si="38"/>
        <v>384.86917865380076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23.84183721324851</v>
      </c>
      <c r="BR39" s="23">
        <f>EXP(-LN(2)/2)*BR38+(1-EXP(-LN(2)/2))/(LN(2)/2)*BL39*BO39*VLOOKUP('Données projet'!$B$11,Paramètres!$A$1:$I$89,3,0)*0.475*44/12</f>
        <v>1.4131714136591107</v>
      </c>
      <c r="BS39" s="24">
        <f t="shared" si="9"/>
        <v>25.255008626907621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27.234999999999985</v>
      </c>
      <c r="N40" s="14">
        <f>IF('Données projet'!$A$36&gt;35,N39+M40-V39,IF(A40&lt;'Données projet'!$A$36,$K$205^A40,IF(A40='Données projet'!$A$36,'Données projet'!$B$36,N39+M40-V39)))</f>
        <v>442.76499999999999</v>
      </c>
      <c r="O40" s="14">
        <f>N40*VLOOKUP('Données projet'!$B$9,Paramètres!$A$1:$I$89,3,0)*VLOOKUP('Données projet'!$B$9,Paramètres!$A$1:$I$89,5,0)</f>
        <v>247.50563500000001</v>
      </c>
      <c r="P40" s="14">
        <f t="shared" si="33"/>
        <v>60.051498808282631</v>
      </c>
      <c r="Q40" s="22">
        <f t="shared" si="53"/>
        <v>535.66200804942548</v>
      </c>
      <c r="R40" s="62">
        <f t="shared" si="0"/>
        <v>781.02136002009661</v>
      </c>
      <c r="S40" s="62">
        <f ca="1">AVERAGE(OFFSET($R$3,0,0,'Données projet'!$E$9+1,1))-AVERAGE(OFFSET($H$3,0,0,'Données projet'!$E$9+1,1))</f>
        <v>419.0448820879102</v>
      </c>
      <c r="T40" s="62">
        <f t="shared" si="34"/>
        <v>553.33038335026379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5.4182024937395683</v>
      </c>
      <c r="AB40" s="23">
        <f>EXP(-LN(2)/2)*AB39+(1-EXP(-LN(2)/2))/(LN(2)/2)*V40*Y40*VLOOKUP('Données projet'!$B$9,Paramètres!$A$1:$I$89,3,0)*0.475*44/12</f>
        <v>4.0484968771381027</v>
      </c>
      <c r="AC40" s="24">
        <f t="shared" si="3"/>
        <v>9.4666993708776701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6.4</v>
      </c>
      <c r="AI40" s="14">
        <f>IF('Données projet'!$A$62&gt;35,AI39+AH40-AQ39,IF(A40&lt;'Données projet'!$A$62,$AF$205^A40,IF(A40='Données projet'!$A$62,'Données projet'!$B$62,AI39+AH40-AQ39)))</f>
        <v>227.80000000000004</v>
      </c>
      <c r="AJ40" s="14">
        <f>AI40*VLOOKUP('Données projet'!$B$10,Paramètres!$A$1:$I$89,3,0)*VLOOKUP('Données projet'!$B$10,Paramètres!$A$1:$I$89,5,0)</f>
        <v>124.37880000000003</v>
      </c>
      <c r="AK40" s="14">
        <f t="shared" si="35"/>
        <v>32.69414246460255</v>
      </c>
      <c r="AL40" s="22">
        <f t="shared" si="4"/>
        <v>273.56870812584953</v>
      </c>
      <c r="AM40" s="62">
        <f t="shared" si="5"/>
        <v>518.92806009652065</v>
      </c>
      <c r="AN40" s="62">
        <f ca="1">AVERAGE(OFFSET($AM$3,0,0,'Données projet'!$E$10+1,1))-AVERAGE(OFFSET($H$3,0,0,'Données projet'!$E$10+1,1))</f>
        <v>221.57008282490327</v>
      </c>
      <c r="AO40" s="62">
        <f t="shared" si="36"/>
        <v>320.19912501885199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3.8235446924987695</v>
      </c>
      <c r="AW40" s="23">
        <f>EXP(-LN(2)/2)*AW39+(1-EXP(-LN(2)/2))/(LN(2)/2)*AQ40*AT40*VLOOKUP('Données projet'!$B$10,Paramètres!$A$1:$I$89,3,0)*0.475*44/12</f>
        <v>0.30331412735578678</v>
      </c>
      <c r="AX40" s="23">
        <f t="shared" si="6"/>
        <v>4.1268588198545562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13.2</v>
      </c>
      <c r="BD40" s="13">
        <f>IF('Données projet'!$A$88&gt;35,BD39+BC40-BL39,IF(A40&lt;'Données projet'!$A$88,$BA$205^A40,IF(A40='Données projet'!$A$88,'Données projet'!$B$88,BD39+BC40-BL39)))</f>
        <v>223.39999999999998</v>
      </c>
      <c r="BE40" s="14">
        <f>BD40*VLOOKUP('Données projet'!$B$11,Paramètres!$A$1:$I$89,3,0)*VLOOKUP('Données projet'!$B$11,Paramètres!$A$1:$I$89,5,0)</f>
        <v>163.79687999999999</v>
      </c>
      <c r="BF40" s="14">
        <f t="shared" si="37"/>
        <v>41.697739822198329</v>
      </c>
      <c r="BG40" s="22">
        <f t="shared" si="7"/>
        <v>357.90312952366207</v>
      </c>
      <c r="BH40" s="62">
        <f t="shared" si="8"/>
        <v>603.2624814943332</v>
      </c>
      <c r="BI40" s="62">
        <f ca="1">AVERAGE(OFFSET($BH$3,0,0,'Données projet'!$E$11+1,1))-AVERAGE(OFFSET($H$3,0,0,'Données projet'!$E$11+1,1))</f>
        <v>400.4480038202409</v>
      </c>
      <c r="BJ40" s="62">
        <f t="shared" si="38"/>
        <v>384.86917865380076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23.189880920864503</v>
      </c>
      <c r="BR40" s="23">
        <f>EXP(-LN(2)/2)*BR39+(1-EXP(-LN(2)/2))/(LN(2)/2)*BL40*BO40*VLOOKUP('Données projet'!$B$11,Paramètres!$A$1:$I$89,3,0)*0.475*44/12</f>
        <v>0.99926308957733689</v>
      </c>
      <c r="BS40" s="24">
        <f t="shared" si="9"/>
        <v>24.18914401044184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470</v>
      </c>
      <c r="L41" s="13">
        <f>VLOOKUP(A41,'Données projet'!$A$35:$I$55,9,0)</f>
        <v>27.234999999999985</v>
      </c>
      <c r="M41" s="13">
        <f t="array" ref="M41">INDEX(L:L,MIN(IF(ISNUMBER(L41:L237),ROW(L41:L237),"")))</f>
        <v>27.234999999999985</v>
      </c>
      <c r="N41" s="14">
        <f>IF('Données projet'!$A$36&gt;35,N40+M41-V40,IF(A41&lt;'Données projet'!$A$36,$K$205^A41,IF(A41='Données projet'!$A$36,'Données projet'!$B$36,N40+M41-V40)))</f>
        <v>470</v>
      </c>
      <c r="O41" s="14">
        <f>N41*VLOOKUP('Données projet'!$B$9,Paramètres!$A$1:$I$89,3,0)*VLOOKUP('Données projet'!$B$9,Paramètres!$A$1:$I$89,5,0)</f>
        <v>262.73</v>
      </c>
      <c r="P41" s="14">
        <f t="shared" si="33"/>
        <v>63.303949401442225</v>
      </c>
      <c r="Q41" s="22">
        <f t="shared" si="53"/>
        <v>567.84246187417853</v>
      </c>
      <c r="R41" s="62">
        <f t="shared" si="0"/>
        <v>814.03405516773728</v>
      </c>
      <c r="S41" s="62">
        <f ca="1">AVERAGE(OFFSET($R$3,0,0,'Données projet'!$E$9+1,1))-AVERAGE(OFFSET($H$3,0,0,'Données projet'!$E$9+1,1))</f>
        <v>419.0448820879102</v>
      </c>
      <c r="T41" s="62">
        <f t="shared" si="34"/>
        <v>553.33038335026379</v>
      </c>
      <c r="U41" s="16">
        <f>IF(ISNA(VLOOKUP(A41,'Données projet'!$A$35:$I$55,3,0)),0,VLOOKUP(A41,'Données projet'!$A$35:$I$55,3,0))</f>
        <v>12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5.2700414616173745</v>
      </c>
      <c r="AB41" s="23">
        <f>EXP(-LN(2)/2)*AB40+(1-EXP(-LN(2)/2))/(LN(2)/2)*V41*Y41*VLOOKUP('Données projet'!$B$9,Paramètres!$A$1:$I$89,3,0)*0.475*44/12</f>
        <v>2.8627195954369133</v>
      </c>
      <c r="AC41" s="24">
        <f t="shared" si="3"/>
        <v>8.1327610570542888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6.4</v>
      </c>
      <c r="AI41" s="14">
        <f>IF('Données projet'!$A$62&gt;35,AI40+AH41-AQ40,IF(A41&lt;'Données projet'!$A$62,$AF$205^A41,IF(A41='Données projet'!$A$62,'Données projet'!$B$62,AI40+AH41-AQ40)))</f>
        <v>234.20000000000005</v>
      </c>
      <c r="AJ41" s="14">
        <f>AI41*VLOOKUP('Données projet'!$B$10,Paramètres!$A$1:$I$89,3,0)*VLOOKUP('Données projet'!$B$10,Paramètres!$A$1:$I$89,5,0)</f>
        <v>127.87320000000003</v>
      </c>
      <c r="AK41" s="14">
        <f t="shared" si="35"/>
        <v>33.504447496471656</v>
      </c>
      <c r="AL41" s="22">
        <f t="shared" si="4"/>
        <v>281.06606938968815</v>
      </c>
      <c r="AM41" s="62">
        <f t="shared" si="5"/>
        <v>527.25766268324685</v>
      </c>
      <c r="AN41" s="62">
        <f ca="1">AVERAGE(OFFSET($AM$3,0,0,'Données projet'!$E$10+1,1))-AVERAGE(OFFSET($H$3,0,0,'Données projet'!$E$10+1,1))</f>
        <v>221.57008282490327</v>
      </c>
      <c r="AO41" s="62">
        <f t="shared" si="36"/>
        <v>320.19912501885199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3.7189896618109142</v>
      </c>
      <c r="AW41" s="23">
        <f>EXP(-LN(2)/2)*AW40+(1-EXP(-LN(2)/2))/(LN(2)/2)*AQ41*AT41*VLOOKUP('Données projet'!$B$10,Paramètres!$A$1:$I$89,3,0)*0.475*44/12</f>
        <v>0.21447547628295693</v>
      </c>
      <c r="AX41" s="23">
        <f t="shared" si="6"/>
        <v>3.933465138093871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13.2</v>
      </c>
      <c r="BD41" s="13">
        <f>IF('Données projet'!$A$88&gt;35,BD40+BC41-BL40,IF(A41&lt;'Données projet'!$A$88,$BA$205^A41,IF(A41='Données projet'!$A$88,'Données projet'!$B$88,BD40+BC41-BL40)))</f>
        <v>236.59999999999997</v>
      </c>
      <c r="BE41" s="14">
        <f>BD41*VLOOKUP('Données projet'!$B$11,Paramètres!$A$1:$I$89,3,0)*VLOOKUP('Données projet'!$B$11,Paramètres!$A$1:$I$89,5,0)</f>
        <v>173.47511999999998</v>
      </c>
      <c r="BF41" s="14">
        <f t="shared" si="37"/>
        <v>43.867415861334891</v>
      </c>
      <c r="BG41" s="22">
        <f t="shared" si="7"/>
        <v>378.53824995849158</v>
      </c>
      <c r="BH41" s="62">
        <f t="shared" si="8"/>
        <v>624.72984325205027</v>
      </c>
      <c r="BI41" s="62">
        <f ca="1">AVERAGE(OFFSET($BH$3,0,0,'Données projet'!$E$11+1,1))-AVERAGE(OFFSET($H$3,0,0,'Données projet'!$E$11+1,1))</f>
        <v>400.4480038202409</v>
      </c>
      <c r="BJ41" s="62">
        <f t="shared" si="38"/>
        <v>384.86917865380076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22.555752407580627</v>
      </c>
      <c r="BR41" s="23">
        <f>EXP(-LN(2)/2)*BR40+(1-EXP(-LN(2)/2))/(LN(2)/2)*BL41*BO41*VLOOKUP('Données projet'!$B$11,Paramètres!$A$1:$I$89,3,0)*0.475*44/12</f>
        <v>0.70658570682955546</v>
      </c>
      <c r="BS41" s="24">
        <f t="shared" si="9"/>
        <v>23.262338114410184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28.095000000000027</v>
      </c>
      <c r="N42" s="14">
        <f>IF('Données projet'!$A$36&gt;35,N41+M42-V41,IF(A42&lt;'Données projet'!$A$36,$K$205^A42,IF(A42='Données projet'!$A$36,'Données projet'!$B$36,N41+M42-V41)))</f>
        <v>498.09500000000003</v>
      </c>
      <c r="O42" s="14">
        <f>N42*VLOOKUP('Données projet'!$B$9,Paramètres!$A$1:$I$89,3,0)*VLOOKUP('Données projet'!$B$9,Paramètres!$A$1:$I$89,5,0)</f>
        <v>278.43510500000002</v>
      </c>
      <c r="P42" s="14">
        <f t="shared" si="33"/>
        <v>66.636193787123958</v>
      </c>
      <c r="Q42" s="22">
        <f t="shared" si="53"/>
        <v>600.99917872090748</v>
      </c>
      <c r="R42" s="62">
        <f t="shared" si="0"/>
        <v>848.00857581101457</v>
      </c>
      <c r="S42" s="62">
        <f ca="1">AVERAGE(OFFSET($R$3,0,0,'Données projet'!$E$9+1,1))-AVERAGE(OFFSET($H$3,0,0,'Données projet'!$E$9+1,1))</f>
        <v>419.0448820879102</v>
      </c>
      <c r="T42" s="62">
        <f t="shared" si="34"/>
        <v>553.33038335026379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5.1259319007100119</v>
      </c>
      <c r="AB42" s="23">
        <f>EXP(-LN(2)/2)*AB41+(1-EXP(-LN(2)/2))/(LN(2)/2)*V42*Y42*VLOOKUP('Données projet'!$B$9,Paramètres!$A$1:$I$89,3,0)*0.475*44/12</f>
        <v>2.0242484385690513</v>
      </c>
      <c r="AC42" s="24">
        <f t="shared" si="3"/>
        <v>7.1501803392790633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6.4</v>
      </c>
      <c r="AI42" s="14">
        <f>IF('Données projet'!$A$62&gt;35,AI41+AH42-AQ41,IF(A42&lt;'Données projet'!$A$62,$AF$205^A42,IF(A42='Données projet'!$A$62,'Données projet'!$B$62,AI41+AH42-AQ41)))</f>
        <v>240.60000000000005</v>
      </c>
      <c r="AJ42" s="14">
        <f>AI42*VLOOKUP('Données projet'!$B$10,Paramètres!$A$1:$I$89,3,0)*VLOOKUP('Données projet'!$B$10,Paramètres!$A$1:$I$89,5,0)</f>
        <v>131.36760000000004</v>
      </c>
      <c r="AK42" s="14">
        <f t="shared" si="35"/>
        <v>34.31217880899456</v>
      </c>
      <c r="AL42" s="22">
        <f t="shared" si="4"/>
        <v>288.55894809233223</v>
      </c>
      <c r="AM42" s="62">
        <f t="shared" si="5"/>
        <v>535.56834518243932</v>
      </c>
      <c r="AN42" s="62">
        <f ca="1">AVERAGE(OFFSET($AM$3,0,0,'Données projet'!$E$10+1,1))-AVERAGE(OFFSET($H$3,0,0,'Données projet'!$E$10+1,1))</f>
        <v>221.57008282490327</v>
      </c>
      <c r="AO42" s="62">
        <f t="shared" si="36"/>
        <v>320.19912501885199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3.6172936939355282</v>
      </c>
      <c r="AW42" s="23">
        <f>EXP(-LN(2)/2)*AW41+(1-EXP(-LN(2)/2))/(LN(2)/2)*AQ42*AT42*VLOOKUP('Données projet'!$B$10,Paramètres!$A$1:$I$89,3,0)*0.475*44/12</f>
        <v>0.15165706367789339</v>
      </c>
      <c r="AX42" s="23">
        <f t="shared" si="6"/>
        <v>3.7689507576134216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13.2</v>
      </c>
      <c r="BD42" s="13">
        <f>IF('Données projet'!$A$88&gt;35,BD41+BC42-BL41,IF(A42&lt;'Données projet'!$A$88,$BA$205^A42,IF(A42='Données projet'!$A$88,'Données projet'!$B$88,BD41+BC42-BL41)))</f>
        <v>249.79999999999995</v>
      </c>
      <c r="BE42" s="14">
        <f>BD42*VLOOKUP('Données projet'!$B$11,Paramètres!$A$1:$I$89,3,0)*VLOOKUP('Données projet'!$B$11,Paramètres!$A$1:$I$89,5,0)</f>
        <v>183.15335999999996</v>
      </c>
      <c r="BF42" s="14">
        <f t="shared" si="37"/>
        <v>46.023039984246878</v>
      </c>
      <c r="BG42" s="22">
        <f t="shared" si="7"/>
        <v>399.14889663922986</v>
      </c>
      <c r="BH42" s="62">
        <f t="shared" si="8"/>
        <v>646.15829372933695</v>
      </c>
      <c r="BI42" s="62">
        <f ca="1">AVERAGE(OFFSET($BH$3,0,0,'Données projet'!$E$11+1,1))-AVERAGE(OFFSET($H$3,0,0,'Données projet'!$E$11+1,1))</f>
        <v>400.4480038202409</v>
      </c>
      <c r="BJ42" s="62">
        <f t="shared" si="38"/>
        <v>384.86917865380076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21.938964171839867</v>
      </c>
      <c r="BR42" s="23">
        <f>EXP(-LN(2)/2)*BR41+(1-EXP(-LN(2)/2))/(LN(2)/2)*BL42*BO42*VLOOKUP('Données projet'!$B$11,Paramètres!$A$1:$I$89,3,0)*0.475*44/12</f>
        <v>0.4996315447886685</v>
      </c>
      <c r="BS42" s="24">
        <f t="shared" si="9"/>
        <v>22.438595716628537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526.19000000000005</v>
      </c>
      <c r="L43" s="13">
        <f>VLOOKUP(A43,'Données projet'!$A$35:$I$55,9,0)</f>
        <v>28.095000000000027</v>
      </c>
      <c r="M43" s="13">
        <f t="array" ref="M43">INDEX(L:L,MIN(IF(ISNUMBER(L43:L239),ROW(L43:L239),"")))</f>
        <v>28.095000000000027</v>
      </c>
      <c r="N43" s="14">
        <f>IF('Données projet'!$A$36&gt;35,N42+M43-V42,IF(A43&lt;'Données projet'!$A$36,$K$205^A43,IF(A43='Données projet'!$A$36,'Données projet'!$B$36,N42+M43-V42)))</f>
        <v>526.19000000000005</v>
      </c>
      <c r="O43" s="14">
        <f>N43*VLOOKUP('Données projet'!$B$9,Paramètres!$A$1:$I$89,3,0)*VLOOKUP('Données projet'!$B$9,Paramètres!$A$1:$I$89,5,0)</f>
        <v>294.14021000000002</v>
      </c>
      <c r="P43" s="14">
        <f t="shared" si="33"/>
        <v>69.946619671428806</v>
      </c>
      <c r="Q43" s="22">
        <f t="shared" si="53"/>
        <v>634.11789501107194</v>
      </c>
      <c r="R43" s="62">
        <f t="shared" si="0"/>
        <v>881.93090883019272</v>
      </c>
      <c r="S43" s="62">
        <f ca="1">AVERAGE(OFFSET($R$3,0,0,'Données projet'!$E$9+1,1))-AVERAGE(OFFSET($H$3,0,0,'Données projet'!$E$9+1,1))</f>
        <v>419.0448820879102</v>
      </c>
      <c r="T43" s="62">
        <f t="shared" si="34"/>
        <v>553.33038335026379</v>
      </c>
      <c r="U43" s="16">
        <f>IF(ISNA(VLOOKUP(A43,'Données projet'!$A$35:$I$55,3,0)),0,VLOOKUP(A43,'Données projet'!$A$35:$I$55,3,0))</f>
        <v>13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4.9857630233240533</v>
      </c>
      <c r="AB43" s="23">
        <f>EXP(-LN(2)/2)*AB42+(1-EXP(-LN(2)/2))/(LN(2)/2)*V43*Y43*VLOOKUP('Données projet'!$B$9,Paramètres!$A$1:$I$89,3,0)*0.475*44/12</f>
        <v>1.4313597977184567</v>
      </c>
      <c r="AC43" s="24">
        <f t="shared" si="3"/>
        <v>6.4171228210425095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247</v>
      </c>
      <c r="AG43" s="13">
        <f>VLOOKUP(A43,'Données projet'!$A$61:$I$81,9,0)</f>
        <v>6.4</v>
      </c>
      <c r="AH43" s="13">
        <f t="array" ref="AH43">INDEX(AG:AG,MIN(IF(ISNUMBER(AG43:AG239),ROW(AG43:AG239),"")))</f>
        <v>6.4</v>
      </c>
      <c r="AI43" s="14">
        <f>IF('Données projet'!$A$62&gt;35,AI42+AH43-AQ42,IF(A43&lt;'Données projet'!$A$62,$AF$205^A43,IF(A43='Données projet'!$A$62,'Données projet'!$B$62,AI42+AH43-AQ42)))</f>
        <v>247.00000000000006</v>
      </c>
      <c r="AJ43" s="14">
        <f>AI43*VLOOKUP('Données projet'!$B$10,Paramètres!$A$1:$I$89,3,0)*VLOOKUP('Données projet'!$B$10,Paramètres!$A$1:$I$89,5,0)</f>
        <v>134.86200000000002</v>
      </c>
      <c r="AK43" s="14">
        <f t="shared" si="35"/>
        <v>35.11741273245844</v>
      </c>
      <c r="AL43" s="22">
        <f t="shared" si="4"/>
        <v>296.04747717569848</v>
      </c>
      <c r="AM43" s="62">
        <f t="shared" si="5"/>
        <v>543.86049099481932</v>
      </c>
      <c r="AN43" s="62">
        <f ca="1">AVERAGE(OFFSET($AM$3,0,0,'Données projet'!$E$10+1,1))-AVERAGE(OFFSET($H$3,0,0,'Données projet'!$E$10+1,1))</f>
        <v>221.57008282490327</v>
      </c>
      <c r="AO43" s="62">
        <f t="shared" si="36"/>
        <v>320.19912501885199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16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3.5183786076496535</v>
      </c>
      <c r="AW43" s="23">
        <f>EXP(-LN(2)/2)*AW42+(1-EXP(-LN(2)/2))/(LN(2)/2)*AQ43*AT43*VLOOKUP('Données projet'!$B$10,Paramètres!$A$1:$I$89,3,0)*0.475*44/12</f>
        <v>0.10723773814147847</v>
      </c>
      <c r="AX43" s="23">
        <f t="shared" si="6"/>
        <v>3.6256163457911321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263</v>
      </c>
      <c r="BB43" s="13">
        <f>VLOOKUP(A43,'Données projet'!$A$87:$I$107,9,0)</f>
        <v>13.2</v>
      </c>
      <c r="BC43" s="13">
        <f t="array" ref="BC43">INDEX(BB:BB,MIN(IF(ISNUMBER(BB43:BB239),ROW(BB43:BB239),"")))</f>
        <v>13.2</v>
      </c>
      <c r="BD43" s="13">
        <f>IF('Données projet'!$A$88&gt;35,BD42+BC43-BL42,IF(A43&lt;'Données projet'!$A$88,$BA$205^A43,IF(A43='Données projet'!$A$88,'Données projet'!$B$88,BD42+BC43-BL42)))</f>
        <v>262.99999999999994</v>
      </c>
      <c r="BE43" s="14">
        <f>BD43*VLOOKUP('Données projet'!$B$11,Paramètres!$A$1:$I$89,3,0)*VLOOKUP('Données projet'!$B$11,Paramètres!$A$1:$I$89,5,0)</f>
        <v>192.83159999999995</v>
      </c>
      <c r="BF43" s="14">
        <f t="shared" si="37"/>
        <v>48.165439402688818</v>
      </c>
      <c r="BG43" s="22">
        <f t="shared" si="7"/>
        <v>419.73651029301618</v>
      </c>
      <c r="BH43" s="62">
        <f t="shared" si="8"/>
        <v>667.54952411213696</v>
      </c>
      <c r="BI43" s="62">
        <f ca="1">AVERAGE(OFFSET($BH$3,0,0,'Données projet'!$E$11+1,1))-AVERAGE(OFFSET($H$3,0,0,'Données projet'!$E$11+1,1))</f>
        <v>400.4480038202409</v>
      </c>
      <c r="BJ43" s="62">
        <f t="shared" si="38"/>
        <v>384.86917865380076</v>
      </c>
      <c r="BK43" s="16">
        <f>IF(ISNA(VLOOKUP(A43,'Données projet'!$A$87:$I$107,3,0)),0,VLOOKUP(A43,'Données projet'!$A$87:$I$107,3,0))</f>
        <v>7</v>
      </c>
      <c r="BL43" s="16">
        <f>IF(ISNA(VLOOKUP(A43,'Données projet'!$A$87:$I$107,4,0)),0,VLOOKUP(A43,'Données projet'!$A$87:$I$107,4,0))</f>
        <v>40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21.339042042840923</v>
      </c>
      <c r="BR43" s="23">
        <f>EXP(-LN(2)/2)*BR42+(1-EXP(-LN(2)/2))/(LN(2)/2)*BL43*BO43*VLOOKUP('Données projet'!$B$11,Paramètres!$A$1:$I$89,3,0)*0.475*44/12</f>
        <v>0.35329285341477779</v>
      </c>
      <c r="BS43" s="24">
        <f t="shared" si="9"/>
        <v>21.692334896255701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28.849999999999966</v>
      </c>
      <c r="N44" s="14">
        <f>IF('Données projet'!$A$36&gt;35,N43+M44-V43,IF(A44&lt;'Données projet'!$A$36,$K$205^A44,IF(A44='Données projet'!$A$36,'Données projet'!$B$36,N43+M44-V43)))</f>
        <v>555.04</v>
      </c>
      <c r="O44" s="14">
        <f>N44*VLOOKUP('Données projet'!$B$9,Paramètres!$A$1:$I$89,3,0)*VLOOKUP('Données projet'!$B$9,Paramètres!$A$1:$I$89,5,0)</f>
        <v>310.26736</v>
      </c>
      <c r="P44" s="14">
        <f t="shared" si="33"/>
        <v>73.324662779260194</v>
      </c>
      <c r="Q44" s="22">
        <f t="shared" si="53"/>
        <v>668.08943967387813</v>
      </c>
      <c r="R44" s="62">
        <f t="shared" si="0"/>
        <v>916.69212926838213</v>
      </c>
      <c r="S44" s="62">
        <f ca="1">AVERAGE(OFFSET($R$3,0,0,'Données projet'!$E$9+1,1))-AVERAGE(OFFSET($H$3,0,0,'Données projet'!$E$9+1,1))</f>
        <v>419.0448820879102</v>
      </c>
      <c r="T44" s="62">
        <f t="shared" si="34"/>
        <v>553.33038335026379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4.849427071261375</v>
      </c>
      <c r="AB44" s="23">
        <f>EXP(-LN(2)/2)*AB43+(1-EXP(-LN(2)/2))/(LN(2)/2)*V44*Y44*VLOOKUP('Données projet'!$B$9,Paramètres!$A$1:$I$89,3,0)*0.475*44/12</f>
        <v>1.0121242192845257</v>
      </c>
      <c r="AC44" s="24">
        <f t="shared" si="3"/>
        <v>5.8615512905459006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4.5999999999999996</v>
      </c>
      <c r="AI44" s="14">
        <f>IF('Données projet'!$A$62&gt;35,AI43+AH44-AQ43,IF(A44&lt;'Données projet'!$A$62,$AF$205^A44,IF(A44='Données projet'!$A$62,'Données projet'!$B$62,AI43+AH44-AQ43)))</f>
        <v>235.60000000000005</v>
      </c>
      <c r="AJ44" s="14">
        <f>AI44*VLOOKUP('Données projet'!$B$10,Paramètres!$A$1:$I$89,3,0)*VLOOKUP('Données projet'!$B$10,Paramètres!$A$1:$I$89,5,0)</f>
        <v>128.63760000000002</v>
      </c>
      <c r="AK44" s="14">
        <f t="shared" si="35"/>
        <v>33.681355926028921</v>
      </c>
      <c r="AL44" s="22">
        <f t="shared" si="4"/>
        <v>282.70551490450038</v>
      </c>
      <c r="AM44" s="62">
        <f t="shared" si="5"/>
        <v>531.30820449900432</v>
      </c>
      <c r="AN44" s="62">
        <f ca="1">AVERAGE(OFFSET($AM$3,0,0,'Données projet'!$E$10+1,1))-AVERAGE(OFFSET($H$3,0,0,'Données projet'!$E$10+1,1))</f>
        <v>221.57008282490327</v>
      </c>
      <c r="AO44" s="62">
        <f t="shared" si="36"/>
        <v>320.19912501885199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3.4221683595999841</v>
      </c>
      <c r="AW44" s="23">
        <f>EXP(-LN(2)/2)*AW43+(1-EXP(-LN(2)/2))/(LN(2)/2)*AQ44*AT44*VLOOKUP('Données projet'!$B$10,Paramètres!$A$1:$I$89,3,0)*0.475*44/12</f>
        <v>7.5828531838946694E-2</v>
      </c>
      <c r="AX44" s="23">
        <f t="shared" si="6"/>
        <v>3.4979968914389308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234.39999999999992</v>
      </c>
      <c r="BE44" s="14">
        <f>BD44*VLOOKUP('Données projet'!$B$11,Paramètres!$A$1:$I$89,3,0)*VLOOKUP('Données projet'!$B$11,Paramètres!$A$1:$I$89,5,0)</f>
        <v>171.86207999999993</v>
      </c>
      <c r="BF44" s="14">
        <f t="shared" si="37"/>
        <v>43.506802778694762</v>
      </c>
      <c r="BG44" s="22">
        <f t="shared" si="7"/>
        <v>375.10080417289322</v>
      </c>
      <c r="BH44" s="62">
        <f t="shared" si="8"/>
        <v>623.70349376739716</v>
      </c>
      <c r="BI44" s="62">
        <f ca="1">AVERAGE(OFFSET($BH$3,0,0,'Données projet'!$E$11+1,1))-AVERAGE(OFFSET($H$3,0,0,'Données projet'!$E$11+1,1))</f>
        <v>400.4480038202409</v>
      </c>
      <c r="BJ44" s="62">
        <f t="shared" si="38"/>
        <v>384.86917865380076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20.755524816007988</v>
      </c>
      <c r="BR44" s="23">
        <f>EXP(-LN(2)/2)*BR43+(1-EXP(-LN(2)/2))/(LN(2)/2)*BL44*BO44*VLOOKUP('Données projet'!$B$11,Paramètres!$A$1:$I$89,3,0)*0.475*44/12</f>
        <v>0.24981577239433431</v>
      </c>
      <c r="BS44" s="24">
        <f t="shared" si="9"/>
        <v>21.005340588402323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583.89</v>
      </c>
      <c r="L45" s="13">
        <f>VLOOKUP(A45,'Données projet'!$A$35:$I$55,9,0)</f>
        <v>28.849999999999966</v>
      </c>
      <c r="M45" s="13">
        <f t="array" ref="M45">INDEX(L:L,MIN(IF(ISNUMBER(L45:L241),ROW(L45:L241),"")))</f>
        <v>28.849999999999966</v>
      </c>
      <c r="N45" s="14">
        <f>IF('Données projet'!$A$36&gt;35,N44+M45-V44,IF(A45&lt;'Données projet'!$A$36,$K$205^A45,IF(A45='Données projet'!$A$36,'Données projet'!$B$36,N44+M45-V44)))</f>
        <v>583.88999999999987</v>
      </c>
      <c r="O45" s="14">
        <f>N45*VLOOKUP('Données projet'!$B$9,Paramètres!$A$1:$I$89,3,0)*VLOOKUP('Données projet'!$B$9,Paramètres!$A$1:$I$89,5,0)</f>
        <v>326.39450999999991</v>
      </c>
      <c r="P45" s="14">
        <f t="shared" si="33"/>
        <v>76.68231983802859</v>
      </c>
      <c r="Q45" s="22">
        <f t="shared" si="53"/>
        <v>702.0254786345663</v>
      </c>
      <c r="R45" s="62">
        <f t="shared" si="0"/>
        <v>951.40414489520106</v>
      </c>
      <c r="S45" s="62">
        <f ca="1">AVERAGE(OFFSET($R$3,0,0,'Données projet'!$E$9+1,1))-AVERAGE(OFFSET($H$3,0,0,'Données projet'!$E$9+1,1))</f>
        <v>419.0448820879102</v>
      </c>
      <c r="T45" s="62">
        <f t="shared" si="34"/>
        <v>553.33038335026379</v>
      </c>
      <c r="U45" s="16">
        <f>IF(ISNA(VLOOKUP(A45,'Données projet'!$A$35:$I$55,3,0)),0,VLOOKUP(A45,'Données projet'!$A$35:$I$55,3,0))</f>
        <v>14</v>
      </c>
      <c r="V45" s="16">
        <f>IF(ISNA(VLOOKUP(A45,'Données projet'!$A$35:$I$55,4,0)),0,VLOOKUP(A45,'Données projet'!$A$35:$I$55,4,0))</f>
        <v>91.25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4.7168192329774463</v>
      </c>
      <c r="AB45" s="23">
        <f>EXP(-LN(2)/2)*AB44+(1-EXP(-LN(2)/2))/(LN(2)/2)*V45*Y45*VLOOKUP('Données projet'!$B$9,Paramètres!$A$1:$I$89,3,0)*0.475*44/12</f>
        <v>0.71567989885922834</v>
      </c>
      <c r="AC45" s="24">
        <f t="shared" si="3"/>
        <v>5.4324991318366749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4.5999999999999996</v>
      </c>
      <c r="AI45" s="14">
        <f>IF('Données projet'!$A$62&gt;35,AI44+AH45-AQ44,IF(A45&lt;'Données projet'!$A$62,$AF$205^A45,IF(A45='Données projet'!$A$62,'Données projet'!$B$62,AI44+AH45-AQ44)))</f>
        <v>240.20000000000005</v>
      </c>
      <c r="AJ45" s="14">
        <f>AI45*VLOOKUP('Données projet'!$B$10,Paramètres!$A$1:$I$89,3,0)*VLOOKUP('Données projet'!$B$10,Paramètres!$A$1:$I$89,5,0)</f>
        <v>131.14920000000004</v>
      </c>
      <c r="AK45" s="14">
        <f t="shared" si="35"/>
        <v>34.261769537926085</v>
      </c>
      <c r="AL45" s="22">
        <f t="shared" si="4"/>
        <v>288.09077194522132</v>
      </c>
      <c r="AM45" s="62">
        <f t="shared" si="5"/>
        <v>537.46943820585602</v>
      </c>
      <c r="AN45" s="62">
        <f ca="1">AVERAGE(OFFSET($AM$3,0,0,'Données projet'!$E$10+1,1))-AVERAGE(OFFSET($H$3,0,0,'Données projet'!$E$10+1,1))</f>
        <v>221.57008282490327</v>
      </c>
      <c r="AO45" s="62">
        <f t="shared" si="36"/>
        <v>320.19912501885199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3.32858898584271</v>
      </c>
      <c r="AW45" s="23">
        <f>EXP(-LN(2)/2)*AW44+(1-EXP(-LN(2)/2))/(LN(2)/2)*AQ45*AT45*VLOOKUP('Données projet'!$B$10,Paramètres!$A$1:$I$89,3,0)*0.475*44/12</f>
        <v>5.3618869070739233E-2</v>
      </c>
      <c r="AX45" s="23">
        <f t="shared" si="6"/>
        <v>3.3822078549134491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245.79999999999993</v>
      </c>
      <c r="BE45" s="14">
        <f>BD45*VLOOKUP('Données projet'!$B$11,Paramètres!$A$1:$I$89,3,0)*VLOOKUP('Données projet'!$B$11,Paramètres!$A$1:$I$89,5,0)</f>
        <v>180.22055999999992</v>
      </c>
      <c r="BF45" s="14">
        <f t="shared" si="37"/>
        <v>45.371253205145926</v>
      </c>
      <c r="BG45" s="22">
        <f t="shared" si="7"/>
        <v>392.90574133229569</v>
      </c>
      <c r="BH45" s="62">
        <f t="shared" si="8"/>
        <v>642.28440759293039</v>
      </c>
      <c r="BI45" s="62">
        <f ca="1">AVERAGE(OFFSET($BH$3,0,0,'Données projet'!$E$11+1,1))-AVERAGE(OFFSET($H$3,0,0,'Données projet'!$E$11+1,1))</f>
        <v>400.4480038202409</v>
      </c>
      <c r="BJ45" s="62">
        <f t="shared" si="38"/>
        <v>384.86917865380076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20.187963898428638</v>
      </c>
      <c r="BR45" s="23">
        <f>EXP(-LN(2)/2)*BR44+(1-EXP(-LN(2)/2))/(LN(2)/2)*BL45*BO45*VLOOKUP('Données projet'!$B$11,Paramètres!$A$1:$I$89,3,0)*0.475*44/12</f>
        <v>0.17664642670738892</v>
      </c>
      <c r="BS45" s="24">
        <f t="shared" si="9"/>
        <v>20.364610325136027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26.495000000000005</v>
      </c>
      <c r="N46" s="14">
        <f>IF('Données projet'!$A$36&gt;35,N45+M46-V45,IF(A46&lt;'Données projet'!$A$36,$K$205^A46,IF(A46='Données projet'!$A$36,'Données projet'!$B$36,N45+M46-V45)))</f>
        <v>519.13499999999988</v>
      </c>
      <c r="O46" s="14">
        <f>N46*VLOOKUP('Données projet'!$B$9,Paramètres!$A$1:$I$89,3,0)*VLOOKUP('Données projet'!$B$9,Paramètres!$A$1:$I$89,5,0)</f>
        <v>290.19646499999993</v>
      </c>
      <c r="P46" s="14">
        <f t="shared" si="33"/>
        <v>69.11730885855718</v>
      </c>
      <c r="Q46" s="22">
        <f t="shared" si="53"/>
        <v>625.80482280365356</v>
      </c>
      <c r="R46" s="62">
        <f t="shared" si="0"/>
        <v>875.94600427008561</v>
      </c>
      <c r="S46" s="62">
        <f ca="1">AVERAGE(OFFSET($R$3,0,0,'Données projet'!$E$9+1,1))-AVERAGE(OFFSET($H$3,0,0,'Données projet'!$E$9+1,1))</f>
        <v>419.0448820879102</v>
      </c>
      <c r="T46" s="62">
        <f t="shared" si="34"/>
        <v>553.33038335026379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4.5878375630049346</v>
      </c>
      <c r="AB46" s="23">
        <f>EXP(-LN(2)/2)*AB45+(1-EXP(-LN(2)/2))/(LN(2)/2)*V46*Y46*VLOOKUP('Données projet'!$B$9,Paramètres!$A$1:$I$89,3,0)*0.475*44/12</f>
        <v>0.50606210964226284</v>
      </c>
      <c r="AC46" s="24">
        <f t="shared" si="3"/>
        <v>5.093899672647197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4.5999999999999996</v>
      </c>
      <c r="AI46" s="14">
        <f>IF('Données projet'!$A$62&gt;35,AI45+AH46-AQ45,IF(A46&lt;'Données projet'!$A$62,$AF$205^A46,IF(A46='Données projet'!$A$62,'Données projet'!$B$62,AI45+AH46-AQ45)))</f>
        <v>244.80000000000004</v>
      </c>
      <c r="AJ46" s="14">
        <f>AI46*VLOOKUP('Données projet'!$B$10,Paramètres!$A$1:$I$89,3,0)*VLOOKUP('Données projet'!$B$10,Paramètres!$A$1:$I$89,5,0)</f>
        <v>133.66080000000002</v>
      </c>
      <c r="AK46" s="14">
        <f t="shared" si="35"/>
        <v>34.840890682716747</v>
      </c>
      <c r="AL46" s="22">
        <f t="shared" si="4"/>
        <v>293.47377793906503</v>
      </c>
      <c r="AM46" s="62">
        <f t="shared" si="5"/>
        <v>543.61495940549707</v>
      </c>
      <c r="AN46" s="62">
        <f ca="1">AVERAGE(OFFSET($AM$3,0,0,'Données projet'!$E$10+1,1))-AVERAGE(OFFSET($H$3,0,0,'Données projet'!$E$10+1,1))</f>
        <v>221.57008282490327</v>
      </c>
      <c r="AO46" s="62">
        <f t="shared" si="36"/>
        <v>320.19912501885199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3.2375685449819538</v>
      </c>
      <c r="AW46" s="23">
        <f>EXP(-LN(2)/2)*AW45+(1-EXP(-LN(2)/2))/(LN(2)/2)*AQ46*AT46*VLOOKUP('Données projet'!$B$10,Paramètres!$A$1:$I$89,3,0)*0.475*44/12</f>
        <v>3.7914265919473347E-2</v>
      </c>
      <c r="AX46" s="23">
        <f t="shared" si="6"/>
        <v>3.2754828109014271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257.19999999999993</v>
      </c>
      <c r="BE46" s="14">
        <f>BD46*VLOOKUP('Données projet'!$B$11,Paramètres!$A$1:$I$89,3,0)*VLOOKUP('Données projet'!$B$11,Paramètres!$A$1:$I$89,5,0)</f>
        <v>188.57903999999994</v>
      </c>
      <c r="BF46" s="14">
        <f t="shared" si="37"/>
        <v>47.22566164876563</v>
      </c>
      <c r="BG46" s="22">
        <f t="shared" si="7"/>
        <v>410.69318870493333</v>
      </c>
      <c r="BH46" s="62">
        <f t="shared" si="8"/>
        <v>660.83437017136544</v>
      </c>
      <c r="BI46" s="62">
        <f ca="1">AVERAGE(OFFSET($BH$3,0,0,'Données projet'!$E$11+1,1))-AVERAGE(OFFSET($H$3,0,0,'Données projet'!$E$11+1,1))</f>
        <v>400.4480038202409</v>
      </c>
      <c r="BJ46" s="62">
        <f t="shared" si="38"/>
        <v>384.86917865380076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19.635922963987227</v>
      </c>
      <c r="BR46" s="23">
        <f>EXP(-LN(2)/2)*BR45+(1-EXP(-LN(2)/2))/(LN(2)/2)*BL46*BO46*VLOOKUP('Données projet'!$B$11,Paramètres!$A$1:$I$89,3,0)*0.475*44/12</f>
        <v>0.12490788619716717</v>
      </c>
      <c r="BS46" s="24">
        <f t="shared" si="9"/>
        <v>19.760830850184394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>
        <f>VLOOKUP(A47,'Données projet'!$A$35:$I$55,2,0)</f>
        <v>545.63</v>
      </c>
      <c r="L47" s="13">
        <f>VLOOKUP(A47,'Données projet'!$A$35:$I$55,9,0)</f>
        <v>26.495000000000005</v>
      </c>
      <c r="M47" s="13">
        <f t="array" ref="M47">INDEX(L:L,MIN(IF(ISNUMBER(L47:L243),ROW(L47:L243),"")))</f>
        <v>26.495000000000005</v>
      </c>
      <c r="N47" s="14">
        <f>IF('Données projet'!$A$36&gt;35,N46+M47-V46,IF(A47&lt;'Données projet'!$A$36,$K$205^A47,IF(A47='Données projet'!$A$36,'Données projet'!$B$36,N46+M47-V46)))</f>
        <v>545.62999999999988</v>
      </c>
      <c r="O47" s="14">
        <f>N47*VLOOKUP('Données projet'!$B$9,Paramètres!$A$1:$I$89,3,0)*VLOOKUP('Données projet'!$B$9,Paramètres!$A$1:$I$89,5,0)</f>
        <v>305.00716999999992</v>
      </c>
      <c r="P47" s="14">
        <f t="shared" si="33"/>
        <v>72.225145248700485</v>
      </c>
      <c r="Q47" s="22">
        <f t="shared" si="53"/>
        <v>657.01294905815314</v>
      </c>
      <c r="R47" s="62">
        <f t="shared" si="0"/>
        <v>907.90341779629057</v>
      </c>
      <c r="S47" s="62">
        <f ca="1">AVERAGE(OFFSET($R$3,0,0,'Données projet'!$E$9+1,1))-AVERAGE(OFFSET($H$3,0,0,'Données projet'!$E$9+1,1))</f>
        <v>419.0448820879102</v>
      </c>
      <c r="T47" s="62">
        <f t="shared" si="34"/>
        <v>553.33038335026379</v>
      </c>
      <c r="U47" s="16">
        <f>IF(ISNA(VLOOKUP(A47,'Données projet'!$A$35:$I$55,3,0)),0,VLOOKUP(A47,'Données projet'!$A$35:$I$55,3,0))</f>
        <v>15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4.4623829035806732</v>
      </c>
      <c r="AB47" s="23">
        <f>EXP(-LN(2)/2)*AB46+(1-EXP(-LN(2)/2))/(LN(2)/2)*V47*Y47*VLOOKUP('Données projet'!$B$9,Paramètres!$A$1:$I$89,3,0)*0.475*44/12</f>
        <v>0.35783994942961417</v>
      </c>
      <c r="AC47" s="24">
        <f t="shared" si="3"/>
        <v>4.8202228530102875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4.5999999999999996</v>
      </c>
      <c r="AI47" s="14">
        <f>IF('Données projet'!$A$62&gt;35,AI46+AH47-AQ46,IF(A47&lt;'Données projet'!$A$62,$AF$205^A47,IF(A47='Données projet'!$A$62,'Données projet'!$B$62,AI46+AH47-AQ46)))</f>
        <v>249.40000000000003</v>
      </c>
      <c r="AJ47" s="14">
        <f>AI47*VLOOKUP('Données projet'!$B$10,Paramètres!$A$1:$I$89,3,0)*VLOOKUP('Données projet'!$B$10,Paramètres!$A$1:$I$89,5,0)</f>
        <v>136.17240000000001</v>
      </c>
      <c r="AK47" s="14">
        <f t="shared" si="35"/>
        <v>35.418746447495963</v>
      </c>
      <c r="AL47" s="22">
        <f t="shared" si="4"/>
        <v>298.85458006272216</v>
      </c>
      <c r="AM47" s="62">
        <f t="shared" si="5"/>
        <v>549.74504880085965</v>
      </c>
      <c r="AN47" s="62">
        <f ca="1">AVERAGE(OFFSET($AM$3,0,0,'Données projet'!$E$10+1,1))-AVERAGE(OFFSET($H$3,0,0,'Données projet'!$E$10+1,1))</f>
        <v>221.57008282490327</v>
      </c>
      <c r="AO47" s="62">
        <f t="shared" si="36"/>
        <v>320.19912501885199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3.1490370628630919</v>
      </c>
      <c r="AW47" s="23">
        <f>EXP(-LN(2)/2)*AW46+(1-EXP(-LN(2)/2))/(LN(2)/2)*AQ47*AT47*VLOOKUP('Données projet'!$B$10,Paramètres!$A$1:$I$89,3,0)*0.475*44/12</f>
        <v>2.6809434535369617E-2</v>
      </c>
      <c r="AX47" s="23">
        <f t="shared" si="6"/>
        <v>3.1758464973984615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268.59999999999991</v>
      </c>
      <c r="BE47" s="14">
        <f>BD47*VLOOKUP('Données projet'!$B$11,Paramètres!$A$1:$I$89,3,0)*VLOOKUP('Données projet'!$B$11,Paramètres!$A$1:$I$89,5,0)</f>
        <v>196.93751999999992</v>
      </c>
      <c r="BF47" s="14">
        <f t="shared" si="37"/>
        <v>49.070524066369494</v>
      </c>
      <c r="BG47" s="22">
        <f t="shared" si="7"/>
        <v>428.46401008226007</v>
      </c>
      <c r="BH47" s="62">
        <f t="shared" si="8"/>
        <v>679.3544788203975</v>
      </c>
      <c r="BI47" s="62">
        <f ca="1">AVERAGE(OFFSET($BH$3,0,0,'Données projet'!$E$11+1,1))-AVERAGE(OFFSET($H$3,0,0,'Données projet'!$E$11+1,1))</f>
        <v>400.4480038202409</v>
      </c>
      <c r="BJ47" s="62">
        <f t="shared" si="38"/>
        <v>384.86917865380076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19.098977617928686</v>
      </c>
      <c r="BR47" s="23">
        <f>EXP(-LN(2)/2)*BR46+(1-EXP(-LN(2)/2))/(LN(2)/2)*BL47*BO47*VLOOKUP('Données projet'!$B$11,Paramètres!$A$1:$I$89,3,0)*0.475*44/12</f>
        <v>8.8323213353694474E-2</v>
      </c>
      <c r="BS47" s="24">
        <f t="shared" si="9"/>
        <v>19.187300831282379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27.08499999999998</v>
      </c>
      <c r="N48" s="14">
        <f>IF('Données projet'!$A$36&gt;35,N47+M48-V47,IF(A48&lt;'Données projet'!$A$36,$K$205^A48,IF(A48='Données projet'!$A$36,'Données projet'!$B$36,N47+M48-V47)))</f>
        <v>572.71499999999992</v>
      </c>
      <c r="O48" s="14">
        <f>N48*VLOOKUP('Données projet'!$B$9,Paramètres!$A$1:$I$89,3,0)*VLOOKUP('Données projet'!$B$9,Paramètres!$A$1:$I$89,5,0)</f>
        <v>320.14768499999997</v>
      </c>
      <c r="P48" s="14">
        <f t="shared" si="33"/>
        <v>75.384081573989107</v>
      </c>
      <c r="Q48" s="22">
        <f t="shared" si="53"/>
        <v>688.88449344969774</v>
      </c>
      <c r="R48" s="62">
        <f t="shared" si="0"/>
        <v>940.51125100053184</v>
      </c>
      <c r="S48" s="62">
        <f ca="1">AVERAGE(OFFSET($R$3,0,0,'Données projet'!$E$9+1,1))-AVERAGE(OFFSET($H$3,0,0,'Données projet'!$E$9+1,1))</f>
        <v>419.0448820879102</v>
      </c>
      <c r="T48" s="62">
        <f t="shared" si="34"/>
        <v>553.33038335026379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4.3403588084157416</v>
      </c>
      <c r="AB48" s="23">
        <f>EXP(-LN(2)/2)*AB47+(1-EXP(-LN(2)/2))/(LN(2)/2)*V48*Y48*VLOOKUP('Données projet'!$B$9,Paramètres!$A$1:$I$89,3,0)*0.475*44/12</f>
        <v>0.25303105482113142</v>
      </c>
      <c r="AC48" s="24">
        <f t="shared" si="3"/>
        <v>4.5933898632368733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254</v>
      </c>
      <c r="AG48" s="13">
        <f>VLOOKUP(A48,'Données projet'!$A$61:$I$81,9,0)</f>
        <v>4.5999999999999996</v>
      </c>
      <c r="AH48" s="13">
        <f t="array" ref="AH48">INDEX(AG:AG,MIN(IF(ISNUMBER(AG48:AG244),ROW(AG48:AG244),"")))</f>
        <v>4.5999999999999996</v>
      </c>
      <c r="AI48" s="14">
        <f>IF('Données projet'!$A$62&gt;35,AI47+AH48-AQ47,IF(A48&lt;'Données projet'!$A$62,$AF$205^A48,IF(A48='Données projet'!$A$62,'Données projet'!$B$62,AI47+AH48-AQ47)))</f>
        <v>254.00000000000003</v>
      </c>
      <c r="AJ48" s="14">
        <f>AI48*VLOOKUP('Données projet'!$B$10,Paramètres!$A$1:$I$89,3,0)*VLOOKUP('Données projet'!$B$10,Paramètres!$A$1:$I$89,5,0)</f>
        <v>138.68400000000003</v>
      </c>
      <c r="AK48" s="14">
        <f t="shared" si="35"/>
        <v>35.995362862956824</v>
      </c>
      <c r="AL48" s="22">
        <f t="shared" si="4"/>
        <v>304.23322365298316</v>
      </c>
      <c r="AM48" s="62">
        <f t="shared" si="5"/>
        <v>555.85998120381726</v>
      </c>
      <c r="AN48" s="62">
        <f ca="1">AVERAGE(OFFSET($AM$3,0,0,'Données projet'!$E$10+1,1))-AVERAGE(OFFSET($H$3,0,0,'Données projet'!$E$10+1,1))</f>
        <v>221.57008282490327</v>
      </c>
      <c r="AO48" s="62">
        <f t="shared" si="36"/>
        <v>320.19912501885199</v>
      </c>
      <c r="AP48" s="16">
        <f>IF(ISNA(VLOOKUP(A48,'Données projet'!$A$61:$I$81,3,0)),0,VLOOKUP(A48,'Données projet'!$A$61:$I$81,3,0))</f>
        <v>8</v>
      </c>
      <c r="AQ48" s="16">
        <f>IF(ISNA(VLOOKUP(A48,'Données projet'!$A$61:$I$81,4,0)),0,VLOOKUP(A48,'Données projet'!$A$61:$I$81,4,0))</f>
        <v>12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3.0629264787784387</v>
      </c>
      <c r="AW48" s="23">
        <f>EXP(-LN(2)/2)*AW47+(1-EXP(-LN(2)/2))/(LN(2)/2)*AQ48*AT48*VLOOKUP('Données projet'!$B$10,Paramètres!$A$1:$I$89,3,0)*0.475*44/12</f>
        <v>1.8957132959736674E-2</v>
      </c>
      <c r="AX48" s="23">
        <f t="shared" si="6"/>
        <v>3.0818836117381756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280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279.99999999999989</v>
      </c>
      <c r="BE48" s="14">
        <f>BD48*VLOOKUP('Données projet'!$B$11,Paramètres!$A$1:$I$89,3,0)*VLOOKUP('Données projet'!$B$11,Paramètres!$A$1:$I$89,5,0)</f>
        <v>205.29599999999991</v>
      </c>
      <c r="BF48" s="14">
        <f t="shared" si="37"/>
        <v>50.906291934375353</v>
      </c>
      <c r="BG48" s="22">
        <f t="shared" si="7"/>
        <v>446.21899178570357</v>
      </c>
      <c r="BH48" s="62">
        <f t="shared" si="8"/>
        <v>697.84574933653766</v>
      </c>
      <c r="BI48" s="62">
        <f ca="1">AVERAGE(OFFSET($BH$3,0,0,'Données projet'!$E$11+1,1))-AVERAGE(OFFSET($H$3,0,0,'Données projet'!$E$11+1,1))</f>
        <v>400.4480038202409</v>
      </c>
      <c r="BJ48" s="62">
        <f t="shared" si="38"/>
        <v>384.86917865380076</v>
      </c>
      <c r="BK48" s="16">
        <f>IF(ISNA(VLOOKUP(A48,'Données projet'!$A$87:$I$107,3,0)),0,VLOOKUP(A48,'Données projet'!$A$87:$I$107,3,0))</f>
        <v>8</v>
      </c>
      <c r="BL48" s="16">
        <f>IF(ISNA(VLOOKUP(A48,'Données projet'!$A$87:$I$107,4,0)),0,VLOOKUP(A48,'Données projet'!$A$87:$I$107,4,0))</f>
        <v>26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18.576715070594844</v>
      </c>
      <c r="BR48" s="23">
        <f>EXP(-LN(2)/2)*BR47+(1-EXP(-LN(2)/2))/(LN(2)/2)*BL48*BO48*VLOOKUP('Données projet'!$B$11,Paramètres!$A$1:$I$89,3,0)*0.475*44/12</f>
        <v>6.2453943098583597E-2</v>
      </c>
      <c r="BS48" s="24">
        <f t="shared" si="9"/>
        <v>18.639169013693426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>
        <f>VLOOKUP(A49,'Données projet'!$A$35:$I$55,2,0)</f>
        <v>599.79999999999995</v>
      </c>
      <c r="L49" s="13">
        <f>VLOOKUP(A49,'Données projet'!$A$35:$I$55,9,0)</f>
        <v>27.08499999999998</v>
      </c>
      <c r="M49" s="13">
        <f t="array" ref="M49">INDEX(L:L,MIN(IF(ISNUMBER(L49:L245),ROW(L49:L245),"")))</f>
        <v>27.08499999999998</v>
      </c>
      <c r="N49" s="14">
        <f>IF('Données projet'!$A$36&gt;35,N48+M49-V48,IF(A49&lt;'Données projet'!$A$36,$K$205^A49,IF(A49='Données projet'!$A$36,'Données projet'!$B$36,N48+M49-V48)))</f>
        <v>599.79999999999995</v>
      </c>
      <c r="O49" s="14">
        <f>N49*VLOOKUP('Données projet'!$B$9,Paramètres!$A$1:$I$89,3,0)*VLOOKUP('Données projet'!$B$9,Paramètres!$A$1:$I$89,5,0)</f>
        <v>335.28820000000002</v>
      </c>
      <c r="P49" s="14">
        <f t="shared" si="33"/>
        <v>78.525669464786546</v>
      </c>
      <c r="Q49" s="22">
        <f t="shared" si="53"/>
        <v>720.72582265116989</v>
      </c>
      <c r="R49" s="62">
        <f t="shared" si="0"/>
        <v>973.07609604989557</v>
      </c>
      <c r="S49" s="62">
        <f ca="1">AVERAGE(OFFSET($R$3,0,0,'Données projet'!$E$9+1,1))-AVERAGE(OFFSET($H$3,0,0,'Données projet'!$E$9+1,1))</f>
        <v>419.0448820879102</v>
      </c>
      <c r="T49" s="62">
        <f t="shared" si="34"/>
        <v>553.33038335026379</v>
      </c>
      <c r="U49" s="16">
        <f>IF(ISNA(VLOOKUP(A49,'Données projet'!$A$35:$I$55,3,0)),0,VLOOKUP(A49,'Données projet'!$A$35:$I$55,3,0))</f>
        <v>16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4.2216714685500634</v>
      </c>
      <c r="AB49" s="23">
        <f>EXP(-LN(2)/2)*AB48+(1-EXP(-LN(2)/2))/(LN(2)/2)*V49*Y49*VLOOKUP('Données projet'!$B$9,Paramètres!$A$1:$I$89,3,0)*0.475*44/12</f>
        <v>0.17891997471480708</v>
      </c>
      <c r="AC49" s="24">
        <f t="shared" si="3"/>
        <v>4.4005914432648705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3.4</v>
      </c>
      <c r="AI49" s="14">
        <f>IF('Données projet'!$A$62&gt;35,AI48+AH49-AQ48,IF(A49&lt;'Données projet'!$A$62,$AF$205^A49,IF(A49='Données projet'!$A$62,'Données projet'!$B$62,AI48+AH49-AQ48)))</f>
        <v>245.40000000000003</v>
      </c>
      <c r="AJ49" s="14">
        <f>AI49*VLOOKUP('Données projet'!$B$10,Paramètres!$A$1:$I$89,3,0)*VLOOKUP('Données projet'!$B$10,Paramètres!$A$1:$I$89,5,0)</f>
        <v>133.98840000000001</v>
      </c>
      <c r="AK49" s="14">
        <f t="shared" si="35"/>
        <v>34.916334367910679</v>
      </c>
      <c r="AL49" s="22">
        <f t="shared" si="4"/>
        <v>294.17574569077777</v>
      </c>
      <c r="AM49" s="62">
        <f t="shared" si="5"/>
        <v>546.52601908950339</v>
      </c>
      <c r="AN49" s="62">
        <f ca="1">AVERAGE(OFFSET($AM$3,0,0,'Données projet'!$E$10+1,1))-AVERAGE(OFFSET($H$3,0,0,'Données projet'!$E$10+1,1))</f>
        <v>221.57008282490327</v>
      </c>
      <c r="AO49" s="62">
        <f t="shared" si="36"/>
        <v>320.19912501885199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2.9791705931439392</v>
      </c>
      <c r="AW49" s="23">
        <f>EXP(-LN(2)/2)*AW48+(1-EXP(-LN(2)/2))/(LN(2)/2)*AQ49*AT49*VLOOKUP('Données projet'!$B$10,Paramètres!$A$1:$I$89,3,0)*0.475*44/12</f>
        <v>1.3404717267684808E-2</v>
      </c>
      <c r="AX49" s="23">
        <f t="shared" si="6"/>
        <v>2.9925753104116239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9.8000000000000007</v>
      </c>
      <c r="BD49" s="13">
        <f>IF('Données projet'!$A$88&gt;35,BD48+BC49-BL48,IF(A49&lt;'Données projet'!$A$88,$BA$205^A49,IF(A49='Données projet'!$A$88,'Données projet'!$B$88,BD48+BC49-BL48)))</f>
        <v>263.7999999999999</v>
      </c>
      <c r="BE49" s="14">
        <f>BD49*VLOOKUP('Données projet'!$B$11,Paramètres!$A$1:$I$89,3,0)*VLOOKUP('Données projet'!$B$11,Paramètres!$A$1:$I$89,5,0)</f>
        <v>193.41815999999992</v>
      </c>
      <c r="BF49" s="14">
        <f t="shared" si="37"/>
        <v>48.294873490521283</v>
      </c>
      <c r="BG49" s="22">
        <f t="shared" si="7"/>
        <v>420.98353332932442</v>
      </c>
      <c r="BH49" s="62">
        <f t="shared" si="8"/>
        <v>673.33380672805004</v>
      </c>
      <c r="BI49" s="62">
        <f ca="1">AVERAGE(OFFSET($BH$3,0,0,'Données projet'!$E$11+1,1))-AVERAGE(OFFSET($H$3,0,0,'Données projet'!$E$11+1,1))</f>
        <v>400.4480038202409</v>
      </c>
      <c r="BJ49" s="62">
        <f t="shared" si="38"/>
        <v>384.86917865380076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18.068733820082439</v>
      </c>
      <c r="BR49" s="23">
        <f>EXP(-LN(2)/2)*BR48+(1-EXP(-LN(2)/2))/(LN(2)/2)*BL49*BO49*VLOOKUP('Données projet'!$B$11,Paramètres!$A$1:$I$89,3,0)*0.475*44/12</f>
        <v>4.4161606676847244E-2</v>
      </c>
      <c r="BS49" s="24">
        <f t="shared" si="9"/>
        <v>18.112895426759287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27.625</v>
      </c>
      <c r="N50" s="14">
        <f>IF('Données projet'!$A$36&gt;35,N49+M50-V49,IF(A50&lt;'Données projet'!$A$36,$K$205^A50,IF(A50='Données projet'!$A$36,'Données projet'!$B$36,N49+M50-V49)))</f>
        <v>627.42499999999995</v>
      </c>
      <c r="O50" s="14">
        <f>N50*VLOOKUP('Données projet'!$B$9,Paramètres!$A$1:$I$89,3,0)*VLOOKUP('Données projet'!$B$9,Paramètres!$A$1:$I$89,5,0)</f>
        <v>350.73057499999993</v>
      </c>
      <c r="P50" s="14">
        <f t="shared" si="33"/>
        <v>81.712925956903931</v>
      </c>
      <c r="Q50" s="22">
        <f t="shared" si="53"/>
        <v>753.17243083327423</v>
      </c>
      <c r="R50" s="62">
        <f t="shared" si="0"/>
        <v>1006.2336686974696</v>
      </c>
      <c r="S50" s="62">
        <f ca="1">AVERAGE(OFFSET($R$3,0,0,'Données projet'!$E$9+1,1))-AVERAGE(OFFSET($H$3,0,0,'Données projet'!$E$9+1,1))</f>
        <v>419.0448820879102</v>
      </c>
      <c r="T50" s="62">
        <f t="shared" si="34"/>
        <v>553.33038335026379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4.106229640234508</v>
      </c>
      <c r="AB50" s="23">
        <f>EXP(-LN(2)/2)*AB49+(1-EXP(-LN(2)/2))/(LN(2)/2)*V50*Y50*VLOOKUP('Données projet'!$B$9,Paramètres!$A$1:$I$89,3,0)*0.475*44/12</f>
        <v>0.12651552741056571</v>
      </c>
      <c r="AC50" s="24">
        <f t="shared" si="3"/>
        <v>4.2327451676450734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3.4</v>
      </c>
      <c r="AI50" s="14">
        <f>IF('Données projet'!$A$62&gt;35,AI49+AH50-AQ49,IF(A50&lt;'Données projet'!$A$62,$AF$205^A50,IF(A50='Données projet'!$A$62,'Données projet'!$B$62,AI49+AH50-AQ49)))</f>
        <v>248.80000000000004</v>
      </c>
      <c r="AJ50" s="14">
        <f>AI50*VLOOKUP('Données projet'!$B$10,Paramètres!$A$1:$I$89,3,0)*VLOOKUP('Données projet'!$B$10,Paramètres!$A$1:$I$89,5,0)</f>
        <v>135.84480000000002</v>
      </c>
      <c r="AK50" s="14">
        <f t="shared" si="35"/>
        <v>35.343444786954898</v>
      </c>
      <c r="AL50" s="22">
        <f t="shared" si="4"/>
        <v>298.15285967061317</v>
      </c>
      <c r="AM50" s="62">
        <f t="shared" si="5"/>
        <v>551.21409753480862</v>
      </c>
      <c r="AN50" s="62">
        <f ca="1">AVERAGE(OFFSET($AM$3,0,0,'Données projet'!$E$10+1,1))-AVERAGE(OFFSET($H$3,0,0,'Données projet'!$E$10+1,1))</f>
        <v>221.57008282490327</v>
      </c>
      <c r="AO50" s="62">
        <f t="shared" si="36"/>
        <v>320.19912501885199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2.8977050166066456</v>
      </c>
      <c r="AW50" s="23">
        <f>EXP(-LN(2)/2)*AW49+(1-EXP(-LN(2)/2))/(LN(2)/2)*AQ50*AT50*VLOOKUP('Données projet'!$B$10,Paramètres!$A$1:$I$89,3,0)*0.475*44/12</f>
        <v>9.4785664798683368E-3</v>
      </c>
      <c r="AX50" s="23">
        <f t="shared" si="6"/>
        <v>2.907183583086514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9.8000000000000007</v>
      </c>
      <c r="BD50" s="13">
        <f>IF('Données projet'!$A$88&gt;35,BD49+BC50-BL49,IF(A50&lt;'Données projet'!$A$88,$BA$205^A50,IF(A50='Données projet'!$A$88,'Données projet'!$B$88,BD49+BC50-BL49)))</f>
        <v>273.59999999999991</v>
      </c>
      <c r="BE50" s="14">
        <f>BD50*VLOOKUP('Données projet'!$B$11,Paramètres!$A$1:$I$89,3,0)*VLOOKUP('Données projet'!$B$11,Paramètres!$A$1:$I$89,5,0)</f>
        <v>200.60351999999995</v>
      </c>
      <c r="BF50" s="14">
        <f t="shared" si="37"/>
        <v>49.87677988675906</v>
      </c>
      <c r="BG50" s="22">
        <f t="shared" si="7"/>
        <v>436.25318896943855</v>
      </c>
      <c r="BH50" s="62">
        <f t="shared" si="8"/>
        <v>689.31442683363389</v>
      </c>
      <c r="BI50" s="62">
        <f ca="1">AVERAGE(OFFSET($BH$3,0,0,'Données projet'!$E$11+1,1))-AVERAGE(OFFSET($H$3,0,0,'Données projet'!$E$11+1,1))</f>
        <v>400.4480038202409</v>
      </c>
      <c r="BJ50" s="62">
        <f t="shared" si="38"/>
        <v>384.86917865380076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17.57464334357887</v>
      </c>
      <c r="BR50" s="23">
        <f>EXP(-LN(2)/2)*BR49+(1-EXP(-LN(2)/2))/(LN(2)/2)*BL50*BO50*VLOOKUP('Données projet'!$B$11,Paramètres!$A$1:$I$89,3,0)*0.475*44/12</f>
        <v>3.1226971549291802E-2</v>
      </c>
      <c r="BS50" s="24">
        <f t="shared" si="9"/>
        <v>17.605870315128161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>
        <f>VLOOKUP(A51,'Données projet'!$A$35:$I$55,2,0)</f>
        <v>655.04999999999995</v>
      </c>
      <c r="L51" s="13">
        <f>VLOOKUP(A51,'Données projet'!$A$35:$I$55,9,0)</f>
        <v>27.625</v>
      </c>
      <c r="M51" s="13">
        <f t="array" ref="M51">INDEX(L:L,MIN(IF(ISNUMBER(L51:L247),ROW(L51:L247),"")))</f>
        <v>27.625</v>
      </c>
      <c r="N51" s="14">
        <f>IF('Données projet'!$A$36&gt;35,N50+M51-V50,IF(A51&lt;'Données projet'!$A$36,$K$205^A51,IF(A51='Données projet'!$A$36,'Données projet'!$B$36,N50+M51-V50)))</f>
        <v>655.04999999999995</v>
      </c>
      <c r="O51" s="14">
        <f>N51*VLOOKUP('Données projet'!$B$9,Paramètres!$A$1:$I$89,3,0)*VLOOKUP('Données projet'!$B$9,Paramètres!$A$1:$I$89,5,0)</f>
        <v>366.17295000000001</v>
      </c>
      <c r="P51" s="14">
        <f t="shared" si="33"/>
        <v>84.883884000754321</v>
      </c>
      <c r="Q51" s="22">
        <f t="shared" si="53"/>
        <v>785.59065255131372</v>
      </c>
      <c r="R51" s="62">
        <f t="shared" si="0"/>
        <v>1039.3505212369814</v>
      </c>
      <c r="S51" s="62">
        <f ca="1">AVERAGE(OFFSET($R$3,0,0,'Données projet'!$E$9+1,1))-AVERAGE(OFFSET($H$3,0,0,'Données projet'!$E$9+1,1))</f>
        <v>419.0448820879102</v>
      </c>
      <c r="T51" s="62">
        <f t="shared" si="34"/>
        <v>553.33038335026379</v>
      </c>
      <c r="U51" s="16">
        <f>IF(ISNA(VLOOKUP(A51,'Données projet'!$A$35:$I$55,3,0)),0,VLOOKUP(A51,'Données projet'!$A$35:$I$55,3,0))</f>
        <v>17</v>
      </c>
      <c r="V51" s="16">
        <f>IF(ISNA(VLOOKUP(A51,'Données projet'!$A$35:$I$55,4,0)),0,VLOOKUP(A51,'Données projet'!$A$35:$I$55,4,0))</f>
        <v>101.34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3.9939445747850635</v>
      </c>
      <c r="AB51" s="23">
        <f>EXP(-LN(2)/2)*AB50+(1-EXP(-LN(2)/2))/(LN(2)/2)*V51*Y51*VLOOKUP('Données projet'!$B$9,Paramètres!$A$1:$I$89,3,0)*0.475*44/12</f>
        <v>8.9459987357403542E-2</v>
      </c>
      <c r="AC51" s="24">
        <f t="shared" si="3"/>
        <v>4.0834045621424666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3.4</v>
      </c>
      <c r="AI51" s="14">
        <f>IF('Données projet'!$A$62&gt;35,AI50+AH51-AQ50,IF(A51&lt;'Données projet'!$A$62,$AF$205^A51,IF(A51='Données projet'!$A$62,'Données projet'!$B$62,AI50+AH51-AQ50)))</f>
        <v>252.20000000000005</v>
      </c>
      <c r="AJ51" s="14">
        <f>AI51*VLOOKUP('Données projet'!$B$10,Paramètres!$A$1:$I$89,3,0)*VLOOKUP('Données projet'!$B$10,Paramètres!$A$1:$I$89,5,0)</f>
        <v>137.70120000000003</v>
      </c>
      <c r="AK51" s="14">
        <f t="shared" si="35"/>
        <v>35.769876329748612</v>
      </c>
      <c r="AL51" s="22">
        <f t="shared" si="4"/>
        <v>302.12879127431222</v>
      </c>
      <c r="AM51" s="62">
        <f t="shared" si="5"/>
        <v>555.88865995997992</v>
      </c>
      <c r="AN51" s="62">
        <f ca="1">AVERAGE(OFFSET($AM$3,0,0,'Données projet'!$E$10+1,1))-AVERAGE(OFFSET($H$3,0,0,'Données projet'!$E$10+1,1))</f>
        <v>221.57008282490327</v>
      </c>
      <c r="AO51" s="62">
        <f t="shared" si="36"/>
        <v>320.19912501885199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2.8184671205438527</v>
      </c>
      <c r="AW51" s="23">
        <f>EXP(-LN(2)/2)*AW50+(1-EXP(-LN(2)/2))/(LN(2)/2)*AQ51*AT51*VLOOKUP('Données projet'!$B$10,Paramètres!$A$1:$I$89,3,0)*0.475*44/12</f>
        <v>6.7023586338424042E-3</v>
      </c>
      <c r="AX51" s="23">
        <f t="shared" si="6"/>
        <v>2.8251694791776951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9.8000000000000007</v>
      </c>
      <c r="BD51" s="13">
        <f>IF('Données projet'!$A$88&gt;35,BD50+BC51-BL50,IF(A51&lt;'Données projet'!$A$88,$BA$205^A51,IF(A51='Données projet'!$A$88,'Données projet'!$B$88,BD50+BC51-BL50)))</f>
        <v>283.39999999999992</v>
      </c>
      <c r="BE51" s="14">
        <f>BD51*VLOOKUP('Données projet'!$B$11,Paramètres!$A$1:$I$89,3,0)*VLOOKUP('Données projet'!$B$11,Paramètres!$A$1:$I$89,5,0)</f>
        <v>207.78887999999992</v>
      </c>
      <c r="BF51" s="14">
        <f t="shared" si="37"/>
        <v>51.452103086551489</v>
      </c>
      <c r="BG51" s="22">
        <f t="shared" si="7"/>
        <v>451.51137887574367</v>
      </c>
      <c r="BH51" s="62">
        <f t="shared" si="8"/>
        <v>705.27124756141143</v>
      </c>
      <c r="BI51" s="62">
        <f ca="1">AVERAGE(OFFSET($BH$3,0,0,'Données projet'!$E$11+1,1))-AVERAGE(OFFSET($H$3,0,0,'Données projet'!$E$11+1,1))</f>
        <v>400.4480038202409</v>
      </c>
      <c r="BJ51" s="62">
        <f t="shared" si="38"/>
        <v>384.86917865380076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17.094063797138379</v>
      </c>
      <c r="BR51" s="23">
        <f>EXP(-LN(2)/2)*BR50+(1-EXP(-LN(2)/2))/(LN(2)/2)*BL51*BO51*VLOOKUP('Données projet'!$B$11,Paramètres!$A$1:$I$89,3,0)*0.475*44/12</f>
        <v>2.2080803338423625E-2</v>
      </c>
      <c r="BS51" s="24">
        <f t="shared" si="9"/>
        <v>17.116144600476801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25.205000000000041</v>
      </c>
      <c r="N52" s="14">
        <f>IF('Données projet'!$A$36&gt;35,N51+M52-V51,IF(A52&lt;'Données projet'!$A$36,$K$205^A52,IF(A52='Données projet'!$A$36,'Données projet'!$B$36,N51+M52-V51)))</f>
        <v>578.91499999999996</v>
      </c>
      <c r="O52" s="14">
        <f>N52*VLOOKUP('Données projet'!$B$9,Paramètres!$A$1:$I$89,3,0)*VLOOKUP('Données projet'!$B$9,Paramètres!$A$1:$I$89,5,0)</f>
        <v>323.61348500000003</v>
      </c>
      <c r="P52" s="14">
        <f t="shared" si="33"/>
        <v>76.10471743389418</v>
      </c>
      <c r="Q52" s="22">
        <f t="shared" si="53"/>
        <v>696.17586923903229</v>
      </c>
      <c r="R52" s="62">
        <f t="shared" si="0"/>
        <v>950.62224906332426</v>
      </c>
      <c r="S52" s="62">
        <f ca="1">AVERAGE(OFFSET($R$3,0,0,'Données projet'!$E$9+1,1))-AVERAGE(OFFSET($H$3,0,0,'Données projet'!$E$9+1,1))</f>
        <v>419.0448820879102</v>
      </c>
      <c r="T52" s="62">
        <f t="shared" si="34"/>
        <v>553.33038335026379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3.8847299503551489</v>
      </c>
      <c r="AB52" s="23">
        <f>EXP(-LN(2)/2)*AB51+(1-EXP(-LN(2)/2))/(LN(2)/2)*V52*Y52*VLOOKUP('Données projet'!$B$9,Paramètres!$A$1:$I$89,3,0)*0.475*44/12</f>
        <v>6.3257763705282855E-2</v>
      </c>
      <c r="AC52" s="24">
        <f t="shared" si="3"/>
        <v>3.9479877140604316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3.4</v>
      </c>
      <c r="AI52" s="14">
        <f>IF('Données projet'!$A$62&gt;35,AI51+AH52-AQ51,IF(A52&lt;'Données projet'!$A$62,$AF$205^A52,IF(A52='Données projet'!$A$62,'Données projet'!$B$62,AI51+AH52-AQ51)))</f>
        <v>255.60000000000005</v>
      </c>
      <c r="AJ52" s="14">
        <f>AI52*VLOOKUP('Données projet'!$B$10,Paramètres!$A$1:$I$89,3,0)*VLOOKUP('Données projet'!$B$10,Paramètres!$A$1:$I$89,5,0)</f>
        <v>139.55760000000004</v>
      </c>
      <c r="AK52" s="14">
        <f t="shared" si="35"/>
        <v>36.195639206392919</v>
      </c>
      <c r="AL52" s="22">
        <f t="shared" si="4"/>
        <v>306.10355828446768</v>
      </c>
      <c r="AM52" s="62">
        <f t="shared" si="5"/>
        <v>560.54993810875965</v>
      </c>
      <c r="AN52" s="62">
        <f ca="1">AVERAGE(OFFSET($AM$3,0,0,'Données projet'!$E$10+1,1))-AVERAGE(OFFSET($H$3,0,0,'Données projet'!$E$10+1,1))</f>
        <v>221.57008282490327</v>
      </c>
      <c r="AO52" s="62">
        <f t="shared" si="36"/>
        <v>320.19912501885199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2.741395988915837</v>
      </c>
      <c r="AW52" s="23">
        <f>EXP(-LN(2)/2)*AW51+(1-EXP(-LN(2)/2))/(LN(2)/2)*AQ52*AT52*VLOOKUP('Données projet'!$B$10,Paramètres!$A$1:$I$89,3,0)*0.475*44/12</f>
        <v>4.7392832399341684E-3</v>
      </c>
      <c r="AX52" s="23">
        <f t="shared" si="6"/>
        <v>2.746135272155771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9.8000000000000007</v>
      </c>
      <c r="BD52" s="13">
        <f>IF('Données projet'!$A$88&gt;35,BD51+BC52-BL51,IF(A52&lt;'Données projet'!$A$88,$BA$205^A52,IF(A52='Données projet'!$A$88,'Données projet'!$B$88,BD51+BC52-BL51)))</f>
        <v>293.19999999999993</v>
      </c>
      <c r="BE52" s="14">
        <f>BD52*VLOOKUP('Données projet'!$B$11,Paramètres!$A$1:$I$89,3,0)*VLOOKUP('Données projet'!$B$11,Paramètres!$A$1:$I$89,5,0)</f>
        <v>214.97423999999995</v>
      </c>
      <c r="BF52" s="14">
        <f t="shared" si="37"/>
        <v>53.021096827639134</v>
      </c>
      <c r="BG52" s="22">
        <f t="shared" si="7"/>
        <v>466.75854497480481</v>
      </c>
      <c r="BH52" s="62">
        <f t="shared" si="8"/>
        <v>721.20492479909672</v>
      </c>
      <c r="BI52" s="62">
        <f ca="1">AVERAGE(OFFSET($BH$3,0,0,'Données projet'!$E$11+1,1))-AVERAGE(OFFSET($H$3,0,0,'Données projet'!$E$11+1,1))</f>
        <v>400.4480038202409</v>
      </c>
      <c r="BJ52" s="62">
        <f t="shared" si="38"/>
        <v>384.86917865380076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16.626625723667882</v>
      </c>
      <c r="BR52" s="23">
        <f>EXP(-LN(2)/2)*BR51+(1-EXP(-LN(2)/2))/(LN(2)/2)*BL52*BO52*VLOOKUP('Données projet'!$B$11,Paramètres!$A$1:$I$89,3,0)*0.475*44/12</f>
        <v>1.5613485774645903E-2</v>
      </c>
      <c r="BS52" s="24">
        <f t="shared" si="9"/>
        <v>16.642239209442529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604.12</v>
      </c>
      <c r="L53" s="13">
        <f>VLOOKUP(A53,'Données projet'!$A$35:$I$55,9,0)</f>
        <v>25.205000000000041</v>
      </c>
      <c r="M53" s="13">
        <f t="array" ref="M53">INDEX(L:L,MIN(IF(ISNUMBER(L53:L249),ROW(L53:L249),"")))</f>
        <v>25.205000000000041</v>
      </c>
      <c r="N53" s="14">
        <f>IF('Données projet'!$A$36&gt;35,N52+M53-V52,IF(A53&lt;'Données projet'!$A$36,$K$205^A53,IF(A53='Données projet'!$A$36,'Données projet'!$B$36,N52+M53-V52)))</f>
        <v>604.12</v>
      </c>
      <c r="O53" s="14">
        <f>N53*VLOOKUP('Données projet'!$B$9,Paramètres!$A$1:$I$89,3,0)*VLOOKUP('Données projet'!$B$9,Paramètres!$A$1:$I$89,5,0)</f>
        <v>337.70308</v>
      </c>
      <c r="P53" s="14">
        <f t="shared" si="33"/>
        <v>79.025201150271741</v>
      </c>
      <c r="Q53" s="22">
        <f t="shared" si="53"/>
        <v>725.80175633672332</v>
      </c>
      <c r="R53" s="62">
        <f t="shared" si="0"/>
        <v>980.92273786619342</v>
      </c>
      <c r="S53" s="62">
        <f ca="1">AVERAGE(OFFSET($R$3,0,0,'Données projet'!$E$9+1,1))-AVERAGE(OFFSET($H$3,0,0,'Données projet'!$E$9+1,1))</f>
        <v>419.0448820879102</v>
      </c>
      <c r="T53" s="62">
        <f t="shared" si="34"/>
        <v>553.33038335026379</v>
      </c>
      <c r="U53" s="16">
        <f>IF(ISNA(VLOOKUP(A53,'Données projet'!$A$35:$I$55,3,0)),0,VLOOKUP(A53,'Données projet'!$A$35:$I$55,3,0))</f>
        <v>18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3.7785018055736179</v>
      </c>
      <c r="AB53" s="23">
        <f>EXP(-LN(2)/2)*AB52+(1-EXP(-LN(2)/2))/(LN(2)/2)*V53*Y53*VLOOKUP('Données projet'!$B$9,Paramètres!$A$1:$I$89,3,0)*0.475*44/12</f>
        <v>4.4729993678701771E-2</v>
      </c>
      <c r="AC53" s="24">
        <f t="shared" si="3"/>
        <v>3.8232317992523197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259</v>
      </c>
      <c r="AG53" s="13">
        <f>VLOOKUP(A53,'Données projet'!$A$61:$I$81,9,0)</f>
        <v>3.4</v>
      </c>
      <c r="AH53" s="13">
        <f t="array" ref="AH53">INDEX(AG:AG,MIN(IF(ISNUMBER(AG53:AG249),ROW(AG53:AG249),"")))</f>
        <v>3.4</v>
      </c>
      <c r="AI53" s="14">
        <f>IF('Données projet'!$A$62&gt;35,AI52+AH53-AQ52,IF(A53&lt;'Données projet'!$A$62,$AF$205^A53,IF(A53='Données projet'!$A$62,'Données projet'!$B$62,AI52+AH53-AQ52)))</f>
        <v>259.00000000000006</v>
      </c>
      <c r="AJ53" s="14">
        <f>AI53*VLOOKUP('Données projet'!$B$10,Paramètres!$A$1:$I$89,3,0)*VLOOKUP('Données projet'!$B$10,Paramètres!$A$1:$I$89,5,0)</f>
        <v>141.41400000000002</v>
      </c>
      <c r="AK53" s="14">
        <f t="shared" si="35"/>
        <v>36.620743339746923</v>
      </c>
      <c r="AL53" s="22">
        <f t="shared" si="4"/>
        <v>310.07717798339257</v>
      </c>
      <c r="AM53" s="62">
        <f t="shared" si="5"/>
        <v>565.19815951286273</v>
      </c>
      <c r="AN53" s="62">
        <f ca="1">AVERAGE(OFFSET($AM$3,0,0,'Données projet'!$E$10+1,1))-AVERAGE(OFFSET($H$3,0,0,'Données projet'!$E$10+1,1))</f>
        <v>221.57008282490327</v>
      </c>
      <c r="AO53" s="62">
        <f t="shared" si="36"/>
        <v>320.19912501885199</v>
      </c>
      <c r="AP53" s="16">
        <f>IF(ISNA(VLOOKUP(A53,'Données projet'!$A$61:$I$81,3,0)),0,VLOOKUP(A53,'Données projet'!$A$61:$I$81,3,0))</f>
        <v>9</v>
      </c>
      <c r="AQ53" s="16">
        <f>IF(ISNA(VLOOKUP(A53,'Données projet'!$A$61:$I$81,4,0)),0,VLOOKUP(A53,'Données projet'!$A$61:$I$81,4,0))</f>
        <v>259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2.6664323714351839</v>
      </c>
      <c r="AW53" s="23">
        <f>EXP(-LN(2)/2)*AW52+(1-EXP(-LN(2)/2))/(LN(2)/2)*AQ53*AT53*VLOOKUP('Données projet'!$B$10,Paramètres!$A$1:$I$89,3,0)*0.475*44/12</f>
        <v>3.3511793169212021E-3</v>
      </c>
      <c r="AX53" s="23">
        <f t="shared" si="6"/>
        <v>2.6697835507521051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303</v>
      </c>
      <c r="BB53" s="13">
        <f>VLOOKUP(A53,'Données projet'!$A$87:$I$107,9,0)</f>
        <v>9.8000000000000007</v>
      </c>
      <c r="BC53" s="13">
        <f t="array" ref="BC53">INDEX(BB:BB,MIN(IF(ISNUMBER(BB53:BB249),ROW(BB53:BB249),"")))</f>
        <v>9.8000000000000007</v>
      </c>
      <c r="BD53" s="13">
        <f>IF('Données projet'!$A$88&gt;35,BD52+BC53-BL52,IF(A53&lt;'Données projet'!$A$88,$BA$205^A53,IF(A53='Données projet'!$A$88,'Données projet'!$B$88,BD52+BC53-BL52)))</f>
        <v>302.99999999999994</v>
      </c>
      <c r="BE53" s="14">
        <f>BD53*VLOOKUP('Données projet'!$B$11,Paramètres!$A$1:$I$89,3,0)*VLOOKUP('Données projet'!$B$11,Paramètres!$A$1:$I$89,5,0)</f>
        <v>222.15959999999995</v>
      </c>
      <c r="BF53" s="14">
        <f t="shared" si="37"/>
        <v>54.583996923291004</v>
      </c>
      <c r="BG53" s="22">
        <f t="shared" si="7"/>
        <v>481.99509797473166</v>
      </c>
      <c r="BH53" s="62">
        <f t="shared" si="8"/>
        <v>737.11607950420171</v>
      </c>
      <c r="BI53" s="62">
        <f ca="1">AVERAGE(OFFSET($BH$3,0,0,'Données projet'!$E$11+1,1))-AVERAGE(OFFSET($H$3,0,0,'Données projet'!$E$11+1,1))</f>
        <v>400.4480038202409</v>
      </c>
      <c r="BJ53" s="62">
        <f t="shared" si="38"/>
        <v>384.86917865380076</v>
      </c>
      <c r="BK53" s="16">
        <f>IF(ISNA(VLOOKUP(A53,'Données projet'!$A$87:$I$107,3,0)),0,VLOOKUP(A53,'Données projet'!$A$87:$I$107,3,0))</f>
        <v>9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16.171969768897938</v>
      </c>
      <c r="BR53" s="23">
        <f>EXP(-LN(2)/2)*BR52+(1-EXP(-LN(2)/2))/(LN(2)/2)*BL53*BO53*VLOOKUP('Données projet'!$B$11,Paramètres!$A$1:$I$89,3,0)*0.475*44/12</f>
        <v>1.1040401669211814E-2</v>
      </c>
      <c r="BS53" s="24">
        <f t="shared" si="9"/>
        <v>16.183010170567151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25.71999999999997</v>
      </c>
      <c r="N54" s="14">
        <f>IF('Données projet'!$A$36&gt;35,N53+M54-V53,IF(A54&lt;'Données projet'!$A$36,$K$205^A54,IF(A54='Données projet'!$A$36,'Données projet'!$B$36,N53+M54-V53)))</f>
        <v>629.83999999999992</v>
      </c>
      <c r="O54" s="14">
        <f>N54*VLOOKUP('Données projet'!$B$9,Paramètres!$A$1:$I$89,3,0)*VLOOKUP('Données projet'!$B$9,Paramètres!$A$1:$I$89,5,0)</f>
        <v>352.08055999999999</v>
      </c>
      <c r="P54" s="14">
        <f t="shared" si="33"/>
        <v>81.99077226106516</v>
      </c>
      <c r="Q54" s="22">
        <f t="shared" si="53"/>
        <v>756.00757035468848</v>
      </c>
      <c r="R54" s="62">
        <f t="shared" si="0"/>
        <v>1011.7914507579353</v>
      </c>
      <c r="S54" s="62">
        <f ca="1">AVERAGE(OFFSET($R$3,0,0,'Données projet'!$E$9+1,1))-AVERAGE(OFFSET($H$3,0,0,'Données projet'!$E$9+1,1))</f>
        <v>419.0448820879102</v>
      </c>
      <c r="T54" s="62">
        <f t="shared" si="34"/>
        <v>553.33038335026379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3.6751784749974332</v>
      </c>
      <c r="AB54" s="23">
        <f>EXP(-LN(2)/2)*AB53+(1-EXP(-LN(2)/2))/(LN(2)/2)*V54*Y54*VLOOKUP('Données projet'!$B$9,Paramètres!$A$1:$I$89,3,0)*0.475*44/12</f>
        <v>3.1628881852641427E-2</v>
      </c>
      <c r="AC54" s="24">
        <f t="shared" si="3"/>
        <v>3.7068073568500748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5.6843418860808015E-14</v>
      </c>
      <c r="AJ54" s="14">
        <f>AI54*VLOOKUP('Données projet'!$B$10,Paramètres!$A$1:$I$89,3,0)*VLOOKUP('Données projet'!$B$10,Paramètres!$A$1:$I$89,5,0)</f>
        <v>3.1036506698001178E-14</v>
      </c>
      <c r="AK54" s="14">
        <f t="shared" si="35"/>
        <v>5.3428243983771088E-13</v>
      </c>
      <c r="AL54" s="22">
        <f t="shared" si="4"/>
        <v>9.8459716521636505E-13</v>
      </c>
      <c r="AM54" s="62">
        <f t="shared" si="5"/>
        <v>255.78388040324782</v>
      </c>
      <c r="AN54" s="62">
        <f ca="1">AVERAGE(OFFSET($AM$3,0,0,'Données projet'!$E$10+1,1))-AVERAGE(OFFSET($H$3,0,0,'Données projet'!$E$10+1,1))</f>
        <v>221.57008282490327</v>
      </c>
      <c r="AO54" s="62">
        <f t="shared" si="36"/>
        <v>320.19912501885199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2.5935186380167043</v>
      </c>
      <c r="AW54" s="23">
        <f>EXP(-LN(2)/2)*AW53+(1-EXP(-LN(2)/2))/(LN(2)/2)*AQ54*AT54*VLOOKUP('Données projet'!$B$10,Paramètres!$A$1:$I$89,3,0)*0.475*44/12</f>
        <v>2.3696416199670842E-3</v>
      </c>
      <c r="AX54" s="23">
        <f t="shared" si="6"/>
        <v>2.5958882796366716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8.4</v>
      </c>
      <c r="BD54" s="13">
        <f>IF('Données projet'!$A$88&gt;35,BD53+BC54-BL53,IF(A54&lt;'Données projet'!$A$88,$BA$205^A54,IF(A54='Données projet'!$A$88,'Données projet'!$B$88,BD53+BC54-BL53)))</f>
        <v>290.39999999999992</v>
      </c>
      <c r="BE54" s="14">
        <f>BD54*VLOOKUP('Données projet'!$B$11,Paramètres!$A$1:$I$89,3,0)*VLOOKUP('Données projet'!$B$11,Paramètres!$A$1:$I$89,5,0)</f>
        <v>212.92127999999991</v>
      </c>
      <c r="BF54" s="14">
        <f t="shared" si="37"/>
        <v>52.57344469809297</v>
      </c>
      <c r="BG54" s="22">
        <f t="shared" si="7"/>
        <v>462.4033121825118</v>
      </c>
      <c r="BH54" s="62">
        <f t="shared" si="8"/>
        <v>718.18719258575857</v>
      </c>
      <c r="BI54" s="62">
        <f ca="1">AVERAGE(OFFSET($BH$3,0,0,'Données projet'!$E$11+1,1))-AVERAGE(OFFSET($H$3,0,0,'Données projet'!$E$11+1,1))</f>
        <v>400.4480038202409</v>
      </c>
      <c r="BJ54" s="62">
        <f t="shared" si="38"/>
        <v>384.86917865380076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15.729746405120496</v>
      </c>
      <c r="BR54" s="23">
        <f>EXP(-LN(2)/2)*BR53+(1-EXP(-LN(2)/2))/(LN(2)/2)*BL54*BO54*VLOOKUP('Données projet'!$B$11,Paramètres!$A$1:$I$89,3,0)*0.475*44/12</f>
        <v>7.8067428873229532E-3</v>
      </c>
      <c r="BS54" s="24">
        <f t="shared" si="9"/>
        <v>15.737553148007819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>
        <f>VLOOKUP(A55,'Données projet'!$A$35:$I$55,2,0)</f>
        <v>655.56</v>
      </c>
      <c r="L55" s="13">
        <f>VLOOKUP(A55,'Données projet'!$A$35:$I$55,9,0)</f>
        <v>25.71999999999997</v>
      </c>
      <c r="M55" s="13">
        <f t="array" ref="M55">INDEX(L:L,MIN(IF(ISNUMBER(L55:L251),ROW(L55:L251),"")))</f>
        <v>25.71999999999997</v>
      </c>
      <c r="N55" s="14">
        <f>IF('Données projet'!$A$36&gt;35,N54+M55-V54,IF(A55&lt;'Données projet'!$A$36,$K$205^A55,IF(A55='Données projet'!$A$36,'Données projet'!$B$36,N54+M55-V54)))</f>
        <v>655.56</v>
      </c>
      <c r="O55" s="14">
        <f>N55*VLOOKUP('Données projet'!$B$9,Paramètres!$A$1:$I$89,3,0)*VLOOKUP('Données projet'!$B$9,Paramètres!$A$1:$I$89,5,0)</f>
        <v>366.45803999999998</v>
      </c>
      <c r="P55" s="14">
        <f t="shared" si="33"/>
        <v>84.942276491660508</v>
      </c>
      <c r="Q55" s="22">
        <f t="shared" si="53"/>
        <v>786.18888455630861</v>
      </c>
      <c r="R55" s="62">
        <f t="shared" si="0"/>
        <v>1042.6241640198919</v>
      </c>
      <c r="S55" s="62">
        <f ca="1">AVERAGE(OFFSET($R$3,0,0,'Données projet'!$E$9+1,1))-AVERAGE(OFFSET($H$3,0,0,'Données projet'!$E$9+1,1))</f>
        <v>419.0448820879102</v>
      </c>
      <c r="T55" s="62">
        <f t="shared" si="34"/>
        <v>553.33038335026379</v>
      </c>
      <c r="U55" s="16">
        <f>IF(ISNA(VLOOKUP(A55,'Données projet'!$A$35:$I$55,3,0)),0,VLOOKUP(A55,'Données projet'!$A$35:$I$55,3,0))</f>
        <v>19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3.5746805263293919</v>
      </c>
      <c r="AB55" s="23">
        <f>EXP(-LN(2)/2)*AB54+(1-EXP(-LN(2)/2))/(LN(2)/2)*V55*Y55*VLOOKUP('Données projet'!$B$9,Paramètres!$A$1:$I$89,3,0)*0.475*44/12</f>
        <v>2.2364996839350886E-2</v>
      </c>
      <c r="AC55" s="24">
        <f t="shared" si="3"/>
        <v>3.5970455231687426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5.6843418860808015E-14</v>
      </c>
      <c r="AJ55" s="14">
        <f>AI55*VLOOKUP('Données projet'!$B$10,Paramètres!$A$1:$I$89,3,0)*VLOOKUP('Données projet'!$B$10,Paramètres!$A$1:$I$89,5,0)</f>
        <v>3.1036506698001178E-14</v>
      </c>
      <c r="AK55" s="14">
        <f t="shared" si="35"/>
        <v>5.3428243983771088E-13</v>
      </c>
      <c r="AL55" s="22">
        <f t="shared" si="4"/>
        <v>9.8459716521636505E-13</v>
      </c>
      <c r="AM55" s="62">
        <f t="shared" si="5"/>
        <v>256.43527946358432</v>
      </c>
      <c r="AN55" s="62">
        <f ca="1">AVERAGE(OFFSET($AM$3,0,0,'Données projet'!$E$10+1,1))-AVERAGE(OFFSET($H$3,0,0,'Données projet'!$E$10+1,1))</f>
        <v>221.57008282490327</v>
      </c>
      <c r="AO55" s="62">
        <f t="shared" si="36"/>
        <v>320.19912501885199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2.5225987344729202</v>
      </c>
      <c r="AW55" s="23">
        <f>EXP(-LN(2)/2)*AW54+(1-EXP(-LN(2)/2))/(LN(2)/2)*AQ55*AT55*VLOOKUP('Données projet'!$B$10,Paramètres!$A$1:$I$89,3,0)*0.475*44/12</f>
        <v>1.675589658460601E-3</v>
      </c>
      <c r="AX55" s="23">
        <f t="shared" si="6"/>
        <v>2.524274324131381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8.4</v>
      </c>
      <c r="BD55" s="13">
        <f>IF('Données projet'!$A$88&gt;35,BD54+BC55-BL54,IF(A55&lt;'Données projet'!$A$88,$BA$205^A55,IF(A55='Données projet'!$A$88,'Données projet'!$B$88,BD54+BC55-BL54)))</f>
        <v>298.7999999999999</v>
      </c>
      <c r="BE55" s="14">
        <f>BD55*VLOOKUP('Données projet'!$B$11,Paramètres!$A$1:$I$89,3,0)*VLOOKUP('Données projet'!$B$11,Paramètres!$A$1:$I$89,5,0)</f>
        <v>219.08015999999992</v>
      </c>
      <c r="BF55" s="14">
        <f t="shared" si="37"/>
        <v>53.914914316401685</v>
      </c>
      <c r="BG55" s="22">
        <f t="shared" si="7"/>
        <v>475.46642110106609</v>
      </c>
      <c r="BH55" s="62">
        <f t="shared" si="8"/>
        <v>731.90170056464945</v>
      </c>
      <c r="BI55" s="62">
        <f ca="1">AVERAGE(OFFSET($BH$3,0,0,'Données projet'!$E$11+1,1))-AVERAGE(OFFSET($H$3,0,0,'Données projet'!$E$11+1,1))</f>
        <v>400.4480038202409</v>
      </c>
      <c r="BJ55" s="62">
        <f t="shared" si="38"/>
        <v>384.86917865380076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15.299615662481063</v>
      </c>
      <c r="BR55" s="23">
        <f>EXP(-LN(2)/2)*BR54+(1-EXP(-LN(2)/2))/(LN(2)/2)*BL55*BO55*VLOOKUP('Données projet'!$B$11,Paramètres!$A$1:$I$89,3,0)*0.475*44/12</f>
        <v>5.5202008346059081E-3</v>
      </c>
      <c r="BS55" s="24">
        <f t="shared" si="9"/>
        <v>15.30513586331567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26.095000000000027</v>
      </c>
      <c r="N56" s="14">
        <f>IF('Données projet'!$A$36&gt;35,N55+M56-V55,IF(A56&lt;'Données projet'!$A$36,$K$205^A56,IF(A56='Données projet'!$A$36,'Données projet'!$B$36,N55+M56-V55)))</f>
        <v>681.65499999999997</v>
      </c>
      <c r="O56" s="14">
        <f>N56*VLOOKUP('Données projet'!$B$9,Paramètres!$A$1:$I$89,3,0)*VLOOKUP('Données projet'!$B$9,Paramètres!$A$1:$I$89,5,0)</f>
        <v>381.04514499999999</v>
      </c>
      <c r="P56" s="14">
        <f t="shared" si="33"/>
        <v>87.92306934491728</v>
      </c>
      <c r="Q56" s="22">
        <f t="shared" si="53"/>
        <v>816.78630665073081</v>
      </c>
      <c r="R56" s="62">
        <f t="shared" si="0"/>
        <v>1073.861684857264</v>
      </c>
      <c r="S56" s="62">
        <f ca="1">AVERAGE(OFFSET($R$3,0,0,'Données projet'!$E$9+1,1))-AVERAGE(OFFSET($H$3,0,0,'Données projet'!$E$9+1,1))</f>
        <v>419.0448820879102</v>
      </c>
      <c r="T56" s="62">
        <f t="shared" si="34"/>
        <v>553.33038335026379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3.4769306993526357</v>
      </c>
      <c r="AB56" s="23">
        <f>EXP(-LN(2)/2)*AB55+(1-EXP(-LN(2)/2))/(LN(2)/2)*V56*Y56*VLOOKUP('Données projet'!$B$9,Paramètres!$A$1:$I$89,3,0)*0.475*44/12</f>
        <v>1.5814440926320714E-2</v>
      </c>
      <c r="AC56" s="24">
        <f t="shared" si="3"/>
        <v>3.4927451402789562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5.6843418860808015E-14</v>
      </c>
      <c r="AJ56" s="14">
        <f>AI56*VLOOKUP('Données projet'!$B$10,Paramètres!$A$1:$I$89,3,0)*VLOOKUP('Données projet'!$B$10,Paramètres!$A$1:$I$89,5,0)</f>
        <v>3.1036506698001178E-14</v>
      </c>
      <c r="AK56" s="14">
        <f t="shared" si="35"/>
        <v>5.3428243983771088E-13</v>
      </c>
      <c r="AL56" s="22">
        <f t="shared" si="4"/>
        <v>9.8459716521636505E-13</v>
      </c>
      <c r="AM56" s="62">
        <f t="shared" si="5"/>
        <v>257.0753782065342</v>
      </c>
      <c r="AN56" s="62">
        <f ca="1">AVERAGE(OFFSET($AM$3,0,0,'Données projet'!$E$10+1,1))-AVERAGE(OFFSET($H$3,0,0,'Données projet'!$E$10+1,1))</f>
        <v>221.57008282490327</v>
      </c>
      <c r="AO56" s="62">
        <f t="shared" si="36"/>
        <v>320.19912501885199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2.4536181394210561</v>
      </c>
      <c r="AW56" s="23">
        <f>EXP(-LN(2)/2)*AW55+(1-EXP(-LN(2)/2))/(LN(2)/2)*AQ56*AT56*VLOOKUP('Données projet'!$B$10,Paramètres!$A$1:$I$89,3,0)*0.475*44/12</f>
        <v>1.1848208099835421E-3</v>
      </c>
      <c r="AX56" s="23">
        <f t="shared" si="6"/>
        <v>2.4548029602310395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8.4</v>
      </c>
      <c r="BD56" s="13">
        <f>IF('Données projet'!$A$88&gt;35,BD55+BC56-BL55,IF(A56&lt;'Données projet'!$A$88,$BA$205^A56,IF(A56='Données projet'!$A$88,'Données projet'!$B$88,BD55+BC56-BL55)))</f>
        <v>307.19999999999987</v>
      </c>
      <c r="BE56" s="14">
        <f>BD56*VLOOKUP('Données projet'!$B$11,Paramètres!$A$1:$I$89,3,0)*VLOOKUP('Données projet'!$B$11,Paramètres!$A$1:$I$89,5,0)</f>
        <v>225.2390399999999</v>
      </c>
      <c r="BF56" s="14">
        <f t="shared" si="37"/>
        <v>55.252000822487368</v>
      </c>
      <c r="BG56" s="22">
        <f t="shared" si="7"/>
        <v>488.5218960991653</v>
      </c>
      <c r="BH56" s="62">
        <f t="shared" si="8"/>
        <v>745.59727430569853</v>
      </c>
      <c r="BI56" s="62">
        <f ca="1">AVERAGE(OFFSET($BH$3,0,0,'Données projet'!$E$11+1,1))-AVERAGE(OFFSET($H$3,0,0,'Données projet'!$E$11+1,1))</f>
        <v>400.4480038202409</v>
      </c>
      <c r="BJ56" s="62">
        <f t="shared" si="38"/>
        <v>384.86917865380076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14.881246867618698</v>
      </c>
      <c r="BR56" s="23">
        <f>EXP(-LN(2)/2)*BR55+(1-EXP(-LN(2)/2))/(LN(2)/2)*BL56*BO56*VLOOKUP('Données projet'!$B$11,Paramètres!$A$1:$I$89,3,0)*0.475*44/12</f>
        <v>3.903371443661477E-3</v>
      </c>
      <c r="BS56" s="24">
        <f t="shared" si="9"/>
        <v>14.885150239062359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>
        <f>VLOOKUP(A57,'Données projet'!$A$35:$I$55,2,0)</f>
        <v>707.75</v>
      </c>
      <c r="L57" s="13">
        <f>VLOOKUP(A57,'Données projet'!$A$35:$I$55,9,0)</f>
        <v>26.095000000000027</v>
      </c>
      <c r="M57" s="13">
        <f t="array" ref="M57">INDEX(L:L,MIN(IF(ISNUMBER(L57:L253),ROW(L57:L253),"")))</f>
        <v>26.095000000000027</v>
      </c>
      <c r="N57" s="14">
        <f>IF('Données projet'!$A$36&gt;35,N56+M57-V56,IF(A57&lt;'Données projet'!$A$36,$K$205^A57,IF(A57='Données projet'!$A$36,'Données projet'!$B$36,N56+M57-V56)))</f>
        <v>707.75</v>
      </c>
      <c r="O57" s="14">
        <f>N57*VLOOKUP('Données projet'!$B$9,Paramètres!$A$1:$I$89,3,0)*VLOOKUP('Données projet'!$B$9,Paramètres!$A$1:$I$89,5,0)</f>
        <v>395.63225</v>
      </c>
      <c r="P57" s="14">
        <f t="shared" si="33"/>
        <v>90.890605900198707</v>
      </c>
      <c r="Q57" s="22">
        <f t="shared" si="53"/>
        <v>847.360640692846</v>
      </c>
      <c r="R57" s="62">
        <f t="shared" si="0"/>
        <v>1105.0650133601853</v>
      </c>
      <c r="S57" s="62">
        <f ca="1">AVERAGE(OFFSET($R$3,0,0,'Données projet'!$E$9+1,1))-AVERAGE(OFFSET($H$3,0,0,'Données projet'!$E$9+1,1))</f>
        <v>419.0448820879102</v>
      </c>
      <c r="T57" s="62">
        <f t="shared" si="34"/>
        <v>553.33038335026379</v>
      </c>
      <c r="U57" s="16">
        <f>IF(ISNA(VLOOKUP(A57,'Données projet'!$A$35:$I$55,3,0)),0,VLOOKUP(A57,'Données projet'!$A$35:$I$55,3,0))</f>
        <v>20</v>
      </c>
      <c r="V57" s="16">
        <f>IF(ISNA(VLOOKUP(A57,'Données projet'!$A$35:$I$55,4,0)),0,VLOOKUP(A57,'Données projet'!$A$35:$I$55,4,0))</f>
        <v>707.75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3.381853846534999</v>
      </c>
      <c r="AB57" s="23">
        <f>EXP(-LN(2)/2)*AB56+(1-EXP(-LN(2)/2))/(LN(2)/2)*V57*Y57*VLOOKUP('Données projet'!$B$9,Paramètres!$A$1:$I$89,3,0)*0.475*44/12</f>
        <v>1.1182498419675443E-2</v>
      </c>
      <c r="AC57" s="24">
        <f t="shared" si="3"/>
        <v>3.3930363449546745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5.6843418860808015E-14</v>
      </c>
      <c r="AJ57" s="14">
        <f>AI57*VLOOKUP('Données projet'!$B$10,Paramètres!$A$1:$I$89,3,0)*VLOOKUP('Données projet'!$B$10,Paramètres!$A$1:$I$89,5,0)</f>
        <v>3.1036506698001178E-14</v>
      </c>
      <c r="AK57" s="14">
        <f t="shared" si="35"/>
        <v>5.3428243983771088E-13</v>
      </c>
      <c r="AL57" s="22">
        <f t="shared" si="4"/>
        <v>9.8459716521636505E-13</v>
      </c>
      <c r="AM57" s="62">
        <f t="shared" si="5"/>
        <v>257.70437266734029</v>
      </c>
      <c r="AN57" s="62">
        <f ca="1">AVERAGE(OFFSET($AM$3,0,0,'Données projet'!$E$10+1,1))-AVERAGE(OFFSET($H$3,0,0,'Données projet'!$E$10+1,1))</f>
        <v>221.57008282490327</v>
      </c>
      <c r="AO57" s="62">
        <f t="shared" si="36"/>
        <v>320.19912501885199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2.3865238223684173</v>
      </c>
      <c r="AW57" s="23">
        <f>EXP(-LN(2)/2)*AW56+(1-EXP(-LN(2)/2))/(LN(2)/2)*AQ57*AT57*VLOOKUP('Données projet'!$B$10,Paramètres!$A$1:$I$89,3,0)*0.475*44/12</f>
        <v>8.3779482923030052E-4</v>
      </c>
      <c r="AX57" s="23">
        <f t="shared" si="6"/>
        <v>2.3873616171976475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8.4</v>
      </c>
      <c r="BD57" s="13">
        <f>IF('Données projet'!$A$88&gt;35,BD56+BC57-BL56,IF(A57&lt;'Données projet'!$A$88,$BA$205^A57,IF(A57='Données projet'!$A$88,'Données projet'!$B$88,BD56+BC57-BL56)))</f>
        <v>315.59999999999985</v>
      </c>
      <c r="BE57" s="14">
        <f>BD57*VLOOKUP('Données projet'!$B$11,Paramètres!$A$1:$I$89,3,0)*VLOOKUP('Données projet'!$B$11,Paramètres!$A$1:$I$89,5,0)</f>
        <v>231.39791999999986</v>
      </c>
      <c r="BF57" s="14">
        <f t="shared" si="37"/>
        <v>56.584837838715806</v>
      </c>
      <c r="BG57" s="22">
        <f t="shared" si="7"/>
        <v>501.5699699024297</v>
      </c>
      <c r="BH57" s="62">
        <f t="shared" si="8"/>
        <v>759.27434256976903</v>
      </c>
      <c r="BI57" s="62">
        <f ca="1">AVERAGE(OFFSET($BH$3,0,0,'Données projet'!$E$11+1,1))-AVERAGE(OFFSET($H$3,0,0,'Données projet'!$E$11+1,1))</f>
        <v>400.4480038202409</v>
      </c>
      <c r="BJ57" s="62">
        <f t="shared" si="38"/>
        <v>384.86917865380076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14.474318389452904</v>
      </c>
      <c r="BR57" s="23">
        <f>EXP(-LN(2)/2)*BR56+(1-EXP(-LN(2)/2))/(LN(2)/2)*BL57*BO57*VLOOKUP('Données projet'!$B$11,Paramètres!$A$1:$I$89,3,0)*0.475*44/12</f>
        <v>2.7601004173029545E-3</v>
      </c>
      <c r="BS57" s="24">
        <f t="shared" si="9"/>
        <v>14.477078489870207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419.0448820879102</v>
      </c>
      <c r="T58" s="62">
        <f t="shared" si="34"/>
        <v>553.33038335026379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3.2893768752575352</v>
      </c>
      <c r="AB58" s="23">
        <f>EXP(-LN(2)/2)*AB57+(1-EXP(-LN(2)/2))/(LN(2)/2)*V58*Y58*VLOOKUP('Données projet'!$B$9,Paramètres!$A$1:$I$89,3,0)*0.475*44/12</f>
        <v>7.9072204631603568E-3</v>
      </c>
      <c r="AC58" s="24">
        <f t="shared" si="3"/>
        <v>3.2972840957206957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5.6843418860808015E-14</v>
      </c>
      <c r="AJ58" s="14">
        <f>AI58*VLOOKUP('Données projet'!$B$10,Paramètres!$A$1:$I$89,3,0)*VLOOKUP('Données projet'!$B$10,Paramètres!$A$1:$I$89,5,0)</f>
        <v>3.1036506698001178E-14</v>
      </c>
      <c r="AK58" s="14">
        <f t="shared" si="35"/>
        <v>5.3428243983771088E-13</v>
      </c>
      <c r="AL58" s="22">
        <f t="shared" si="4"/>
        <v>9.8459716521636505E-13</v>
      </c>
      <c r="AM58" s="62">
        <f t="shared" si="5"/>
        <v>258.32245548047234</v>
      </c>
      <c r="AN58" s="62">
        <f ca="1">AVERAGE(OFFSET($AM$3,0,0,'Données projet'!$E$10+1,1))-AVERAGE(OFFSET($H$3,0,0,'Données projet'!$E$10+1,1))</f>
        <v>221.57008282490327</v>
      </c>
      <c r="AO58" s="62">
        <f t="shared" si="36"/>
        <v>320.19912501885199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2.3212642029439197</v>
      </c>
      <c r="AW58" s="23">
        <f>EXP(-LN(2)/2)*AW57+(1-EXP(-LN(2)/2))/(LN(2)/2)*AQ58*AT58*VLOOKUP('Données projet'!$B$10,Paramètres!$A$1:$I$89,3,0)*0.475*44/12</f>
        <v>5.9241040499177105E-4</v>
      </c>
      <c r="AX58" s="23">
        <f t="shared" si="6"/>
        <v>2.3218566133489116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324</v>
      </c>
      <c r="BB58" s="13">
        <f>VLOOKUP(A58,'Données projet'!$A$87:$I$107,9,0)</f>
        <v>8.4</v>
      </c>
      <c r="BC58" s="13">
        <f t="array" ref="BC58">INDEX(BB:BB,MIN(IF(ISNUMBER(BB58:BB254),ROW(BB58:BB254),"")))</f>
        <v>8.4</v>
      </c>
      <c r="BD58" s="13">
        <f>IF('Données projet'!$A$88&gt;35,BD57+BC58-BL57,IF(A58&lt;'Données projet'!$A$88,$BA$205^A58,IF(A58='Données projet'!$A$88,'Données projet'!$B$88,BD57+BC58-BL57)))</f>
        <v>323.99999999999983</v>
      </c>
      <c r="BE58" s="14">
        <f>BD58*VLOOKUP('Données projet'!$B$11,Paramètres!$A$1:$I$89,3,0)*VLOOKUP('Données projet'!$B$11,Paramètres!$A$1:$I$89,5,0)</f>
        <v>237.55679999999987</v>
      </c>
      <c r="BF58" s="14">
        <f t="shared" si="37"/>
        <v>57.913551469467308</v>
      </c>
      <c r="BG58" s="22">
        <f t="shared" si="7"/>
        <v>514.61086214265526</v>
      </c>
      <c r="BH58" s="62">
        <f t="shared" si="8"/>
        <v>772.93331762312664</v>
      </c>
      <c r="BI58" s="62">
        <f ca="1">AVERAGE(OFFSET($BH$3,0,0,'Données projet'!$E$11+1,1))-AVERAGE(OFFSET($H$3,0,0,'Données projet'!$E$11+1,1))</f>
        <v>400.4480038202409</v>
      </c>
      <c r="BJ58" s="62">
        <f t="shared" si="38"/>
        <v>384.86917865380076</v>
      </c>
      <c r="BK58" s="16">
        <f>IF(ISNA(VLOOKUP(A58,'Données projet'!$A$87:$I$107,3,0)),0,VLOOKUP(A58,'Données projet'!$A$87:$I$107,3,0))</f>
        <v>10</v>
      </c>
      <c r="BL58" s="16">
        <f>IF(ISNA(VLOOKUP(A58,'Données projet'!$A$87:$I$107,4,0)),0,VLOOKUP(A58,'Données projet'!$A$87:$I$107,4,0))</f>
        <v>18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14.078517391921991</v>
      </c>
      <c r="BR58" s="23">
        <f>EXP(-LN(2)/2)*BR57+(1-EXP(-LN(2)/2))/(LN(2)/2)*BL58*BO58*VLOOKUP('Données projet'!$B$11,Paramètres!$A$1:$I$89,3,0)*0.475*44/12</f>
        <v>1.9516857218307389E-3</v>
      </c>
      <c r="BS58" s="24">
        <f t="shared" si="9"/>
        <v>14.080469077643823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419.0448820879102</v>
      </c>
      <c r="T59" s="62">
        <f t="shared" si="34"/>
        <v>553.33038335026379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3.1994286916228059</v>
      </c>
      <c r="AB59" s="23">
        <f>EXP(-LN(2)/2)*AB58+(1-EXP(-LN(2)/2))/(LN(2)/2)*V59*Y59*VLOOKUP('Données projet'!$B$9,Paramètres!$A$1:$I$89,3,0)*0.475*44/12</f>
        <v>5.5912492098377214E-3</v>
      </c>
      <c r="AC59" s="24">
        <f t="shared" si="3"/>
        <v>3.2050199408326434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5.6843418860808015E-14</v>
      </c>
      <c r="AJ59" s="14">
        <f>AI59*VLOOKUP('Données projet'!$B$10,Paramètres!$A$1:$I$89,3,0)*VLOOKUP('Données projet'!$B$10,Paramètres!$A$1:$I$89,5,0)</f>
        <v>3.1036506698001178E-14</v>
      </c>
      <c r="AK59" s="14">
        <f t="shared" si="35"/>
        <v>5.3428243983771088E-13</v>
      </c>
      <c r="AL59" s="22">
        <f t="shared" si="4"/>
        <v>9.8459716521636505E-13</v>
      </c>
      <c r="AM59" s="62">
        <f t="shared" si="5"/>
        <v>258.92981593862271</v>
      </c>
      <c r="AN59" s="62">
        <f ca="1">AVERAGE(OFFSET($AM$3,0,0,'Données projet'!$E$10+1,1))-AVERAGE(OFFSET($H$3,0,0,'Données projet'!$E$10+1,1))</f>
        <v>221.57008282490327</v>
      </c>
      <c r="AO59" s="62">
        <f t="shared" si="36"/>
        <v>320.19912501885199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2.2577891112444393</v>
      </c>
      <c r="AW59" s="23">
        <f>EXP(-LN(2)/2)*AW58+(1-EXP(-LN(2)/2))/(LN(2)/2)*AQ59*AT59*VLOOKUP('Données projet'!$B$10,Paramètres!$A$1:$I$89,3,0)*0.475*44/12</f>
        <v>4.1889741461515026E-4</v>
      </c>
      <c r="AX59" s="23">
        <f t="shared" si="6"/>
        <v>2.2582080086590546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IF('Données projet'!$A$88&gt;35,BD58+BC59-BL58,IF(A59&lt;'Données projet'!$A$88,$BA$205^A59,IF(A59='Données projet'!$A$88,'Données projet'!$B$88,BD58+BC59-BL58)))</f>
        <v>313.39999999999981</v>
      </c>
      <c r="BE59" s="14">
        <f>BD59*VLOOKUP('Données projet'!$B$11,Paramètres!$A$1:$I$89,3,0)*VLOOKUP('Données projet'!$B$11,Paramètres!$A$1:$I$89,5,0)</f>
        <v>229.78487999999984</v>
      </c>
      <c r="BF59" s="14">
        <f t="shared" si="37"/>
        <v>56.236165024777975</v>
      </c>
      <c r="BG59" s="22">
        <f t="shared" si="7"/>
        <v>498.15332008482136</v>
      </c>
      <c r="BH59" s="62">
        <f t="shared" si="8"/>
        <v>757.0831360234431</v>
      </c>
      <c r="BI59" s="62">
        <f ca="1">AVERAGE(OFFSET($BH$3,0,0,'Données projet'!$E$11+1,1))-AVERAGE(OFFSET($H$3,0,0,'Données projet'!$E$11+1,1))</f>
        <v>400.4480038202409</v>
      </c>
      <c r="BJ59" s="62">
        <f t="shared" si="38"/>
        <v>384.86917865380076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13.693539593482832</v>
      </c>
      <c r="BR59" s="23">
        <f>EXP(-LN(2)/2)*BR58+(1-EXP(-LN(2)/2))/(LN(2)/2)*BL59*BO59*VLOOKUP('Données projet'!$B$11,Paramètres!$A$1:$I$89,3,0)*0.475*44/12</f>
        <v>1.3800502086514775E-3</v>
      </c>
      <c r="BS59" s="24">
        <f t="shared" si="9"/>
        <v>13.694919643691483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419.0448820879102</v>
      </c>
      <c r="T60" s="62">
        <f t="shared" si="34"/>
        <v>553.33038335026379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3.1119401457997378</v>
      </c>
      <c r="AB60" s="23">
        <f>EXP(-LN(2)/2)*AB59+(1-EXP(-LN(2)/2))/(LN(2)/2)*V60*Y60*VLOOKUP('Données projet'!$B$9,Paramètres!$A$1:$I$89,3,0)*0.475*44/12</f>
        <v>3.9536102315801784E-3</v>
      </c>
      <c r="AC60" s="24">
        <f t="shared" si="3"/>
        <v>3.1158937560313178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5.6843418860808015E-14</v>
      </c>
      <c r="AJ60" s="14">
        <f>AI60*VLOOKUP('Données projet'!$B$10,Paramètres!$A$1:$I$89,3,0)*VLOOKUP('Données projet'!$B$10,Paramètres!$A$1:$I$89,5,0)</f>
        <v>3.1036506698001178E-14</v>
      </c>
      <c r="AK60" s="14">
        <f t="shared" si="35"/>
        <v>5.3428243983771088E-13</v>
      </c>
      <c r="AL60" s="22">
        <f t="shared" si="4"/>
        <v>9.8459716521636505E-13</v>
      </c>
      <c r="AM60" s="62">
        <f t="shared" si="5"/>
        <v>259.52664005067868</v>
      </c>
      <c r="AN60" s="62">
        <f ca="1">AVERAGE(OFFSET($AM$3,0,0,'Données projet'!$E$10+1,1))-AVERAGE(OFFSET($H$3,0,0,'Données projet'!$E$10+1,1))</f>
        <v>221.57008282490327</v>
      </c>
      <c r="AO60" s="62">
        <f t="shared" si="36"/>
        <v>320.19912501885199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2.1960497492654909</v>
      </c>
      <c r="AW60" s="23">
        <f>EXP(-LN(2)/2)*AW59+(1-EXP(-LN(2)/2))/(LN(2)/2)*AQ60*AT60*VLOOKUP('Données projet'!$B$10,Paramètres!$A$1:$I$89,3,0)*0.475*44/12</f>
        <v>2.9620520249588553E-4</v>
      </c>
      <c r="AX60" s="23">
        <f t="shared" si="6"/>
        <v>2.1963459544679869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IF('Données projet'!$A$88&gt;35,BD59+BC60-BL59,IF(A60&lt;'Données projet'!$A$88,$BA$205^A60,IF(A60='Données projet'!$A$88,'Données projet'!$B$88,BD59+BC60-BL59)))</f>
        <v>320.79999999999978</v>
      </c>
      <c r="BE60" s="14">
        <f>BD60*VLOOKUP('Données projet'!$B$11,Paramètres!$A$1:$I$89,3,0)*VLOOKUP('Données projet'!$B$11,Paramètres!$A$1:$I$89,5,0)</f>
        <v>235.21055999999984</v>
      </c>
      <c r="BF60" s="14">
        <f t="shared" si="37"/>
        <v>57.407853322119394</v>
      </c>
      <c r="BG60" s="22">
        <f t="shared" si="7"/>
        <v>509.64373653602433</v>
      </c>
      <c r="BH60" s="62">
        <f t="shared" si="8"/>
        <v>769.1703765867021</v>
      </c>
      <c r="BI60" s="62">
        <f ca="1">AVERAGE(OFFSET($BH$3,0,0,'Données projet'!$E$11+1,1))-AVERAGE(OFFSET($H$3,0,0,'Données projet'!$E$11+1,1))</f>
        <v>400.4480038202409</v>
      </c>
      <c r="BJ60" s="62">
        <f t="shared" si="38"/>
        <v>384.86917865380076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13.319089033187094</v>
      </c>
      <c r="BR60" s="23">
        <f>EXP(-LN(2)/2)*BR59+(1-EXP(-LN(2)/2))/(LN(2)/2)*BL60*BO60*VLOOKUP('Données projet'!$B$11,Paramètres!$A$1:$I$89,3,0)*0.475*44/12</f>
        <v>9.7584286091536958E-4</v>
      </c>
      <c r="BS60" s="24">
        <f t="shared" si="9"/>
        <v>13.32006487604801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419.0448820879102</v>
      </c>
      <c r="T61" s="62">
        <f t="shared" si="34"/>
        <v>553.33038335026379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3.0268439788630239</v>
      </c>
      <c r="AB61" s="23">
        <f>EXP(-LN(2)/2)*AB60+(1-EXP(-LN(2)/2))/(LN(2)/2)*V61*Y61*VLOOKUP('Données projet'!$B$9,Paramètres!$A$1:$I$89,3,0)*0.475*44/12</f>
        <v>2.7956246049188607E-3</v>
      </c>
      <c r="AC61" s="24">
        <f t="shared" si="3"/>
        <v>3.0296396034679427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5.6843418860808015E-14</v>
      </c>
      <c r="AJ61" s="14">
        <f>AI61*VLOOKUP('Données projet'!$B$10,Paramètres!$A$1:$I$89,3,0)*VLOOKUP('Données projet'!$B$10,Paramètres!$A$1:$I$89,5,0)</f>
        <v>3.1036506698001178E-14</v>
      </c>
      <c r="AK61" s="14">
        <f t="shared" si="35"/>
        <v>5.3428243983771088E-13</v>
      </c>
      <c r="AL61" s="22">
        <f t="shared" si="4"/>
        <v>9.8459716521636505E-13</v>
      </c>
      <c r="AM61" s="62">
        <f t="shared" si="5"/>
        <v>260.11311059868939</v>
      </c>
      <c r="AN61" s="62">
        <f ca="1">AVERAGE(OFFSET($AM$3,0,0,'Données projet'!$E$10+1,1))-AVERAGE(OFFSET($H$3,0,0,'Données projet'!$E$10+1,1))</f>
        <v>221.57008282490327</v>
      </c>
      <c r="AO61" s="62">
        <f t="shared" si="36"/>
        <v>320.19912501885199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2.1359986533865887</v>
      </c>
      <c r="AW61" s="23">
        <f>EXP(-LN(2)/2)*AW60+(1-EXP(-LN(2)/2))/(LN(2)/2)*AQ61*AT61*VLOOKUP('Données projet'!$B$10,Paramètres!$A$1:$I$89,3,0)*0.475*44/12</f>
        <v>2.0944870730757513E-4</v>
      </c>
      <c r="AX61" s="23">
        <f t="shared" si="6"/>
        <v>2.1362081020938963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IF('Données projet'!$A$88&gt;35,BD60+BC61-BL60,IF(A61&lt;'Données projet'!$A$88,$BA$205^A61,IF(A61='Données projet'!$A$88,'Données projet'!$B$88,BD60+BC61-BL60)))</f>
        <v>328.19999999999976</v>
      </c>
      <c r="BE61" s="14">
        <f>BD61*VLOOKUP('Données projet'!$B$11,Paramètres!$A$1:$I$89,3,0)*VLOOKUP('Données projet'!$B$11,Paramètres!$A$1:$I$89,5,0)</f>
        <v>240.63623999999982</v>
      </c>
      <c r="BF61" s="14">
        <f t="shared" si="37"/>
        <v>58.576399517863109</v>
      </c>
      <c r="BG61" s="22">
        <f t="shared" si="7"/>
        <v>521.12868049361134</v>
      </c>
      <c r="BH61" s="62">
        <f t="shared" si="8"/>
        <v>781.24179109229976</v>
      </c>
      <c r="BI61" s="62">
        <f ca="1">AVERAGE(OFFSET($BH$3,0,0,'Données projet'!$E$11+1,1))-AVERAGE(OFFSET($H$3,0,0,'Données projet'!$E$11+1,1))</f>
        <v>400.4480038202409</v>
      </c>
      <c r="BJ61" s="62">
        <f t="shared" si="38"/>
        <v>384.86917865380076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12.954877843154142</v>
      </c>
      <c r="BR61" s="23">
        <f>EXP(-LN(2)/2)*BR60+(1-EXP(-LN(2)/2))/(LN(2)/2)*BL61*BO61*VLOOKUP('Données projet'!$B$11,Paramètres!$A$1:$I$89,3,0)*0.475*44/12</f>
        <v>6.9002510432573884E-4</v>
      </c>
      <c r="BS61" s="24">
        <f t="shared" si="9"/>
        <v>12.955567868258468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419.0448820879102</v>
      </c>
      <c r="T62" s="62">
        <f t="shared" si="34"/>
        <v>553.33038335026379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2.9440747710862074</v>
      </c>
      <c r="AB62" s="23">
        <f>EXP(-LN(2)/2)*AB61+(1-EXP(-LN(2)/2))/(LN(2)/2)*V62*Y62*VLOOKUP('Données projet'!$B$9,Paramètres!$A$1:$I$89,3,0)*0.475*44/12</f>
        <v>1.9768051157900892E-3</v>
      </c>
      <c r="AC62" s="24">
        <f t="shared" si="3"/>
        <v>2.9460515762019974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5.6843418860808015E-14</v>
      </c>
      <c r="AJ62" s="14">
        <f>AI62*VLOOKUP('Données projet'!$B$10,Paramètres!$A$1:$I$89,3,0)*VLOOKUP('Données projet'!$B$10,Paramètres!$A$1:$I$89,5,0)</f>
        <v>3.1036506698001178E-14</v>
      </c>
      <c r="AK62" s="14">
        <f t="shared" si="35"/>
        <v>5.3428243983771088E-13</v>
      </c>
      <c r="AL62" s="22">
        <f t="shared" si="4"/>
        <v>9.8459716521636505E-13</v>
      </c>
      <c r="AM62" s="62">
        <f t="shared" si="5"/>
        <v>260.68940719384375</v>
      </c>
      <c r="AN62" s="62">
        <f ca="1">AVERAGE(OFFSET($AM$3,0,0,'Données projet'!$E$10+1,1))-AVERAGE(OFFSET($H$3,0,0,'Données projet'!$E$10+1,1))</f>
        <v>221.57008282490327</v>
      </c>
      <c r="AO62" s="62">
        <f t="shared" si="36"/>
        <v>320.19912501885199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2.0775896578824451</v>
      </c>
      <c r="AW62" s="23">
        <f>EXP(-LN(2)/2)*AW61+(1-EXP(-LN(2)/2))/(LN(2)/2)*AQ62*AT62*VLOOKUP('Données projet'!$B$10,Paramètres!$A$1:$I$89,3,0)*0.475*44/12</f>
        <v>1.4810260124794276E-4</v>
      </c>
      <c r="AX62" s="23">
        <f t="shared" si="6"/>
        <v>2.0777377604836929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IF('Données projet'!$A$88&gt;35,BD61+BC62-BL61,IF(A62&lt;'Données projet'!$A$88,$BA$205^A62,IF(A62='Données projet'!$A$88,'Données projet'!$B$88,BD61+BC62-BL61)))</f>
        <v>335.59999999999974</v>
      </c>
      <c r="BE62" s="14">
        <f>BD62*VLOOKUP('Données projet'!$B$11,Paramètres!$A$1:$I$89,3,0)*VLOOKUP('Données projet'!$B$11,Paramètres!$A$1:$I$89,5,0)</f>
        <v>246.06191999999979</v>
      </c>
      <c r="BF62" s="14">
        <f t="shared" si="37"/>
        <v>59.741882613953308</v>
      </c>
      <c r="BG62" s="22">
        <f t="shared" si="7"/>
        <v>532.60828955263503</v>
      </c>
      <c r="BH62" s="62">
        <f t="shared" si="8"/>
        <v>793.29769674647787</v>
      </c>
      <c r="BI62" s="62">
        <f ca="1">AVERAGE(OFFSET($BH$3,0,0,'Données projet'!$E$11+1,1))-AVERAGE(OFFSET($H$3,0,0,'Données projet'!$E$11+1,1))</f>
        <v>400.4480038202409</v>
      </c>
      <c r="BJ62" s="62">
        <f t="shared" si="38"/>
        <v>384.86917865380076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12.600626027265674</v>
      </c>
      <c r="BR62" s="23">
        <f>EXP(-LN(2)/2)*BR61+(1-EXP(-LN(2)/2))/(LN(2)/2)*BL62*BO62*VLOOKUP('Données projet'!$B$11,Paramètres!$A$1:$I$89,3,0)*0.475*44/12</f>
        <v>4.879214304576849E-4</v>
      </c>
      <c r="BS62" s="24">
        <f t="shared" si="9"/>
        <v>12.601113948696131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419.0448820879102</v>
      </c>
      <c r="T63" s="62">
        <f t="shared" si="34"/>
        <v>553.33038335026379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2.8635688916486917</v>
      </c>
      <c r="AB63" s="23">
        <f>EXP(-LN(2)/2)*AB62+(1-EXP(-LN(2)/2))/(LN(2)/2)*V63*Y63*VLOOKUP('Données projet'!$B$9,Paramètres!$A$1:$I$89,3,0)*0.475*44/12</f>
        <v>1.3978123024594303E-3</v>
      </c>
      <c r="AC63" s="24">
        <f t="shared" si="3"/>
        <v>2.8649667039511511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5.6843418860808015E-14</v>
      </c>
      <c r="AJ63" s="14">
        <f>AI63*VLOOKUP('Données projet'!$B$10,Paramètres!$A$1:$I$89,3,0)*VLOOKUP('Données projet'!$B$10,Paramètres!$A$1:$I$89,5,0)</f>
        <v>3.1036506698001178E-14</v>
      </c>
      <c r="AK63" s="14">
        <f t="shared" si="35"/>
        <v>5.3428243983771088E-13</v>
      </c>
      <c r="AL63" s="22">
        <f t="shared" si="4"/>
        <v>9.8459716521636505E-13</v>
      </c>
      <c r="AM63" s="62">
        <f t="shared" si="5"/>
        <v>261.25570633147845</v>
      </c>
      <c r="AN63" s="62">
        <f ca="1">AVERAGE(OFFSET($AM$3,0,0,'Données projet'!$E$10+1,1))-AVERAGE(OFFSET($H$3,0,0,'Données projet'!$E$10+1,1))</f>
        <v>221.57008282490327</v>
      </c>
      <c r="AO63" s="62">
        <f t="shared" si="36"/>
        <v>320.19912501885199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2.0207778594319579</v>
      </c>
      <c r="AW63" s="23">
        <f>EXP(-LN(2)/2)*AW62+(1-EXP(-LN(2)/2))/(LN(2)/2)*AQ63*AT63*VLOOKUP('Données projet'!$B$10,Paramètres!$A$1:$I$89,3,0)*0.475*44/12</f>
        <v>1.0472435365378757E-4</v>
      </c>
      <c r="AX63" s="23">
        <f t="shared" si="6"/>
        <v>2.0208825837856117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343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IF('Données projet'!$A$88&gt;35,BD62+BC63-BL62,IF(A63&lt;'Données projet'!$A$88,$BA$205^A63,IF(A63='Données projet'!$A$88,'Données projet'!$B$88,BD62+BC63-BL62)))</f>
        <v>342.99999999999972</v>
      </c>
      <c r="BE63" s="14">
        <f>BD63*VLOOKUP('Données projet'!$B$11,Paramètres!$A$1:$I$89,3,0)*VLOOKUP('Données projet'!$B$11,Paramètres!$A$1:$I$89,5,0)</f>
        <v>251.48759999999979</v>
      </c>
      <c r="BF63" s="14">
        <f t="shared" si="37"/>
        <v>60.904377929400603</v>
      </c>
      <c r="BG63" s="22">
        <f t="shared" si="7"/>
        <v>544.08269489370571</v>
      </c>
      <c r="BH63" s="62">
        <f t="shared" si="8"/>
        <v>805.33840122518313</v>
      </c>
      <c r="BI63" s="62">
        <f ca="1">AVERAGE(OFFSET($BH$3,0,0,'Données projet'!$E$11+1,1))-AVERAGE(OFFSET($H$3,0,0,'Données projet'!$E$11+1,1))</f>
        <v>400.4480038202409</v>
      </c>
      <c r="BJ63" s="62">
        <f t="shared" si="38"/>
        <v>384.86917865380076</v>
      </c>
      <c r="BK63" s="16">
        <f>IF(ISNA(VLOOKUP(A63,'Données projet'!$A$87:$I$107,3,0)),0,VLOOKUP(A63,'Données projet'!$A$87:$I$107,3,0))</f>
        <v>11</v>
      </c>
      <c r="BL63" s="16">
        <f>IF(ISNA(VLOOKUP(A63,'Données projet'!$A$87:$I$107,4,0)),0,VLOOKUP(A63,'Données projet'!$A$87:$I$107,4,0))</f>
        <v>17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12.256061245911971</v>
      </c>
      <c r="BR63" s="23">
        <f>EXP(-LN(2)/2)*BR62+(1-EXP(-LN(2)/2))/(LN(2)/2)*BL63*BO63*VLOOKUP('Données projet'!$B$11,Paramètres!$A$1:$I$89,3,0)*0.475*44/12</f>
        <v>3.4501255216286947E-4</v>
      </c>
      <c r="BS63" s="24">
        <f t="shared" si="9"/>
        <v>12.256406258464134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419.0448820879102</v>
      </c>
      <c r="T64" s="62">
        <f t="shared" si="34"/>
        <v>553.33038335026379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2.785264449718015</v>
      </c>
      <c r="AB64" s="23">
        <f>EXP(-LN(2)/2)*AB63+(1-EXP(-LN(2)/2))/(LN(2)/2)*V64*Y64*VLOOKUP('Données projet'!$B$9,Paramètres!$A$1:$I$89,3,0)*0.475*44/12</f>
        <v>9.884025578950446E-4</v>
      </c>
      <c r="AC64" s="24">
        <f t="shared" si="3"/>
        <v>2.78625285227591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3.1036506698001178E-14</v>
      </c>
      <c r="AK64" s="14">
        <f t="shared" si="35"/>
        <v>5.3428243983771088E-13</v>
      </c>
      <c r="AL64" s="22">
        <f t="shared" si="4"/>
        <v>9.8459716521636505E-13</v>
      </c>
      <c r="AM64" s="62">
        <f t="shared" si="5"/>
        <v>261.81218144513031</v>
      </c>
      <c r="AN64" s="62">
        <f ca="1">AVERAGE(OFFSET($AM$3,0,0,'Données projet'!$E$10+1,1))-AVERAGE(OFFSET($H$3,0,0,'Données projet'!$E$10+1,1))</f>
        <v>221.57008282490327</v>
      </c>
      <c r="AO64" s="62">
        <f t="shared" si="36"/>
        <v>320.19912501885199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1.9655195825977019</v>
      </c>
      <c r="AW64" s="23">
        <f>EXP(-LN(2)/2)*AW63+(1-EXP(-LN(2)/2))/(LN(2)/2)*AQ64*AT64*VLOOKUP('Données projet'!$B$10,Paramètres!$A$1:$I$89,3,0)*0.475*44/12</f>
        <v>7.4051300623971381E-5</v>
      </c>
      <c r="AX64" s="23">
        <f t="shared" si="6"/>
        <v>1.9655936338983258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6</v>
      </c>
      <c r="BD64" s="13">
        <f>IF('Données projet'!$A$88&gt;35,BD63+BC64-BL63,IF(A64&lt;'Données projet'!$A$88,$BA$205^A64,IF(A64='Données projet'!$A$88,'Données projet'!$B$88,BD63+BC64-BL63)))</f>
        <v>331.99999999999972</v>
      </c>
      <c r="BE64" s="14">
        <f>BD64*VLOOKUP('Données projet'!$B$11,Paramètres!$A$1:$I$89,3,0)*VLOOKUP('Données projet'!$B$11,Paramètres!$A$1:$I$89,5,0)</f>
        <v>243.42239999999978</v>
      </c>
      <c r="BF64" s="14">
        <f t="shared" si="37"/>
        <v>59.175268615646175</v>
      </c>
      <c r="BG64" s="22">
        <f t="shared" si="7"/>
        <v>527.02427283891677</v>
      </c>
      <c r="BH64" s="62">
        <f t="shared" si="8"/>
        <v>788.83645428404611</v>
      </c>
      <c r="BI64" s="62">
        <f ca="1">AVERAGE(OFFSET($BH$3,0,0,'Données projet'!$E$11+1,1))-AVERAGE(OFFSET($H$3,0,0,'Données projet'!$E$11+1,1))</f>
        <v>400.4480038202409</v>
      </c>
      <c r="BJ64" s="62">
        <f t="shared" si="38"/>
        <v>384.86917865380076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11.920918606624259</v>
      </c>
      <c r="BR64" s="23">
        <f>EXP(-LN(2)/2)*BR63+(1-EXP(-LN(2)/2))/(LN(2)/2)*BL64*BO64*VLOOKUP('Données projet'!$B$11,Paramètres!$A$1:$I$89,3,0)*0.475*44/12</f>
        <v>2.4396071522884248E-4</v>
      </c>
      <c r="BS64" s="24">
        <f t="shared" si="9"/>
        <v>11.921162567339488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419.0448820879102</v>
      </c>
      <c r="T65" s="62">
        <f t="shared" si="34"/>
        <v>553.33038335026379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2.7091012468697842</v>
      </c>
      <c r="AB65" s="23">
        <f>EXP(-LN(2)/2)*AB64+(1-EXP(-LN(2)/2))/(LN(2)/2)*V65*Y65*VLOOKUP('Données projet'!$B$9,Paramètres!$A$1:$I$89,3,0)*0.475*44/12</f>
        <v>6.9890615122971517E-4</v>
      </c>
      <c r="AC65" s="24">
        <f t="shared" si="3"/>
        <v>2.7098001530210141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3.1036506698001178E-14</v>
      </c>
      <c r="AK65" s="14">
        <f t="shared" si="35"/>
        <v>5.3428243983771088E-13</v>
      </c>
      <c r="AL65" s="22">
        <f t="shared" si="4"/>
        <v>9.8459716521636505E-13</v>
      </c>
      <c r="AM65" s="62">
        <f t="shared" si="5"/>
        <v>262.35900295965229</v>
      </c>
      <c r="AN65" s="62">
        <f ca="1">AVERAGE(OFFSET($AM$3,0,0,'Données projet'!$E$10+1,1))-AVERAGE(OFFSET($H$3,0,0,'Données projet'!$E$10+1,1))</f>
        <v>221.57008282490327</v>
      </c>
      <c r="AO65" s="62">
        <f t="shared" si="36"/>
        <v>320.19912501885199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1.9117723462493852</v>
      </c>
      <c r="AW65" s="23">
        <f>EXP(-LN(2)/2)*AW64+(1-EXP(-LN(2)/2))/(LN(2)/2)*AQ65*AT65*VLOOKUP('Données projet'!$B$10,Paramètres!$A$1:$I$89,3,0)*0.475*44/12</f>
        <v>5.2362176826893783E-5</v>
      </c>
      <c r="AX65" s="23">
        <f t="shared" si="6"/>
        <v>1.9118247084262121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6</v>
      </c>
      <c r="BD65" s="13">
        <f>IF('Données projet'!$A$88&gt;35,BD64+BC65-BL64,IF(A65&lt;'Données projet'!$A$88,$BA$205^A65,IF(A65='Données projet'!$A$88,'Données projet'!$B$88,BD64+BC65-BL64)))</f>
        <v>337.99999999999972</v>
      </c>
      <c r="BE65" s="14">
        <f>BD65*VLOOKUP('Données projet'!$B$11,Paramètres!$A$1:$I$89,3,0)*VLOOKUP('Données projet'!$B$11,Paramètres!$A$1:$I$89,5,0)</f>
        <v>247.82159999999982</v>
      </c>
      <c r="BF65" s="14">
        <f t="shared" si="37"/>
        <v>60.119231945607517</v>
      </c>
      <c r="BG65" s="22">
        <f t="shared" si="7"/>
        <v>536.330282305266</v>
      </c>
      <c r="BH65" s="62">
        <f t="shared" si="8"/>
        <v>798.68928526491732</v>
      </c>
      <c r="BI65" s="62">
        <f ca="1">AVERAGE(OFFSET($BH$3,0,0,'Données projet'!$E$11+1,1))-AVERAGE(OFFSET($H$3,0,0,'Données projet'!$E$11+1,1))</f>
        <v>400.4480038202409</v>
      </c>
      <c r="BJ65" s="62">
        <f t="shared" si="38"/>
        <v>384.86917865380076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11.594940460432255</v>
      </c>
      <c r="BR65" s="23">
        <f>EXP(-LN(2)/2)*BR64+(1-EXP(-LN(2)/2))/(LN(2)/2)*BL65*BO65*VLOOKUP('Données projet'!$B$11,Paramètres!$A$1:$I$89,3,0)*0.475*44/12</f>
        <v>1.7250627608143476E-4</v>
      </c>
      <c r="BS65" s="24">
        <f t="shared" si="9"/>
        <v>11.595112966708337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419.0448820879102</v>
      </c>
      <c r="T66" s="62">
        <f t="shared" si="34"/>
        <v>553.33038335026379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2.6350207308086873</v>
      </c>
      <c r="AB66" s="23">
        <f>EXP(-LN(2)/2)*AB65+(1-EXP(-LN(2)/2))/(LN(2)/2)*V66*Y66*VLOOKUP('Données projet'!$B$9,Paramètres!$A$1:$I$89,3,0)*0.475*44/12</f>
        <v>4.942012789475223E-4</v>
      </c>
      <c r="AC66" s="24">
        <f t="shared" si="3"/>
        <v>2.6355149320876348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3.1036506698001178E-14</v>
      </c>
      <c r="AK66" s="14">
        <f t="shared" si="35"/>
        <v>5.3428243983771088E-13</v>
      </c>
      <c r="AL66" s="22">
        <f t="shared" si="4"/>
        <v>9.8459716521636505E-13</v>
      </c>
      <c r="AM66" s="62">
        <f t="shared" si="5"/>
        <v>262.89633834340708</v>
      </c>
      <c r="AN66" s="62">
        <f ca="1">AVERAGE(OFFSET($AM$3,0,0,'Données projet'!$E$10+1,1))-AVERAGE(OFFSET($H$3,0,0,'Données projet'!$E$10+1,1))</f>
        <v>221.57008282490327</v>
      </c>
      <c r="AO66" s="62">
        <f t="shared" si="36"/>
        <v>320.19912501885199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1.8594948309054575</v>
      </c>
      <c r="AW66" s="23">
        <f>EXP(-LN(2)/2)*AW65+(1-EXP(-LN(2)/2))/(LN(2)/2)*AQ66*AT66*VLOOKUP('Données projet'!$B$10,Paramètres!$A$1:$I$89,3,0)*0.475*44/12</f>
        <v>3.7025650311985691E-5</v>
      </c>
      <c r="AX66" s="23">
        <f t="shared" si="6"/>
        <v>1.8595318565557695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6</v>
      </c>
      <c r="BD66" s="13">
        <f>IF('Données projet'!$A$88&gt;35,BD65+BC66-BL65,IF(A66&lt;'Données projet'!$A$88,$BA$205^A66,IF(A66='Données projet'!$A$88,'Données projet'!$B$88,BD65+BC66-BL65)))</f>
        <v>343.99999999999972</v>
      </c>
      <c r="BE66" s="14">
        <f>BD66*VLOOKUP('Données projet'!$B$11,Paramètres!$A$1:$I$89,3,0)*VLOOKUP('Données projet'!$B$11,Paramètres!$A$1:$I$89,5,0)</f>
        <v>252.2207999999998</v>
      </c>
      <c r="BF66" s="14">
        <f t="shared" si="37"/>
        <v>61.061246695931573</v>
      </c>
      <c r="BG66" s="22">
        <f t="shared" si="7"/>
        <v>545.63289799541383</v>
      </c>
      <c r="BH66" s="62">
        <f t="shared" si="8"/>
        <v>808.52923633881994</v>
      </c>
      <c r="BI66" s="62">
        <f ca="1">AVERAGE(OFFSET($BH$3,0,0,'Données projet'!$E$11+1,1))-AVERAGE(OFFSET($H$3,0,0,'Données projet'!$E$11+1,1))</f>
        <v>400.4480038202409</v>
      </c>
      <c r="BJ66" s="62">
        <f t="shared" si="38"/>
        <v>384.86917865380076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11.277876203790317</v>
      </c>
      <c r="BR66" s="23">
        <f>EXP(-LN(2)/2)*BR65+(1-EXP(-LN(2)/2))/(LN(2)/2)*BL66*BO66*VLOOKUP('Données projet'!$B$11,Paramètres!$A$1:$I$89,3,0)*0.475*44/12</f>
        <v>1.2198035761442125E-4</v>
      </c>
      <c r="BS66" s="24">
        <f t="shared" si="9"/>
        <v>11.277998184147931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419.0448820879102</v>
      </c>
      <c r="T67" s="62">
        <f t="shared" si="34"/>
        <v>553.33038335026379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2.562965950355006</v>
      </c>
      <c r="AB67" s="23">
        <f>EXP(-LN(2)/2)*AB66+(1-EXP(-LN(2)/2))/(LN(2)/2)*V67*Y67*VLOOKUP('Données projet'!$B$9,Paramètres!$A$1:$I$89,3,0)*0.475*44/12</f>
        <v>3.4945307561485759E-4</v>
      </c>
      <c r="AC67" s="24">
        <f t="shared" si="3"/>
        <v>2.5633154034306207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3.1036506698001178E-14</v>
      </c>
      <c r="AK67" s="14">
        <f t="shared" si="35"/>
        <v>5.3428243983771088E-13</v>
      </c>
      <c r="AL67" s="22">
        <f t="shared" si="4"/>
        <v>9.8459716521636505E-13</v>
      </c>
      <c r="AM67" s="62">
        <f t="shared" si="5"/>
        <v>263.42435215955572</v>
      </c>
      <c r="AN67" s="62">
        <f ca="1">AVERAGE(OFFSET($AM$3,0,0,'Données projet'!$E$10+1,1))-AVERAGE(OFFSET($H$3,0,0,'Données projet'!$E$10+1,1))</f>
        <v>221.57008282490327</v>
      </c>
      <c r="AO67" s="62">
        <f t="shared" si="36"/>
        <v>320.19912501885199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1.8086468469677646</v>
      </c>
      <c r="AW67" s="23">
        <f>EXP(-LN(2)/2)*AW66+(1-EXP(-LN(2)/2))/(LN(2)/2)*AQ67*AT67*VLOOKUP('Données projet'!$B$10,Paramètres!$A$1:$I$89,3,0)*0.475*44/12</f>
        <v>2.6181088413446891E-5</v>
      </c>
      <c r="AX67" s="23">
        <f t="shared" si="6"/>
        <v>1.808673028056178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6</v>
      </c>
      <c r="BD67" s="13">
        <f>IF('Données projet'!$A$88&gt;35,BD66+BC67-BL66,IF(A67&lt;'Données projet'!$A$88,$BA$205^A67,IF(A67='Données projet'!$A$88,'Données projet'!$B$88,BD66+BC67-BL66)))</f>
        <v>349.99999999999972</v>
      </c>
      <c r="BE67" s="14">
        <f>BD67*VLOOKUP('Données projet'!$B$11,Paramètres!$A$1:$I$89,3,0)*VLOOKUP('Données projet'!$B$11,Paramètres!$A$1:$I$89,5,0)</f>
        <v>256.61999999999978</v>
      </c>
      <c r="BF67" s="14">
        <f t="shared" si="37"/>
        <v>62.001350774926514</v>
      </c>
      <c r="BG67" s="22">
        <f t="shared" si="7"/>
        <v>554.9321859329965</v>
      </c>
      <c r="BH67" s="62">
        <f t="shared" si="8"/>
        <v>818.35653809255132</v>
      </c>
      <c r="BI67" s="62">
        <f ca="1">AVERAGE(OFFSET($BH$3,0,0,'Données projet'!$E$11+1,1))-AVERAGE(OFFSET($H$3,0,0,'Données projet'!$E$11+1,1))</f>
        <v>400.4480038202409</v>
      </c>
      <c r="BJ67" s="62">
        <f t="shared" si="38"/>
        <v>384.86917865380076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10.969482085919937</v>
      </c>
      <c r="BR67" s="23">
        <f>EXP(-LN(2)/2)*BR66+(1-EXP(-LN(2)/2))/(LN(2)/2)*BL67*BO67*VLOOKUP('Données projet'!$B$11,Paramètres!$A$1:$I$89,3,0)*0.475*44/12</f>
        <v>8.6253138040717395E-5</v>
      </c>
      <c r="BS67" s="24">
        <f t="shared" si="9"/>
        <v>10.969568339057977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419.0448820879102</v>
      </c>
      <c r="T68" s="62">
        <f t="shared" si="34"/>
        <v>553.33038335026379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2.4928815116620267</v>
      </c>
      <c r="AB68" s="23">
        <f>EXP(-LN(2)/2)*AB67+(1-EXP(-LN(2)/2))/(LN(2)/2)*V68*Y68*VLOOKUP('Données projet'!$B$9,Paramètres!$A$1:$I$89,3,0)*0.475*44/12</f>
        <v>2.4710063947376115E-4</v>
      </c>
      <c r="AC68" s="24">
        <f t="shared" ref="AC68:AC131" si="57">SUM(Z68:AB68)</f>
        <v>2.4931286123015006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3.1036506698001178E-14</v>
      </c>
      <c r="AK68" s="14">
        <f t="shared" si="35"/>
        <v>5.3428243983771088E-13</v>
      </c>
      <c r="AL68" s="22">
        <f t="shared" ref="AL68:AL131" si="58">(AJ68+AK68)*0.475*44/12</f>
        <v>9.8459716521636505E-13</v>
      </c>
      <c r="AM68" s="62">
        <f t="shared" ref="AM68:AM131" si="59">AL68+(AD68+AE68)*44/12</f>
        <v>263.94320611645617</v>
      </c>
      <c r="AN68" s="62">
        <f ca="1">AVERAGE(OFFSET($AM$3,0,0,'Données projet'!$E$10+1,1))-AVERAGE(OFFSET($H$3,0,0,'Données projet'!$E$10+1,1))</f>
        <v>221.57008282490327</v>
      </c>
      <c r="AO68" s="62">
        <f t="shared" si="36"/>
        <v>320.19912501885199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1.7591893038248272</v>
      </c>
      <c r="AW68" s="23">
        <f>EXP(-LN(2)/2)*AW67+(1-EXP(-LN(2)/2))/(LN(2)/2)*AQ68*AT68*VLOOKUP('Données projet'!$B$10,Paramètres!$A$1:$I$89,3,0)*0.475*44/12</f>
        <v>1.8512825155992845E-5</v>
      </c>
      <c r="AX68" s="23">
        <f t="shared" ref="AX68:AX131" si="60">SUM(AU68:AW68)</f>
        <v>1.7592078166499832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356</v>
      </c>
      <c r="BB68" s="13">
        <f>VLOOKUP(A68,'Données projet'!$A$87:$I$107,9,0)</f>
        <v>6</v>
      </c>
      <c r="BC68" s="13">
        <f t="array" ref="BC68">INDEX(BB:BB,MIN(IF(ISNUMBER(BB68:BB264),ROW(BB68:BB264),"")))</f>
        <v>6</v>
      </c>
      <c r="BD68" s="13">
        <f>IF('Données projet'!$A$88&gt;35,BD67+BC68-BL67,IF(A68&lt;'Données projet'!$A$88,$BA$205^A68,IF(A68='Données projet'!$A$88,'Données projet'!$B$88,BD67+BC68-BL67)))</f>
        <v>355.99999999999972</v>
      </c>
      <c r="BE68" s="14">
        <f>BD68*VLOOKUP('Données projet'!$B$11,Paramètres!$A$1:$I$89,3,0)*VLOOKUP('Données projet'!$B$11,Paramètres!$A$1:$I$89,5,0)</f>
        <v>261.01919999999978</v>
      </c>
      <c r="BF68" s="14">
        <f t="shared" si="37"/>
        <v>62.939580716713571</v>
      </c>
      <c r="BG68" s="22">
        <f t="shared" ref="BG68:BG131" si="61">(BE68+BF68)*0.475*44/12</f>
        <v>564.22820974827573</v>
      </c>
      <c r="BH68" s="62">
        <f t="shared" ref="BH68:BH131" si="62">BG68+(AY68+AZ68)*44/12</f>
        <v>828.17141586473099</v>
      </c>
      <c r="BI68" s="62">
        <f ca="1">AVERAGE(OFFSET($BH$3,0,0,'Données projet'!$E$11+1,1))-AVERAGE(OFFSET($H$3,0,0,'Données projet'!$E$11+1,1))</f>
        <v>400.4480038202409</v>
      </c>
      <c r="BJ68" s="62">
        <f t="shared" si="38"/>
        <v>384.86917865380076</v>
      </c>
      <c r="BK68" s="16">
        <f>IF(ISNA(VLOOKUP(A68,'Données projet'!$A$87:$I$107,3,0)),0,VLOOKUP(A68,'Données projet'!$A$87:$I$107,3,0))</f>
        <v>12</v>
      </c>
      <c r="BL68" s="16">
        <f>IF(ISNA(VLOOKUP(A68,'Données projet'!$A$87:$I$107,4,0)),0,VLOOKUP(A68,'Données projet'!$A$87:$I$107,4,0))</f>
        <v>16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10.669521021420465</v>
      </c>
      <c r="BR68" s="23">
        <f>EXP(-LN(2)/2)*BR67+(1-EXP(-LN(2)/2))/(LN(2)/2)*BL68*BO68*VLOOKUP('Données projet'!$B$11,Paramètres!$A$1:$I$89,3,0)*0.475*44/12</f>
        <v>6.0990178807210639E-5</v>
      </c>
      <c r="BS68" s="24">
        <f t="shared" ref="BS68:BS131" si="63">SUM(BP68:BR68)</f>
        <v>10.669582011599273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419.0448820879102</v>
      </c>
      <c r="T69" s="62">
        <f t="shared" ref="T69:T132" si="88">$T$3</f>
        <v>553.33038335026379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2.4247135356306875</v>
      </c>
      <c r="AB69" s="23">
        <f>EXP(-LN(2)/2)*AB68+(1-EXP(-LN(2)/2))/(LN(2)/2)*V69*Y69*VLOOKUP('Données projet'!$B$9,Paramètres!$A$1:$I$89,3,0)*0.475*44/12</f>
        <v>1.7472653780742879E-4</v>
      </c>
      <c r="AC69" s="24">
        <f t="shared" si="57"/>
        <v>2.4248882621684951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3.1036506698001178E-14</v>
      </c>
      <c r="AK69" s="14">
        <f t="shared" ref="AK69:AK132" si="89">EXP(-1.0587+0.8836*LN(AJ69)+0.284)</f>
        <v>5.3428243983771088E-13</v>
      </c>
      <c r="AL69" s="22">
        <f t="shared" si="58"/>
        <v>9.8459716521636505E-13</v>
      </c>
      <c r="AM69" s="62">
        <f t="shared" si="59"/>
        <v>264.45305911718805</v>
      </c>
      <c r="AN69" s="62">
        <f ca="1">AVERAGE(OFFSET($AM$3,0,0,'Données projet'!$E$10+1,1))-AVERAGE(OFFSET($H$3,0,0,'Données projet'!$E$10+1,1))</f>
        <v>221.57008282490327</v>
      </c>
      <c r="AO69" s="62">
        <f t="shared" ref="AO69:AO132" si="90">$AO$3</f>
        <v>320.19912501885199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1.7110841797999925</v>
      </c>
      <c r="AW69" s="23">
        <f>EXP(-LN(2)/2)*AW68+(1-EXP(-LN(2)/2))/(LN(2)/2)*AQ69*AT69*VLOOKUP('Données projet'!$B$10,Paramètres!$A$1:$I$89,3,0)*0.475*44/12</f>
        <v>1.3090544206723446E-5</v>
      </c>
      <c r="AX69" s="23">
        <f t="shared" si="60"/>
        <v>1.7110972703441991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5.2</v>
      </c>
      <c r="BD69" s="13">
        <f>IF('Données projet'!$A$88&gt;35,BD68+BC69-BL68,IF(A69&lt;'Données projet'!$A$88,$BA$205^A69,IF(A69='Données projet'!$A$88,'Données projet'!$B$88,BD68+BC69-BL68)))</f>
        <v>345.1999999999997</v>
      </c>
      <c r="BE69" s="14">
        <f>BD69*VLOOKUP('Données projet'!$B$11,Paramètres!$A$1:$I$89,3,0)*VLOOKUP('Données projet'!$B$11,Paramètres!$A$1:$I$89,5,0)</f>
        <v>253.1006399999998</v>
      </c>
      <c r="BF69" s="14">
        <f t="shared" ref="BF69:BF132" si="91">EXP(-1.0587+0.8836*LN(BE69)+0.284)</f>
        <v>61.249419177028884</v>
      </c>
      <c r="BG69" s="22">
        <f t="shared" si="61"/>
        <v>547.4930197333249</v>
      </c>
      <c r="BH69" s="62">
        <f t="shared" si="62"/>
        <v>811.94607885051198</v>
      </c>
      <c r="BI69" s="62">
        <f ca="1">AVERAGE(OFFSET($BH$3,0,0,'Données projet'!$E$11+1,1))-AVERAGE(OFFSET($H$3,0,0,'Données projet'!$E$11+1,1))</f>
        <v>400.4480038202409</v>
      </c>
      <c r="BJ69" s="62">
        <f t="shared" ref="BJ69:BJ132" si="92">$BJ$3</f>
        <v>384.86917865380076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10.377762408003997</v>
      </c>
      <c r="BR69" s="23">
        <f>EXP(-LN(2)/2)*BR68+(1-EXP(-LN(2)/2))/(LN(2)/2)*BL69*BO69*VLOOKUP('Données projet'!$B$11,Paramètres!$A$1:$I$89,3,0)*0.475*44/12</f>
        <v>4.3126569020358704E-5</v>
      </c>
      <c r="BS69" s="24">
        <f t="shared" si="63"/>
        <v>10.377805534573017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419.0448820879102</v>
      </c>
      <c r="T70" s="62">
        <f t="shared" si="88"/>
        <v>553.33038335026379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2.3584096164887232</v>
      </c>
      <c r="AB70" s="23">
        <f>EXP(-LN(2)/2)*AB69+(1-EXP(-LN(2)/2))/(LN(2)/2)*V70*Y70*VLOOKUP('Données projet'!$B$9,Paramètres!$A$1:$I$89,3,0)*0.475*44/12</f>
        <v>1.2355031973688058E-4</v>
      </c>
      <c r="AC70" s="24">
        <f t="shared" si="57"/>
        <v>2.3585331668084599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3.1036506698001178E-14</v>
      </c>
      <c r="AK70" s="14">
        <f t="shared" si="89"/>
        <v>5.3428243983771088E-13</v>
      </c>
      <c r="AL70" s="22">
        <f t="shared" si="58"/>
        <v>9.8459716521636505E-13</v>
      </c>
      <c r="AM70" s="62">
        <f t="shared" si="59"/>
        <v>264.95406730821787</v>
      </c>
      <c r="AN70" s="62">
        <f ca="1">AVERAGE(OFFSET($AM$3,0,0,'Données projet'!$E$10+1,1))-AVERAGE(OFFSET($H$3,0,0,'Données projet'!$E$10+1,1))</f>
        <v>221.57008282490327</v>
      </c>
      <c r="AO70" s="62">
        <f t="shared" si="90"/>
        <v>320.19912501885199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1.6642944929213555</v>
      </c>
      <c r="AW70" s="23">
        <f>EXP(-LN(2)/2)*AW69+(1-EXP(-LN(2)/2))/(LN(2)/2)*AQ70*AT70*VLOOKUP('Données projet'!$B$10,Paramètres!$A$1:$I$89,3,0)*0.475*44/12</f>
        <v>9.2564125779964227E-6</v>
      </c>
      <c r="AX70" s="23">
        <f t="shared" si="60"/>
        <v>1.6643037493339334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5.2</v>
      </c>
      <c r="BD70" s="13">
        <f>IF('Données projet'!$A$88&gt;35,BD69+BC70-BL69,IF(A70&lt;'Données projet'!$A$88,$BA$205^A70,IF(A70='Données projet'!$A$88,'Données projet'!$B$88,BD69+BC70-BL69)))</f>
        <v>350.39999999999969</v>
      </c>
      <c r="BE70" s="14">
        <f>BD70*VLOOKUP('Données projet'!$B$11,Paramètres!$A$1:$I$89,3,0)*VLOOKUP('Données projet'!$B$11,Paramètres!$A$1:$I$89,5,0)</f>
        <v>256.91327999999976</v>
      </c>
      <c r="BF70" s="14">
        <f t="shared" si="91"/>
        <v>62.063957347667916</v>
      </c>
      <c r="BG70" s="22">
        <f t="shared" si="61"/>
        <v>555.55202171385451</v>
      </c>
      <c r="BH70" s="62">
        <f t="shared" si="62"/>
        <v>820.50608902207136</v>
      </c>
      <c r="BI70" s="62">
        <f ca="1">AVERAGE(OFFSET($BH$3,0,0,'Données projet'!$E$11+1,1))-AVERAGE(OFFSET($H$3,0,0,'Données projet'!$E$11+1,1))</f>
        <v>400.4480038202409</v>
      </c>
      <c r="BJ70" s="62">
        <f t="shared" si="92"/>
        <v>384.86917865380076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10.093981949214323</v>
      </c>
      <c r="BR70" s="23">
        <f>EXP(-LN(2)/2)*BR69+(1-EXP(-LN(2)/2))/(LN(2)/2)*BL70*BO70*VLOOKUP('Données projet'!$B$11,Paramètres!$A$1:$I$89,3,0)*0.475*44/12</f>
        <v>3.0495089403605323E-5</v>
      </c>
      <c r="BS70" s="24">
        <f t="shared" si="63"/>
        <v>10.094012444303726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419.0448820879102</v>
      </c>
      <c r="T71" s="62">
        <f t="shared" si="88"/>
        <v>553.33038335026379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2.2939187815024673</v>
      </c>
      <c r="AB71" s="23">
        <f>EXP(-LN(2)/2)*AB70+(1-EXP(-LN(2)/2))/(LN(2)/2)*V71*Y71*VLOOKUP('Données projet'!$B$9,Paramètres!$A$1:$I$89,3,0)*0.475*44/12</f>
        <v>8.7363268903714397E-5</v>
      </c>
      <c r="AC71" s="24">
        <f t="shared" si="57"/>
        <v>2.2940061447713709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3.1036506698001178E-14</v>
      </c>
      <c r="AK71" s="14">
        <f t="shared" si="89"/>
        <v>5.3428243983771088E-13</v>
      </c>
      <c r="AL71" s="22">
        <f t="shared" si="58"/>
        <v>9.8459716521636505E-13</v>
      </c>
      <c r="AM71" s="62">
        <f t="shared" si="59"/>
        <v>265.4463841272198</v>
      </c>
      <c r="AN71" s="62">
        <f ca="1">AVERAGE(OFFSET($AM$3,0,0,'Données projet'!$E$10+1,1))-AVERAGE(OFFSET($H$3,0,0,'Données projet'!$E$10+1,1))</f>
        <v>221.57008282490327</v>
      </c>
      <c r="AO71" s="62">
        <f t="shared" si="90"/>
        <v>320.19912501885199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1.6187842724909773</v>
      </c>
      <c r="AW71" s="23">
        <f>EXP(-LN(2)/2)*AW70+(1-EXP(-LN(2)/2))/(LN(2)/2)*AQ71*AT71*VLOOKUP('Données projet'!$B$10,Paramètres!$A$1:$I$89,3,0)*0.475*44/12</f>
        <v>6.5452721033617228E-6</v>
      </c>
      <c r="AX71" s="23">
        <f t="shared" si="60"/>
        <v>1.6187908177630808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5.2</v>
      </c>
      <c r="BD71" s="13">
        <f>IF('Données projet'!$A$88&gt;35,BD70+BC71-BL70,IF(A71&lt;'Données projet'!$A$88,$BA$205^A71,IF(A71='Données projet'!$A$88,'Données projet'!$B$88,BD70+BC71-BL70)))</f>
        <v>355.59999999999968</v>
      </c>
      <c r="BE71" s="14">
        <f>BD71*VLOOKUP('Données projet'!$B$11,Paramètres!$A$1:$I$89,3,0)*VLOOKUP('Données projet'!$B$11,Paramètres!$A$1:$I$89,5,0)</f>
        <v>260.72591999999975</v>
      </c>
      <c r="BF71" s="14">
        <f t="shared" si="91"/>
        <v>62.877089647292053</v>
      </c>
      <c r="BG71" s="22">
        <f t="shared" si="61"/>
        <v>563.60857513569988</v>
      </c>
      <c r="BH71" s="62">
        <f t="shared" si="62"/>
        <v>829.05495926291871</v>
      </c>
      <c r="BI71" s="62">
        <f ca="1">AVERAGE(OFFSET($BH$3,0,0,'Données projet'!$E$11+1,1))-AVERAGE(OFFSET($H$3,0,0,'Données projet'!$E$11+1,1))</f>
        <v>400.4480038202409</v>
      </c>
      <c r="BJ71" s="62">
        <f t="shared" si="92"/>
        <v>384.86917865380076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9.817961481993617</v>
      </c>
      <c r="BR71" s="23">
        <f>EXP(-LN(2)/2)*BR70+(1-EXP(-LN(2)/2))/(LN(2)/2)*BL71*BO71*VLOOKUP('Données projet'!$B$11,Paramètres!$A$1:$I$89,3,0)*0.475*44/12</f>
        <v>2.1563284510179356E-5</v>
      </c>
      <c r="BS71" s="24">
        <f t="shared" si="63"/>
        <v>9.8179830452781278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419.0448820879102</v>
      </c>
      <c r="T72" s="62">
        <f t="shared" si="88"/>
        <v>553.33038335026379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2.2311914517903366</v>
      </c>
      <c r="AB72" s="23">
        <f>EXP(-LN(2)/2)*AB71+(1-EXP(-LN(2)/2))/(LN(2)/2)*V72*Y72*VLOOKUP('Données projet'!$B$9,Paramètres!$A$1:$I$89,3,0)*0.475*44/12</f>
        <v>6.1775159868440288E-5</v>
      </c>
      <c r="AC72" s="24">
        <f t="shared" si="57"/>
        <v>2.231253226950205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3.1036506698001178E-14</v>
      </c>
      <c r="AK72" s="14">
        <f t="shared" si="89"/>
        <v>5.3428243983771088E-13</v>
      </c>
      <c r="AL72" s="22">
        <f t="shared" si="58"/>
        <v>9.8459716521636505E-13</v>
      </c>
      <c r="AM72" s="62">
        <f t="shared" si="59"/>
        <v>265.93016035006752</v>
      </c>
      <c r="AN72" s="62">
        <f ca="1">AVERAGE(OFFSET($AM$3,0,0,'Données projet'!$E$10+1,1))-AVERAGE(OFFSET($H$3,0,0,'Données projet'!$E$10+1,1))</f>
        <v>221.57008282490327</v>
      </c>
      <c r="AO72" s="62">
        <f t="shared" si="90"/>
        <v>320.19912501885199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1.5745185314315464</v>
      </c>
      <c r="AW72" s="23">
        <f>EXP(-LN(2)/2)*AW71+(1-EXP(-LN(2)/2))/(LN(2)/2)*AQ72*AT72*VLOOKUP('Données projet'!$B$10,Paramètres!$A$1:$I$89,3,0)*0.475*44/12</f>
        <v>4.6282062889982113E-6</v>
      </c>
      <c r="AX72" s="23">
        <f t="shared" si="60"/>
        <v>1.5745231596378355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5.2</v>
      </c>
      <c r="BD72" s="13">
        <f>IF('Données projet'!$A$88&gt;35,BD71+BC72-BL71,IF(A72&lt;'Données projet'!$A$88,$BA$205^A72,IF(A72='Données projet'!$A$88,'Données projet'!$B$88,BD71+BC72-BL71)))</f>
        <v>360.79999999999967</v>
      </c>
      <c r="BE72" s="14">
        <f>BD72*VLOOKUP('Données projet'!$B$11,Paramètres!$A$1:$I$89,3,0)*VLOOKUP('Données projet'!$B$11,Paramètres!$A$1:$I$89,5,0)</f>
        <v>264.53855999999973</v>
      </c>
      <c r="BF72" s="14">
        <f t="shared" si="91"/>
        <v>63.688839009304033</v>
      </c>
      <c r="BG72" s="22">
        <f t="shared" si="61"/>
        <v>571.66271994120405</v>
      </c>
      <c r="BH72" s="62">
        <f t="shared" si="62"/>
        <v>837.5928802912706</v>
      </c>
      <c r="BI72" s="62">
        <f ca="1">AVERAGE(OFFSET($BH$3,0,0,'Données projet'!$E$11+1,1))-AVERAGE(OFFSET($H$3,0,0,'Données projet'!$E$11+1,1))</f>
        <v>400.4480038202409</v>
      </c>
      <c r="BJ72" s="62">
        <f t="shared" si="92"/>
        <v>384.86917865380076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9.5494888089643464</v>
      </c>
      <c r="BR72" s="23">
        <f>EXP(-LN(2)/2)*BR71+(1-EXP(-LN(2)/2))/(LN(2)/2)*BL72*BO72*VLOOKUP('Données projet'!$B$11,Paramètres!$A$1:$I$89,3,0)*0.475*44/12</f>
        <v>1.5247544701802665E-5</v>
      </c>
      <c r="BS72" s="24">
        <f t="shared" si="63"/>
        <v>9.5495040565090488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419.0448820879102</v>
      </c>
      <c r="T73" s="62">
        <f t="shared" si="88"/>
        <v>553.33038335026379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2.1701794042078708</v>
      </c>
      <c r="AB73" s="23">
        <f>EXP(-LN(2)/2)*AB72+(1-EXP(-LN(2)/2))/(LN(2)/2)*V73*Y73*VLOOKUP('Données projet'!$B$9,Paramètres!$A$1:$I$89,3,0)*0.475*44/12</f>
        <v>4.3681634451857198E-5</v>
      </c>
      <c r="AC73" s="24">
        <f t="shared" si="57"/>
        <v>2.1702230858423226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3.1036506698001178E-14</v>
      </c>
      <c r="AK73" s="14">
        <f t="shared" si="89"/>
        <v>5.3428243983771088E-13</v>
      </c>
      <c r="AL73" s="22">
        <f t="shared" si="58"/>
        <v>9.8459716521636505E-13</v>
      </c>
      <c r="AM73" s="62">
        <f t="shared" si="59"/>
        <v>266.40554413701045</v>
      </c>
      <c r="AN73" s="62">
        <f ca="1">AVERAGE(OFFSET($AM$3,0,0,'Données projet'!$E$10+1,1))-AVERAGE(OFFSET($H$3,0,0,'Données projet'!$E$10+1,1))</f>
        <v>221.57008282490327</v>
      </c>
      <c r="AO73" s="62">
        <f t="shared" si="90"/>
        <v>320.19912501885199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1.5314632393892198</v>
      </c>
      <c r="AW73" s="23">
        <f>EXP(-LN(2)/2)*AW72+(1-EXP(-LN(2)/2))/(LN(2)/2)*AQ73*AT73*VLOOKUP('Données projet'!$B$10,Paramètres!$A$1:$I$89,3,0)*0.475*44/12</f>
        <v>3.2726360516808614E-6</v>
      </c>
      <c r="AX73" s="23">
        <f t="shared" si="60"/>
        <v>1.5314665120252715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366</v>
      </c>
      <c r="BB73" s="13">
        <f>VLOOKUP(A73,'Données projet'!$A$87:$I$107,9,0)</f>
        <v>5.2</v>
      </c>
      <c r="BC73" s="13">
        <f t="array" ref="BC73">INDEX(BB:BB,MIN(IF(ISNUMBER(BB73:BB269),ROW(BB73:BB269),"")))</f>
        <v>5.2</v>
      </c>
      <c r="BD73" s="13">
        <f>IF('Données projet'!$A$88&gt;35,BD72+BC73-BL72,IF(A73&lt;'Données projet'!$A$88,$BA$205^A73,IF(A73='Données projet'!$A$88,'Données projet'!$B$88,BD72+BC73-BL72)))</f>
        <v>365.99999999999966</v>
      </c>
      <c r="BE73" s="14">
        <f>BD73*VLOOKUP('Données projet'!$B$11,Paramètres!$A$1:$I$89,3,0)*VLOOKUP('Données projet'!$B$11,Paramètres!$A$1:$I$89,5,0)</f>
        <v>268.35119999999978</v>
      </c>
      <c r="BF73" s="14">
        <f t="shared" si="91"/>
        <v>64.499227668096069</v>
      </c>
      <c r="BG73" s="22">
        <f t="shared" si="61"/>
        <v>579.71449485526693</v>
      </c>
      <c r="BH73" s="62">
        <f t="shared" si="62"/>
        <v>846.12003899227648</v>
      </c>
      <c r="BI73" s="62">
        <f ca="1">AVERAGE(OFFSET($BH$3,0,0,'Données projet'!$E$11+1,1))-AVERAGE(OFFSET($H$3,0,0,'Données projet'!$E$11+1,1))</f>
        <v>400.4480038202409</v>
      </c>
      <c r="BJ73" s="62">
        <f t="shared" si="92"/>
        <v>384.86917865380076</v>
      </c>
      <c r="BK73" s="16">
        <f>IF(ISNA(VLOOKUP(A73,'Données projet'!$A$87:$I$107,3,0)),0,VLOOKUP(A73,'Données projet'!$A$87:$I$107,3,0))</f>
        <v>13</v>
      </c>
      <c r="BL73" s="16">
        <f>IF(ISNA(VLOOKUP(A73,'Données projet'!$A$87:$I$107,4,0)),0,VLOOKUP(A73,'Données projet'!$A$87:$I$107,4,0))</f>
        <v>15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9.2883575352974255</v>
      </c>
      <c r="BR73" s="23">
        <f>EXP(-LN(2)/2)*BR72+(1-EXP(-LN(2)/2))/(LN(2)/2)*BL73*BO73*VLOOKUP('Données projet'!$B$11,Paramètres!$A$1:$I$89,3,0)*0.475*44/12</f>
        <v>1.078164225508968E-5</v>
      </c>
      <c r="BS73" s="24">
        <f t="shared" si="63"/>
        <v>9.28836831693968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419.0448820879102</v>
      </c>
      <c r="T74" s="62">
        <f t="shared" si="88"/>
        <v>553.33038335026379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2.1108357342750317</v>
      </c>
      <c r="AB74" s="23">
        <f>EXP(-LN(2)/2)*AB73+(1-EXP(-LN(2)/2))/(LN(2)/2)*V74*Y74*VLOOKUP('Données projet'!$B$9,Paramètres!$A$1:$I$89,3,0)*0.475*44/12</f>
        <v>3.0887579934220144E-5</v>
      </c>
      <c r="AC74" s="24">
        <f t="shared" si="57"/>
        <v>2.1108666218549659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3.1036506698001178E-14</v>
      </c>
      <c r="AK74" s="14">
        <f t="shared" si="89"/>
        <v>5.3428243983771088E-13</v>
      </c>
      <c r="AL74" s="22">
        <f t="shared" si="58"/>
        <v>9.8459716521636505E-13</v>
      </c>
      <c r="AM74" s="62">
        <f t="shared" si="59"/>
        <v>266.87268107804891</v>
      </c>
      <c r="AN74" s="62">
        <f ca="1">AVERAGE(OFFSET($AM$3,0,0,'Données projet'!$E$10+1,1))-AVERAGE(OFFSET($H$3,0,0,'Données projet'!$E$10+1,1))</f>
        <v>221.57008282490327</v>
      </c>
      <c r="AO74" s="62">
        <f t="shared" si="90"/>
        <v>320.19912501885199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1.48958529657197</v>
      </c>
      <c r="AW74" s="23">
        <f>EXP(-LN(2)/2)*AW73+(1-EXP(-LN(2)/2))/(LN(2)/2)*AQ74*AT74*VLOOKUP('Données projet'!$B$10,Paramètres!$A$1:$I$89,3,0)*0.475*44/12</f>
        <v>2.3141031444991057E-6</v>
      </c>
      <c r="AX74" s="23">
        <f t="shared" si="60"/>
        <v>1.4895876106751145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4.8</v>
      </c>
      <c r="BD74" s="13">
        <f>IF('Données projet'!$A$88&gt;35,BD73+BC74-BL73,IF(A74&lt;'Données projet'!$A$88,$BA$205^A74,IF(A74='Données projet'!$A$88,'Données projet'!$B$88,BD73+BC74-BL73)))</f>
        <v>355.79999999999967</v>
      </c>
      <c r="BE74" s="14">
        <f>BD74*VLOOKUP('Données projet'!$B$11,Paramètres!$A$1:$I$89,3,0)*VLOOKUP('Données projet'!$B$11,Paramètres!$A$1:$I$89,5,0)</f>
        <v>260.87255999999974</v>
      </c>
      <c r="BF74" s="14">
        <f t="shared" si="91"/>
        <v>62.908336204200786</v>
      </c>
      <c r="BG74" s="22">
        <f t="shared" si="61"/>
        <v>563.9183942223159</v>
      </c>
      <c r="BH74" s="62">
        <f t="shared" si="62"/>
        <v>830.7910753003639</v>
      </c>
      <c r="BI74" s="62">
        <f ca="1">AVERAGE(OFFSET($BH$3,0,0,'Données projet'!$E$11+1,1))-AVERAGE(OFFSET($H$3,0,0,'Données projet'!$E$11+1,1))</f>
        <v>400.4480038202409</v>
      </c>
      <c r="BJ74" s="62">
        <f t="shared" si="92"/>
        <v>384.86917865380076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9.0343669100412232</v>
      </c>
      <c r="BR74" s="23">
        <f>EXP(-LN(2)/2)*BR73+(1-EXP(-LN(2)/2))/(LN(2)/2)*BL74*BO74*VLOOKUP('Données projet'!$B$11,Paramètres!$A$1:$I$89,3,0)*0.475*44/12</f>
        <v>7.6237723509013333E-6</v>
      </c>
      <c r="BS74" s="24">
        <f t="shared" si="63"/>
        <v>9.0343745338135744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419.0448820879102</v>
      </c>
      <c r="T75" s="62">
        <f t="shared" si="88"/>
        <v>553.33038335026379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2.053114820117254</v>
      </c>
      <c r="AB75" s="23">
        <f>EXP(-LN(2)/2)*AB74+(1-EXP(-LN(2)/2))/(LN(2)/2)*V75*Y75*VLOOKUP('Données projet'!$B$9,Paramètres!$A$1:$I$89,3,0)*0.475*44/12</f>
        <v>2.1840817225928599E-5</v>
      </c>
      <c r="AC75" s="24">
        <f t="shared" si="57"/>
        <v>2.0531366609344799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3.1036506698001178E-14</v>
      </c>
      <c r="AK75" s="14">
        <f t="shared" si="89"/>
        <v>5.3428243983771088E-13</v>
      </c>
      <c r="AL75" s="22">
        <f t="shared" si="58"/>
        <v>9.8459716521636505E-13</v>
      </c>
      <c r="AM75" s="62">
        <f t="shared" si="59"/>
        <v>267.33171423752208</v>
      </c>
      <c r="AN75" s="62">
        <f ca="1">AVERAGE(OFFSET($AM$3,0,0,'Données projet'!$E$10+1,1))-AVERAGE(OFFSET($H$3,0,0,'Données projet'!$E$10+1,1))</f>
        <v>221.57008282490327</v>
      </c>
      <c r="AO75" s="62">
        <f t="shared" si="90"/>
        <v>320.19912501885199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1.4488525083033232</v>
      </c>
      <c r="AW75" s="23">
        <f>EXP(-LN(2)/2)*AW74+(1-EXP(-LN(2)/2))/(LN(2)/2)*AQ75*AT75*VLOOKUP('Données projet'!$B$10,Paramètres!$A$1:$I$89,3,0)*0.475*44/12</f>
        <v>1.6363180258404307E-6</v>
      </c>
      <c r="AX75" s="23">
        <f t="shared" si="60"/>
        <v>1.448854144621349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4.8</v>
      </c>
      <c r="BD75" s="13">
        <f>IF('Données projet'!$A$88&gt;35,BD74+BC75-BL74,IF(A75&lt;'Données projet'!$A$88,$BA$205^A75,IF(A75='Données projet'!$A$88,'Données projet'!$B$88,BD74+BC75-BL74)))</f>
        <v>360.59999999999968</v>
      </c>
      <c r="BE75" s="14">
        <f>BD75*VLOOKUP('Données projet'!$B$11,Paramètres!$A$1:$I$89,3,0)*VLOOKUP('Données projet'!$B$11,Paramètres!$A$1:$I$89,5,0)</f>
        <v>264.39191999999974</v>
      </c>
      <c r="BF75" s="14">
        <f t="shared" si="91"/>
        <v>63.657643181110089</v>
      </c>
      <c r="BG75" s="22">
        <f t="shared" si="61"/>
        <v>571.35298920709954</v>
      </c>
      <c r="BH75" s="62">
        <f t="shared" si="62"/>
        <v>838.68470344462071</v>
      </c>
      <c r="BI75" s="62">
        <f ca="1">AVERAGE(OFFSET($BH$3,0,0,'Données projet'!$E$11+1,1))-AVERAGE(OFFSET($H$3,0,0,'Données projet'!$E$11+1,1))</f>
        <v>400.4480038202409</v>
      </c>
      <c r="BJ75" s="62">
        <f t="shared" si="92"/>
        <v>384.86917865380076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8.7873216717894387</v>
      </c>
      <c r="BR75" s="23">
        <f>EXP(-LN(2)/2)*BR74+(1-EXP(-LN(2)/2))/(LN(2)/2)*BL75*BO75*VLOOKUP('Données projet'!$B$11,Paramètres!$A$1:$I$89,3,0)*0.475*44/12</f>
        <v>5.3908211275448406E-6</v>
      </c>
      <c r="BS75" s="24">
        <f t="shared" si="63"/>
        <v>8.7873270626105668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419.0448820879102</v>
      </c>
      <c r="T76" s="62">
        <f t="shared" si="88"/>
        <v>553.33038335026379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1.9969722873925317</v>
      </c>
      <c r="AB76" s="23">
        <f>EXP(-LN(2)/2)*AB75+(1-EXP(-LN(2)/2))/(LN(2)/2)*V76*Y76*VLOOKUP('Données projet'!$B$9,Paramètres!$A$1:$I$89,3,0)*0.475*44/12</f>
        <v>1.5443789967110072E-5</v>
      </c>
      <c r="AC76" s="24">
        <f t="shared" si="57"/>
        <v>1.9969877311824988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3.1036506698001178E-14</v>
      </c>
      <c r="AK76" s="14">
        <f t="shared" si="89"/>
        <v>5.3428243983771088E-13</v>
      </c>
      <c r="AL76" s="22">
        <f t="shared" si="58"/>
        <v>9.8459716521636505E-13</v>
      </c>
      <c r="AM76" s="62">
        <f t="shared" si="59"/>
        <v>267.78278419792275</v>
      </c>
      <c r="AN76" s="62">
        <f ca="1">AVERAGE(OFFSET($AM$3,0,0,'Données projet'!$E$10+1,1))-AVERAGE(OFFSET($H$3,0,0,'Données projet'!$E$10+1,1))</f>
        <v>221.57008282490327</v>
      </c>
      <c r="AO76" s="62">
        <f t="shared" si="90"/>
        <v>320.19912501885199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1.4092335602719268</v>
      </c>
      <c r="AW76" s="23">
        <f>EXP(-LN(2)/2)*AW75+(1-EXP(-LN(2)/2))/(LN(2)/2)*AQ76*AT76*VLOOKUP('Données projet'!$B$10,Paramètres!$A$1:$I$89,3,0)*0.475*44/12</f>
        <v>1.1570515722495528E-6</v>
      </c>
      <c r="AX76" s="23">
        <f t="shared" si="60"/>
        <v>1.4092347173234991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4.8</v>
      </c>
      <c r="BD76" s="13">
        <f>IF('Données projet'!$A$88&gt;35,BD75+BC76-BL75,IF(A76&lt;'Données projet'!$A$88,$BA$205^A76,IF(A76='Données projet'!$A$88,'Données projet'!$B$88,BD75+BC76-BL75)))</f>
        <v>365.39999999999969</v>
      </c>
      <c r="BE76" s="14">
        <f>BD76*VLOOKUP('Données projet'!$B$11,Paramètres!$A$1:$I$89,3,0)*VLOOKUP('Données projet'!$B$11,Paramètres!$A$1:$I$89,5,0)</f>
        <v>267.91127999999981</v>
      </c>
      <c r="BF76" s="14">
        <f t="shared" si="91"/>
        <v>64.405790031310872</v>
      </c>
      <c r="BG76" s="22">
        <f t="shared" si="61"/>
        <v>578.78556363786606</v>
      </c>
      <c r="BH76" s="62">
        <f t="shared" si="62"/>
        <v>846.56834783578779</v>
      </c>
      <c r="BI76" s="62">
        <f ca="1">AVERAGE(OFFSET($BH$3,0,0,'Données projet'!$E$11+1,1))-AVERAGE(OFFSET($H$3,0,0,'Données projet'!$E$11+1,1))</f>
        <v>400.4480038202409</v>
      </c>
      <c r="BJ76" s="62">
        <f t="shared" si="92"/>
        <v>384.86917865380076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8.5470318985691929</v>
      </c>
      <c r="BR76" s="23">
        <f>EXP(-LN(2)/2)*BR75+(1-EXP(-LN(2)/2))/(LN(2)/2)*BL76*BO76*VLOOKUP('Données projet'!$B$11,Paramètres!$A$1:$I$89,3,0)*0.475*44/12</f>
        <v>3.8118861754506671E-6</v>
      </c>
      <c r="BS76" s="24">
        <f t="shared" si="63"/>
        <v>8.5470357104553685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419.0448820879102</v>
      </c>
      <c r="T77" s="62">
        <f t="shared" si="88"/>
        <v>553.33038335026379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1.9423649751775744</v>
      </c>
      <c r="AB77" s="23">
        <f>EXP(-LN(2)/2)*AB76+(1-EXP(-LN(2)/2))/(LN(2)/2)*V77*Y77*VLOOKUP('Données projet'!$B$9,Paramètres!$A$1:$I$89,3,0)*0.475*44/12</f>
        <v>1.09204086129643E-5</v>
      </c>
      <c r="AC77" s="24">
        <f t="shared" si="57"/>
        <v>1.9423758955861874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3.1036506698001178E-14</v>
      </c>
      <c r="AK77" s="14">
        <f t="shared" si="89"/>
        <v>5.3428243983771088E-13</v>
      </c>
      <c r="AL77" s="22">
        <f t="shared" si="58"/>
        <v>9.8459716521636505E-13</v>
      </c>
      <c r="AM77" s="62">
        <f t="shared" si="59"/>
        <v>268.22602910295183</v>
      </c>
      <c r="AN77" s="62">
        <f ca="1">AVERAGE(OFFSET($AM$3,0,0,'Données projet'!$E$10+1,1))-AVERAGE(OFFSET($H$3,0,0,'Données projet'!$E$10+1,1))</f>
        <v>221.57008282490327</v>
      </c>
      <c r="AO77" s="62">
        <f t="shared" si="90"/>
        <v>320.19912501885199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1.370697994457919</v>
      </c>
      <c r="AW77" s="23">
        <f>EXP(-LN(2)/2)*AW76+(1-EXP(-LN(2)/2))/(LN(2)/2)*AQ77*AT77*VLOOKUP('Données projet'!$B$10,Paramètres!$A$1:$I$89,3,0)*0.475*44/12</f>
        <v>8.1815901292021535E-7</v>
      </c>
      <c r="AX77" s="23">
        <f t="shared" si="60"/>
        <v>1.3706988126169319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4.8</v>
      </c>
      <c r="BD77" s="13">
        <f>IF('Données projet'!$A$88&gt;35,BD76+BC77-BL76,IF(A77&lt;'Données projet'!$A$88,$BA$205^A77,IF(A77='Données projet'!$A$88,'Données projet'!$B$88,BD76+BC77-BL76)))</f>
        <v>370.1999999999997</v>
      </c>
      <c r="BE77" s="14">
        <f>BD77*VLOOKUP('Données projet'!$B$11,Paramètres!$A$1:$I$89,3,0)*VLOOKUP('Données projet'!$B$11,Paramètres!$A$1:$I$89,5,0)</f>
        <v>271.43063999999981</v>
      </c>
      <c r="BF77" s="14">
        <f t="shared" si="91"/>
        <v>65.152793756453633</v>
      </c>
      <c r="BG77" s="22">
        <f t="shared" si="61"/>
        <v>586.21614712582311</v>
      </c>
      <c r="BH77" s="62">
        <f t="shared" si="62"/>
        <v>854.44217622877397</v>
      </c>
      <c r="BI77" s="62">
        <f ca="1">AVERAGE(OFFSET($BH$3,0,0,'Données projet'!$E$11+1,1))-AVERAGE(OFFSET($H$3,0,0,'Données projet'!$E$11+1,1))</f>
        <v>400.4480038202409</v>
      </c>
      <c r="BJ77" s="62">
        <f t="shared" si="92"/>
        <v>384.86917865380076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8.3133128618339445</v>
      </c>
      <c r="BR77" s="23">
        <f>EXP(-LN(2)/2)*BR76+(1-EXP(-LN(2)/2))/(LN(2)/2)*BL77*BO77*VLOOKUP('Données projet'!$B$11,Paramètres!$A$1:$I$89,3,0)*0.475*44/12</f>
        <v>2.6954105637724207E-6</v>
      </c>
      <c r="BS77" s="24">
        <f t="shared" si="63"/>
        <v>8.3133155572445077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419.0448820879102</v>
      </c>
      <c r="T78" s="62">
        <f t="shared" si="88"/>
        <v>553.33038335026379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1.889250902786809</v>
      </c>
      <c r="AB78" s="23">
        <f>EXP(-LN(2)/2)*AB77+(1-EXP(-LN(2)/2))/(LN(2)/2)*V78*Y78*VLOOKUP('Données projet'!$B$9,Paramètres!$A$1:$I$89,3,0)*0.475*44/12</f>
        <v>7.721894983555036E-6</v>
      </c>
      <c r="AC78" s="24">
        <f t="shared" si="57"/>
        <v>1.8892586246817926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3.1036506698001178E-14</v>
      </c>
      <c r="AK78" s="14">
        <f t="shared" si="89"/>
        <v>5.3428243983771088E-13</v>
      </c>
      <c r="AL78" s="22">
        <f t="shared" si="58"/>
        <v>9.8459716521636505E-13</v>
      </c>
      <c r="AM78" s="62">
        <f t="shared" si="59"/>
        <v>268.66158469982577</v>
      </c>
      <c r="AN78" s="62">
        <f ca="1">AVERAGE(OFFSET($AM$3,0,0,'Données projet'!$E$10+1,1))-AVERAGE(OFFSET($H$3,0,0,'Données projet'!$E$10+1,1))</f>
        <v>221.57008282490327</v>
      </c>
      <c r="AO78" s="62">
        <f t="shared" si="90"/>
        <v>320.19912501885199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1.3332161857175924</v>
      </c>
      <c r="AW78" s="23">
        <f>EXP(-LN(2)/2)*AW77+(1-EXP(-LN(2)/2))/(LN(2)/2)*AQ78*AT78*VLOOKUP('Données projet'!$B$10,Paramètres!$A$1:$I$89,3,0)*0.475*44/12</f>
        <v>5.7852578612477642E-7</v>
      </c>
      <c r="AX78" s="23">
        <f t="shared" si="60"/>
        <v>1.3332167642433785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375</v>
      </c>
      <c r="BB78" s="13">
        <f>VLOOKUP(A78,'Données projet'!$A$87:$I$107,9,0)</f>
        <v>4.8</v>
      </c>
      <c r="BC78" s="13">
        <f t="array" ref="BC78">INDEX(BB:BB,MIN(IF(ISNUMBER(BB78:BB274),ROW(BB78:BB274),"")))</f>
        <v>4.8</v>
      </c>
      <c r="BD78" s="13">
        <f>IF('Données projet'!$A$88&gt;35,BD77+BC78-BL77,IF(A78&lt;'Données projet'!$A$88,$BA$205^A78,IF(A78='Données projet'!$A$88,'Données projet'!$B$88,BD77+BC78-BL77)))</f>
        <v>374.99999999999972</v>
      </c>
      <c r="BE78" s="14">
        <f>BD78*VLOOKUP('Données projet'!$B$11,Paramètres!$A$1:$I$89,3,0)*VLOOKUP('Données projet'!$B$11,Paramètres!$A$1:$I$89,5,0)</f>
        <v>274.94999999999976</v>
      </c>
      <c r="BF78" s="14">
        <f t="shared" si="91"/>
        <v>65.898670891956897</v>
      </c>
      <c r="BG78" s="22">
        <f t="shared" si="61"/>
        <v>593.64476847015783</v>
      </c>
      <c r="BH78" s="62">
        <f t="shared" si="62"/>
        <v>862.30635316998269</v>
      </c>
      <c r="BI78" s="62">
        <f ca="1">AVERAGE(OFFSET($BH$3,0,0,'Données projet'!$E$11+1,1))-AVERAGE(OFFSET($H$3,0,0,'Données projet'!$E$11+1,1))</f>
        <v>400.4480038202409</v>
      </c>
      <c r="BJ78" s="62">
        <f t="shared" si="92"/>
        <v>384.86917865380076</v>
      </c>
      <c r="BK78" s="16">
        <f>IF(ISNA(VLOOKUP(A78,'Données projet'!$A$87:$I$107,3,0)),0,VLOOKUP(A78,'Données projet'!$A$87:$I$107,3,0))</f>
        <v>14</v>
      </c>
      <c r="BL78" s="16">
        <f>IF(ISNA(VLOOKUP(A78,'Données projet'!$A$87:$I$107,4,0)),0,VLOOKUP(A78,'Données projet'!$A$87:$I$107,4,0))</f>
        <v>14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8.0859848844489726</v>
      </c>
      <c r="BR78" s="23">
        <f>EXP(-LN(2)/2)*BR77+(1-EXP(-LN(2)/2))/(LN(2)/2)*BL78*BO78*VLOOKUP('Données projet'!$B$11,Paramètres!$A$1:$I$89,3,0)*0.475*44/12</f>
        <v>1.905943087725334E-6</v>
      </c>
      <c r="BS78" s="24">
        <f t="shared" si="63"/>
        <v>8.0859867903920595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419.0448820879102</v>
      </c>
      <c r="T79" s="62">
        <f t="shared" si="88"/>
        <v>553.33038335026379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1.8375892374987166</v>
      </c>
      <c r="AB79" s="23">
        <f>EXP(-LN(2)/2)*AB78+(1-EXP(-LN(2)/2))/(LN(2)/2)*V79*Y79*VLOOKUP('Données projet'!$B$9,Paramètres!$A$1:$I$89,3,0)*0.475*44/12</f>
        <v>5.4602043064821498E-6</v>
      </c>
      <c r="AC79" s="24">
        <f t="shared" si="57"/>
        <v>1.8375946977030231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3.1036506698001178E-14</v>
      </c>
      <c r="AK79" s="14">
        <f t="shared" si="89"/>
        <v>5.3428243983771088E-13</v>
      </c>
      <c r="AL79" s="22">
        <f t="shared" si="58"/>
        <v>9.8459716521636505E-13</v>
      </c>
      <c r="AM79" s="62">
        <f t="shared" si="59"/>
        <v>269.0895843808504</v>
      </c>
      <c r="AN79" s="62">
        <f ca="1">AVERAGE(OFFSET($AM$3,0,0,'Données projet'!$E$10+1,1))-AVERAGE(OFFSET($H$3,0,0,'Données projet'!$E$10+1,1))</f>
        <v>221.57008282490327</v>
      </c>
      <c r="AO79" s="62">
        <f t="shared" si="90"/>
        <v>320.19912501885199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1.2967593190083526</v>
      </c>
      <c r="AW79" s="23">
        <f>EXP(-LN(2)/2)*AW78+(1-EXP(-LN(2)/2))/(LN(2)/2)*AQ79*AT79*VLOOKUP('Données projet'!$B$10,Paramètres!$A$1:$I$89,3,0)*0.475*44/12</f>
        <v>4.0907950646010768E-7</v>
      </c>
      <c r="AX79" s="23">
        <f t="shared" si="60"/>
        <v>1.2967597280878591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4.2</v>
      </c>
      <c r="BD79" s="13">
        <f>IF('Données projet'!$A$88&gt;35,BD78+BC79-BL78,IF(A79&lt;'Données projet'!$A$88,$BA$205^A79,IF(A79='Données projet'!$A$88,'Données projet'!$B$88,BD78+BC79-BL78)))</f>
        <v>365.1999999999997</v>
      </c>
      <c r="BE79" s="14">
        <f>BD79*VLOOKUP('Données projet'!$B$11,Paramètres!$A$1:$I$89,3,0)*VLOOKUP('Données projet'!$B$11,Paramètres!$A$1:$I$89,5,0)</f>
        <v>267.76463999999982</v>
      </c>
      <c r="BF79" s="14">
        <f t="shared" si="91"/>
        <v>64.374640184948362</v>
      </c>
      <c r="BG79" s="22">
        <f t="shared" si="61"/>
        <v>578.47591298878478</v>
      </c>
      <c r="BH79" s="62">
        <f t="shared" si="62"/>
        <v>847.56549736963416</v>
      </c>
      <c r="BI79" s="62">
        <f ca="1">AVERAGE(OFFSET($BH$3,0,0,'Données projet'!$E$11+1,1))-AVERAGE(OFFSET($H$3,0,0,'Données projet'!$E$11+1,1))</f>
        <v>400.4480038202409</v>
      </c>
      <c r="BJ79" s="62">
        <f t="shared" si="92"/>
        <v>384.86917865380076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7.8648732025602515</v>
      </c>
      <c r="BR79" s="23">
        <f>EXP(-LN(2)/2)*BR78+(1-EXP(-LN(2)/2))/(LN(2)/2)*BL79*BO79*VLOOKUP('Données projet'!$B$11,Paramètres!$A$1:$I$89,3,0)*0.475*44/12</f>
        <v>1.3477052818862106E-6</v>
      </c>
      <c r="BS79" s="24">
        <f t="shared" si="63"/>
        <v>7.8648745502655331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419.0448820879102</v>
      </c>
      <c r="T80" s="62">
        <f t="shared" si="88"/>
        <v>553.33038335026379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1.787340263164696</v>
      </c>
      <c r="AB80" s="23">
        <f>EXP(-LN(2)/2)*AB79+(1-EXP(-LN(2)/2))/(LN(2)/2)*V80*Y80*VLOOKUP('Données projet'!$B$9,Paramètres!$A$1:$I$89,3,0)*0.475*44/12</f>
        <v>3.860947491777518E-6</v>
      </c>
      <c r="AC80" s="24">
        <f t="shared" si="57"/>
        <v>1.7873441241121877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3.1036506698001178E-14</v>
      </c>
      <c r="AK80" s="14">
        <f t="shared" si="89"/>
        <v>5.3428243983771088E-13</v>
      </c>
      <c r="AL80" s="22">
        <f t="shared" si="58"/>
        <v>9.8459716521636505E-13</v>
      </c>
      <c r="AM80" s="62">
        <f t="shared" si="59"/>
        <v>269.51015922427325</v>
      </c>
      <c r="AN80" s="62">
        <f ca="1">AVERAGE(OFFSET($AM$3,0,0,'Données projet'!$E$10+1,1))-AVERAGE(OFFSET($H$3,0,0,'Données projet'!$E$10+1,1))</f>
        <v>221.57008282490327</v>
      </c>
      <c r="AO80" s="62">
        <f t="shared" si="90"/>
        <v>320.19912501885199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1.2612993672364605</v>
      </c>
      <c r="AW80" s="23">
        <f>EXP(-LN(2)/2)*AW79+(1-EXP(-LN(2)/2))/(LN(2)/2)*AQ80*AT80*VLOOKUP('Données projet'!$B$10,Paramètres!$A$1:$I$89,3,0)*0.475*44/12</f>
        <v>2.8926289306238821E-7</v>
      </c>
      <c r="AX80" s="23">
        <f t="shared" si="60"/>
        <v>1.2612996564993535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4.2</v>
      </c>
      <c r="BD80" s="13">
        <f>IF('Données projet'!$A$88&gt;35,BD79+BC80-BL79,IF(A80&lt;'Données projet'!$A$88,$BA$205^A80,IF(A80='Données projet'!$A$88,'Données projet'!$B$88,BD79+BC80-BL79)))</f>
        <v>369.39999999999969</v>
      </c>
      <c r="BE80" s="14">
        <f>BD80*VLOOKUP('Données projet'!$B$11,Paramètres!$A$1:$I$89,3,0)*VLOOKUP('Données projet'!$B$11,Paramètres!$A$1:$I$89,5,0)</f>
        <v>270.84407999999979</v>
      </c>
      <c r="BF80" s="14">
        <f t="shared" si="91"/>
        <v>65.028371811908485</v>
      </c>
      <c r="BG80" s="22">
        <f t="shared" si="61"/>
        <v>584.97785357240684</v>
      </c>
      <c r="BH80" s="62">
        <f t="shared" si="62"/>
        <v>854.48801279667919</v>
      </c>
      <c r="BI80" s="62">
        <f ca="1">AVERAGE(OFFSET($BH$3,0,0,'Données projet'!$E$11+1,1))-AVERAGE(OFFSET($H$3,0,0,'Données projet'!$E$11+1,1))</f>
        <v>400.4480038202409</v>
      </c>
      <c r="BJ80" s="62">
        <f t="shared" si="92"/>
        <v>384.86917865380076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7.6498078312405351</v>
      </c>
      <c r="BR80" s="23">
        <f>EXP(-LN(2)/2)*BR79+(1-EXP(-LN(2)/2))/(LN(2)/2)*BL80*BO80*VLOOKUP('Données projet'!$B$11,Paramètres!$A$1:$I$89,3,0)*0.475*44/12</f>
        <v>9.5297154386266709E-7</v>
      </c>
      <c r="BS80" s="24">
        <f t="shared" si="63"/>
        <v>7.6498087842120785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419.0448820879102</v>
      </c>
      <c r="T81" s="62">
        <f t="shared" si="88"/>
        <v>553.33038335026379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1.7384653496763178</v>
      </c>
      <c r="AB81" s="23">
        <f>EXP(-LN(2)/2)*AB80+(1-EXP(-LN(2)/2))/(LN(2)/2)*V81*Y81*VLOOKUP('Données projet'!$B$9,Paramètres!$A$1:$I$89,3,0)*0.475*44/12</f>
        <v>2.7301021532410749E-6</v>
      </c>
      <c r="AC81" s="24">
        <f t="shared" si="57"/>
        <v>1.7384680797784711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3.1036506698001178E-14</v>
      </c>
      <c r="AK81" s="14">
        <f t="shared" si="89"/>
        <v>5.3428243983771088E-13</v>
      </c>
      <c r="AL81" s="22">
        <f t="shared" si="58"/>
        <v>9.8459716521636505E-13</v>
      </c>
      <c r="AM81" s="62">
        <f t="shared" si="59"/>
        <v>269.92343803442719</v>
      </c>
      <c r="AN81" s="62">
        <f ca="1">AVERAGE(OFFSET($AM$3,0,0,'Données projet'!$E$10+1,1))-AVERAGE(OFFSET($H$3,0,0,'Données projet'!$E$10+1,1))</f>
        <v>221.57008282490327</v>
      </c>
      <c r="AO81" s="62">
        <f t="shared" si="90"/>
        <v>320.19912501885199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1.2268090697105285</v>
      </c>
      <c r="AW81" s="23">
        <f>EXP(-LN(2)/2)*AW80+(1-EXP(-LN(2)/2))/(LN(2)/2)*AQ81*AT81*VLOOKUP('Données projet'!$B$10,Paramètres!$A$1:$I$89,3,0)*0.475*44/12</f>
        <v>2.0453975323005384E-7</v>
      </c>
      <c r="AX81" s="23">
        <f t="shared" si="60"/>
        <v>1.2268092742502816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4.2</v>
      </c>
      <c r="BD81" s="13">
        <f>IF('Données projet'!$A$88&gt;35,BD80+BC81-BL80,IF(A81&lt;'Données projet'!$A$88,$BA$205^A81,IF(A81='Données projet'!$A$88,'Données projet'!$B$88,BD80+BC81-BL80)))</f>
        <v>373.59999999999968</v>
      </c>
      <c r="BE81" s="14">
        <f>BD81*VLOOKUP('Données projet'!$B$11,Paramètres!$A$1:$I$89,3,0)*VLOOKUP('Données projet'!$B$11,Paramètres!$A$1:$I$89,5,0)</f>
        <v>273.92351999999977</v>
      </c>
      <c r="BF81" s="14">
        <f t="shared" si="91"/>
        <v>65.681238814600704</v>
      </c>
      <c r="BG81" s="22">
        <f t="shared" si="61"/>
        <v>591.47828826876241</v>
      </c>
      <c r="BH81" s="62">
        <f t="shared" si="62"/>
        <v>861.40172630318864</v>
      </c>
      <c r="BI81" s="62">
        <f ca="1">AVERAGE(OFFSET($BH$3,0,0,'Données projet'!$E$11+1,1))-AVERAGE(OFFSET($H$3,0,0,'Données projet'!$E$11+1,1))</f>
        <v>400.4480038202409</v>
      </c>
      <c r="BJ81" s="62">
        <f t="shared" si="92"/>
        <v>384.86917865380076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7.4406234338093524</v>
      </c>
      <c r="BR81" s="23">
        <f>EXP(-LN(2)/2)*BR80+(1-EXP(-LN(2)/2))/(LN(2)/2)*BL81*BO81*VLOOKUP('Données projet'!$B$11,Paramètres!$A$1:$I$89,3,0)*0.475*44/12</f>
        <v>6.7385264094310539E-7</v>
      </c>
      <c r="BS81" s="24">
        <f t="shared" si="63"/>
        <v>7.4406241076619937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419.0448820879102</v>
      </c>
      <c r="T82" s="62">
        <f t="shared" si="88"/>
        <v>553.33038335026379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1.6909269232674995</v>
      </c>
      <c r="AB82" s="23">
        <f>EXP(-LN(2)/2)*AB81+(1-EXP(-LN(2)/2))/(LN(2)/2)*V82*Y82*VLOOKUP('Données projet'!$B$9,Paramètres!$A$1:$I$89,3,0)*0.475*44/12</f>
        <v>1.930473745888759E-6</v>
      </c>
      <c r="AC82" s="24">
        <f t="shared" si="57"/>
        <v>1.6909288537412455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3.1036506698001178E-14</v>
      </c>
      <c r="AK82" s="14">
        <f t="shared" si="89"/>
        <v>5.3428243983771088E-13</v>
      </c>
      <c r="AL82" s="22">
        <f t="shared" si="58"/>
        <v>9.8459716521636505E-13</v>
      </c>
      <c r="AM82" s="62">
        <f t="shared" si="59"/>
        <v>270.32954738117792</v>
      </c>
      <c r="AN82" s="62">
        <f ca="1">AVERAGE(OFFSET($AM$3,0,0,'Données projet'!$E$10+1,1))-AVERAGE(OFFSET($H$3,0,0,'Données projet'!$E$10+1,1))</f>
        <v>221.57008282490327</v>
      </c>
      <c r="AO82" s="62">
        <f t="shared" si="90"/>
        <v>320.19912501885199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1.1932619111842091</v>
      </c>
      <c r="AW82" s="23">
        <f>EXP(-LN(2)/2)*AW81+(1-EXP(-LN(2)/2))/(LN(2)/2)*AQ82*AT82*VLOOKUP('Données projet'!$B$10,Paramètres!$A$1:$I$89,3,0)*0.475*44/12</f>
        <v>1.446314465311941E-7</v>
      </c>
      <c r="AX82" s="23">
        <f t="shared" si="60"/>
        <v>1.1932620558156557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4.2</v>
      </c>
      <c r="BD82" s="13">
        <f>IF('Données projet'!$A$88&gt;35,BD81+BC82-BL81,IF(A82&lt;'Données projet'!$A$88,$BA$205^A82,IF(A82='Données projet'!$A$88,'Données projet'!$B$88,BD81+BC82-BL81)))</f>
        <v>377.79999999999967</v>
      </c>
      <c r="BE82" s="14">
        <f>BD82*VLOOKUP('Données projet'!$B$11,Paramètres!$A$1:$I$89,3,0)*VLOOKUP('Données projet'!$B$11,Paramètres!$A$1:$I$89,5,0)</f>
        <v>277.00295999999975</v>
      </c>
      <c r="BF82" s="14">
        <f t="shared" si="91"/>
        <v>66.33325203788479</v>
      </c>
      <c r="BG82" s="22">
        <f t="shared" si="61"/>
        <v>597.97723596598223</v>
      </c>
      <c r="BH82" s="62">
        <f t="shared" si="62"/>
        <v>868.30678334715913</v>
      </c>
      <c r="BI82" s="62">
        <f ca="1">AVERAGE(OFFSET($BH$3,0,0,'Données projet'!$E$11+1,1))-AVERAGE(OFFSET($H$3,0,0,'Données projet'!$E$11+1,1))</f>
        <v>400.4480038202409</v>
      </c>
      <c r="BJ82" s="62">
        <f t="shared" si="92"/>
        <v>384.86917865380076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7.2371591947264546</v>
      </c>
      <c r="BR82" s="23">
        <f>EXP(-LN(2)/2)*BR81+(1-EXP(-LN(2)/2))/(LN(2)/2)*BL82*BO82*VLOOKUP('Données projet'!$B$11,Paramètres!$A$1:$I$89,3,0)*0.475*44/12</f>
        <v>4.7648577193133365E-7</v>
      </c>
      <c r="BS82" s="24">
        <f t="shared" si="63"/>
        <v>7.2371596712122264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419.0448820879102</v>
      </c>
      <c r="T83" s="62">
        <f t="shared" si="88"/>
        <v>553.33038335026379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1.6446884376287676</v>
      </c>
      <c r="AB83" s="23">
        <f>EXP(-LN(2)/2)*AB82+(1-EXP(-LN(2)/2))/(LN(2)/2)*V83*Y83*VLOOKUP('Données projet'!$B$9,Paramètres!$A$1:$I$89,3,0)*0.475*44/12</f>
        <v>1.3650510766205374E-6</v>
      </c>
      <c r="AC83" s="24">
        <f t="shared" si="57"/>
        <v>1.6446898026798442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3.1036506698001178E-14</v>
      </c>
      <c r="AK83" s="14">
        <f t="shared" si="89"/>
        <v>5.3428243983771088E-13</v>
      </c>
      <c r="AL83" s="22">
        <f t="shared" si="58"/>
        <v>9.8459716521636505E-13</v>
      </c>
      <c r="AM83" s="62">
        <f t="shared" si="59"/>
        <v>270.72861163868708</v>
      </c>
      <c r="AN83" s="62">
        <f ca="1">AVERAGE(OFFSET($AM$3,0,0,'Données projet'!$E$10+1,1))-AVERAGE(OFFSET($H$3,0,0,'Données projet'!$E$10+1,1))</f>
        <v>221.57008282490327</v>
      </c>
      <c r="AO83" s="62">
        <f t="shared" si="90"/>
        <v>320.19912501885199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1.1606321014719603</v>
      </c>
      <c r="AW83" s="23">
        <f>EXP(-LN(2)/2)*AW82+(1-EXP(-LN(2)/2))/(LN(2)/2)*AQ83*AT83*VLOOKUP('Données projet'!$B$10,Paramètres!$A$1:$I$89,3,0)*0.475*44/12</f>
        <v>1.0226987661502692E-7</v>
      </c>
      <c r="AX83" s="23">
        <f t="shared" si="60"/>
        <v>1.1606322037418368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382</v>
      </c>
      <c r="BB83" s="13">
        <f>VLOOKUP(A83,'Données projet'!$A$87:$I$107,9,0)</f>
        <v>4.2</v>
      </c>
      <c r="BC83" s="13">
        <f t="array" ref="BC83">INDEX(BB:BB,MIN(IF(ISNUMBER(BB83:BB279),ROW(BB83:BB279),"")))</f>
        <v>4.2</v>
      </c>
      <c r="BD83" s="13">
        <f>IF('Données projet'!$A$88&gt;35,BD82+BC83-BL82,IF(A83&lt;'Données projet'!$A$88,$BA$205^A83,IF(A83='Données projet'!$A$88,'Données projet'!$B$88,BD82+BC83-BL82)))</f>
        <v>381.99999999999966</v>
      </c>
      <c r="BE83" s="14">
        <f>BD83*VLOOKUP('Données projet'!$B$11,Paramètres!$A$1:$I$89,3,0)*VLOOKUP('Données projet'!$B$11,Paramètres!$A$1:$I$89,5,0)</f>
        <v>280.08239999999972</v>
      </c>
      <c r="BF83" s="14">
        <f t="shared" si="91"/>
        <v>66.984422071611988</v>
      </c>
      <c r="BG83" s="22">
        <f t="shared" si="61"/>
        <v>604.47471510805701</v>
      </c>
      <c r="BH83" s="62">
        <f t="shared" si="62"/>
        <v>875.20332674674319</v>
      </c>
      <c r="BI83" s="62">
        <f ca="1">AVERAGE(OFFSET($BH$3,0,0,'Données projet'!$E$11+1,1))-AVERAGE(OFFSET($H$3,0,0,'Données projet'!$E$11+1,1))</f>
        <v>400.4480038202409</v>
      </c>
      <c r="BJ83" s="62">
        <f t="shared" si="92"/>
        <v>384.86917865380076</v>
      </c>
      <c r="BK83" s="16">
        <f>IF(ISNA(VLOOKUP(A83,'Données projet'!$A$87:$I$107,3,0)),0,VLOOKUP(A83,'Données projet'!$A$87:$I$107,3,0))</f>
        <v>15</v>
      </c>
      <c r="BL83" s="23">
        <f>IF(ISNA(VLOOKUP(A83,'Données projet'!$A$87:$I$107,4,0)),0,VLOOKUP(A83,'Données projet'!$A$87:$I$107,4,0))</f>
        <v>13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7.0392586959609984</v>
      </c>
      <c r="BR83" s="23">
        <f>EXP(-LN(2)/2)*BR82+(1-EXP(-LN(2)/2))/(LN(2)/2)*BL83*BO83*VLOOKUP('Données projet'!$B$11,Paramètres!$A$1:$I$89,3,0)*0.475*44/12</f>
        <v>3.3692632047155275E-7</v>
      </c>
      <c r="BS83" s="24">
        <f t="shared" si="63"/>
        <v>7.039259032887319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419.0448820879102</v>
      </c>
      <c r="T84" s="62">
        <f t="shared" si="88"/>
        <v>553.33038335026379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1.5997143458114029</v>
      </c>
      <c r="AB84" s="23">
        <f>EXP(-LN(2)/2)*AB83+(1-EXP(-LN(2)/2))/(LN(2)/2)*V84*Y84*VLOOKUP('Données projet'!$B$9,Paramètres!$A$1:$I$89,3,0)*0.475*44/12</f>
        <v>9.6523687294437949E-7</v>
      </c>
      <c r="AC84" s="24">
        <f t="shared" si="57"/>
        <v>1.5997153110482758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3.1036506698001178E-14</v>
      </c>
      <c r="AK84" s="14">
        <f t="shared" si="89"/>
        <v>5.3428243983771088E-13</v>
      </c>
      <c r="AL84" s="22">
        <f t="shared" si="58"/>
        <v>9.8459716521636505E-13</v>
      </c>
      <c r="AM84" s="62">
        <f t="shared" si="59"/>
        <v>271.1207530235024</v>
      </c>
      <c r="AN84" s="62">
        <f ca="1">AVERAGE(OFFSET($AM$3,0,0,'Données projet'!$E$10+1,1))-AVERAGE(OFFSET($H$3,0,0,'Données projet'!$E$10+1,1))</f>
        <v>221.57008282490327</v>
      </c>
      <c r="AO84" s="62">
        <f t="shared" si="90"/>
        <v>320.19912501885199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1.1288945556222201</v>
      </c>
      <c r="AW84" s="23">
        <f>EXP(-LN(2)/2)*AW83+(1-EXP(-LN(2)/2))/(LN(2)/2)*AQ84*AT84*VLOOKUP('Données projet'!$B$10,Paramètres!$A$1:$I$89,3,0)*0.475*44/12</f>
        <v>7.2315723265597052E-8</v>
      </c>
      <c r="AX84" s="23">
        <f t="shared" si="60"/>
        <v>1.1288946279379433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368.99999999999966</v>
      </c>
      <c r="BE84" s="14">
        <f>BD84*VLOOKUP('Données projet'!$B$11,Paramètres!$A$1:$I$89,3,0)*VLOOKUP('Données projet'!$B$11,Paramètres!$A$1:$I$89,5,0)</f>
        <v>270.55079999999975</v>
      </c>
      <c r="BF84" s="14">
        <f t="shared" si="91"/>
        <v>64.966149081071777</v>
      </c>
      <c r="BG84" s="22">
        <f t="shared" si="61"/>
        <v>584.35868631619962</v>
      </c>
      <c r="BH84" s="62">
        <f t="shared" si="62"/>
        <v>855.479439339701</v>
      </c>
      <c r="BI84" s="62">
        <f ca="1">AVERAGE(OFFSET($BH$3,0,0,'Données projet'!$E$11+1,1))-AVERAGE(OFFSET($H$3,0,0,'Données projet'!$E$11+1,1))</f>
        <v>400.4480038202409</v>
      </c>
      <c r="BJ84" s="62">
        <f t="shared" si="92"/>
        <v>384.86917865380076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6.8467697967414187</v>
      </c>
      <c r="BR84" s="23">
        <f>EXP(-LN(2)/2)*BR83+(1-EXP(-LN(2)/2))/(LN(2)/2)*BL84*BO84*VLOOKUP('Données projet'!$B$11,Paramètres!$A$1:$I$89,3,0)*0.475*44/12</f>
        <v>2.3824288596566685E-7</v>
      </c>
      <c r="BS84" s="24">
        <f t="shared" si="63"/>
        <v>6.8467700349843046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419.0448820879102</v>
      </c>
      <c r="T85" s="62">
        <f t="shared" si="88"/>
        <v>553.33038335026379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1.5559700728998689</v>
      </c>
      <c r="AB85" s="23">
        <f>EXP(-LN(2)/2)*AB84+(1-EXP(-LN(2)/2))/(LN(2)/2)*V85*Y85*VLOOKUP('Données projet'!$B$9,Paramètres!$A$1:$I$89,3,0)*0.475*44/12</f>
        <v>6.8252553831026872E-7</v>
      </c>
      <c r="AC85" s="24">
        <f t="shared" si="57"/>
        <v>1.5559707554254072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3.1036506698001178E-14</v>
      </c>
      <c r="AK85" s="14">
        <f t="shared" si="89"/>
        <v>5.3428243983771088E-13</v>
      </c>
      <c r="AL85" s="22">
        <f t="shared" si="58"/>
        <v>9.8459716521636505E-13</v>
      </c>
      <c r="AM85" s="62">
        <f t="shared" si="59"/>
        <v>271.506091631988</v>
      </c>
      <c r="AN85" s="62">
        <f ca="1">AVERAGE(OFFSET($AM$3,0,0,'Données projet'!$E$10+1,1))-AVERAGE(OFFSET($H$3,0,0,'Données projet'!$E$10+1,1))</f>
        <v>221.57008282490327</v>
      </c>
      <c r="AO85" s="62">
        <f t="shared" si="90"/>
        <v>320.19912501885199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1.0980248746327459</v>
      </c>
      <c r="AW85" s="23">
        <f>EXP(-LN(2)/2)*AW84+(1-EXP(-LN(2)/2))/(LN(2)/2)*AQ85*AT85*VLOOKUP('Données projet'!$B$10,Paramètres!$A$1:$I$89,3,0)*0.475*44/12</f>
        <v>5.113493830751346E-8</v>
      </c>
      <c r="AX85" s="23">
        <f t="shared" si="60"/>
        <v>1.0980249257676842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368.99999999999966</v>
      </c>
      <c r="BE85" s="14">
        <f>BD85*VLOOKUP('Données projet'!$B$11,Paramètres!$A$1:$I$89,3,0)*VLOOKUP('Données projet'!$B$11,Paramètres!$A$1:$I$89,5,0)</f>
        <v>270.55079999999975</v>
      </c>
      <c r="BF85" s="14">
        <f t="shared" si="91"/>
        <v>64.966149081071777</v>
      </c>
      <c r="BG85" s="22">
        <f t="shared" si="61"/>
        <v>584.35868631619962</v>
      </c>
      <c r="BH85" s="62">
        <f t="shared" si="62"/>
        <v>855.86477794818666</v>
      </c>
      <c r="BI85" s="62">
        <f ca="1">AVERAGE(OFFSET($BH$3,0,0,'Données projet'!$E$11+1,1))-AVERAGE(OFFSET($H$3,0,0,'Données projet'!$E$11+1,1))</f>
        <v>400.4480038202409</v>
      </c>
      <c r="BJ85" s="62">
        <f t="shared" si="92"/>
        <v>384.86917865380076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6.6595445165935496</v>
      </c>
      <c r="BR85" s="23">
        <f>EXP(-LN(2)/2)*BR84+(1-EXP(-LN(2)/2))/(LN(2)/2)*BL85*BO85*VLOOKUP('Données projet'!$B$11,Paramètres!$A$1:$I$89,3,0)*0.475*44/12</f>
        <v>1.684631602357764E-7</v>
      </c>
      <c r="BS85" s="24">
        <f t="shared" si="63"/>
        <v>6.6595446850567095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419.0448820879102</v>
      </c>
      <c r="T86" s="62">
        <f t="shared" si="88"/>
        <v>553.33038335026379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1.513421989431512</v>
      </c>
      <c r="AB86" s="23">
        <f>EXP(-LN(2)/2)*AB85+(1-EXP(-LN(2)/2))/(LN(2)/2)*V86*Y86*VLOOKUP('Données projet'!$B$9,Paramètres!$A$1:$I$89,3,0)*0.475*44/12</f>
        <v>4.8261843647218975E-7</v>
      </c>
      <c r="AC86" s="24">
        <f t="shared" si="57"/>
        <v>1.5134224720499485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3.1036506698001178E-14</v>
      </c>
      <c r="AK86" s="14">
        <f t="shared" si="89"/>
        <v>5.3428243983771088E-13</v>
      </c>
      <c r="AL86" s="22">
        <f t="shared" si="58"/>
        <v>9.8459716521636505E-13</v>
      </c>
      <c r="AM86" s="62">
        <f t="shared" si="59"/>
        <v>271.88474547710445</v>
      </c>
      <c r="AN86" s="62">
        <f ca="1">AVERAGE(OFFSET($AM$3,0,0,'Données projet'!$E$10+1,1))-AVERAGE(OFFSET($H$3,0,0,'Données projet'!$E$10+1,1))</f>
        <v>221.57008282490327</v>
      </c>
      <c r="AO86" s="62">
        <f t="shared" si="90"/>
        <v>320.19912501885199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1.0679993266932948</v>
      </c>
      <c r="AW86" s="23">
        <f>EXP(-LN(2)/2)*AW85+(1-EXP(-LN(2)/2))/(LN(2)/2)*AQ86*AT86*VLOOKUP('Données projet'!$B$10,Paramètres!$A$1:$I$89,3,0)*0.475*44/12</f>
        <v>3.6157861632798526E-8</v>
      </c>
      <c r="AX86" s="23">
        <f t="shared" si="60"/>
        <v>1.0679993628511564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368.99999999999966</v>
      </c>
      <c r="BE86" s="14">
        <f>BD86*VLOOKUP('Données projet'!$B$11,Paramètres!$A$1:$I$89,3,0)*VLOOKUP('Données projet'!$B$11,Paramètres!$A$1:$I$89,5,0)</f>
        <v>270.55079999999975</v>
      </c>
      <c r="BF86" s="14">
        <f t="shared" si="91"/>
        <v>64.966149081071777</v>
      </c>
      <c r="BG86" s="22">
        <f t="shared" si="61"/>
        <v>584.35868631619962</v>
      </c>
      <c r="BH86" s="62">
        <f t="shared" si="62"/>
        <v>856.2434317933031</v>
      </c>
      <c r="BI86" s="62">
        <f ca="1">AVERAGE(OFFSET($BH$3,0,0,'Données projet'!$E$11+1,1))-AVERAGE(OFFSET($H$3,0,0,'Données projet'!$E$11+1,1))</f>
        <v>400.4480038202409</v>
      </c>
      <c r="BJ86" s="62">
        <f t="shared" si="92"/>
        <v>384.86917865380076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6.4774389215770736</v>
      </c>
      <c r="BR86" s="23">
        <f>EXP(-LN(2)/2)*BR85+(1-EXP(-LN(2)/2))/(LN(2)/2)*BL86*BO86*VLOOKUP('Données projet'!$B$11,Paramètres!$A$1:$I$89,3,0)*0.475*44/12</f>
        <v>1.1912144298283345E-7</v>
      </c>
      <c r="BS86" s="24">
        <f t="shared" si="63"/>
        <v>6.4774390406985169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419.0448820879102</v>
      </c>
      <c r="T87" s="62">
        <f t="shared" si="88"/>
        <v>553.33038335026379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1.4720373855431037</v>
      </c>
      <c r="AB87" s="23">
        <f>EXP(-LN(2)/2)*AB86+(1-EXP(-LN(2)/2))/(LN(2)/2)*V87*Y87*VLOOKUP('Données projet'!$B$9,Paramètres!$A$1:$I$89,3,0)*0.475*44/12</f>
        <v>3.4126276915513436E-7</v>
      </c>
      <c r="AC87" s="24">
        <f t="shared" si="57"/>
        <v>1.4720377268058729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3.1036506698001178E-14</v>
      </c>
      <c r="AK87" s="14">
        <f t="shared" si="89"/>
        <v>5.3428243983771088E-13</v>
      </c>
      <c r="AL87" s="22">
        <f t="shared" si="58"/>
        <v>9.8459716521636505E-13</v>
      </c>
      <c r="AM87" s="62">
        <f t="shared" si="59"/>
        <v>272.25683052455128</v>
      </c>
      <c r="AN87" s="62">
        <f ca="1">AVERAGE(OFFSET($AM$3,0,0,'Données projet'!$E$10+1,1))-AVERAGE(OFFSET($H$3,0,0,'Données projet'!$E$10+1,1))</f>
        <v>221.57008282490327</v>
      </c>
      <c r="AO87" s="62">
        <f t="shared" si="90"/>
        <v>320.19912501885199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1.038794828941223</v>
      </c>
      <c r="AW87" s="23">
        <f>EXP(-LN(2)/2)*AW86+(1-EXP(-LN(2)/2))/(LN(2)/2)*AQ87*AT87*VLOOKUP('Données projet'!$B$10,Paramètres!$A$1:$I$89,3,0)*0.475*44/12</f>
        <v>2.556746915375673E-8</v>
      </c>
      <c r="AX87" s="23">
        <f t="shared" si="60"/>
        <v>1.0387948545086922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368.99999999999966</v>
      </c>
      <c r="BE87" s="14">
        <f>BD87*VLOOKUP('Données projet'!$B$11,Paramètres!$A$1:$I$89,3,0)*VLOOKUP('Données projet'!$B$11,Paramètres!$A$1:$I$89,5,0)</f>
        <v>270.55079999999975</v>
      </c>
      <c r="BF87" s="14">
        <f t="shared" si="91"/>
        <v>64.966149081071777</v>
      </c>
      <c r="BG87" s="22">
        <f t="shared" si="61"/>
        <v>584.35868631619962</v>
      </c>
      <c r="BH87" s="62">
        <f t="shared" si="62"/>
        <v>856.61551684074993</v>
      </c>
      <c r="BI87" s="62">
        <f ca="1">AVERAGE(OFFSET($BH$3,0,0,'Données projet'!$E$11+1,1))-AVERAGE(OFFSET($H$3,0,0,'Données projet'!$E$11+1,1))</f>
        <v>400.4480038202409</v>
      </c>
      <c r="BJ87" s="62">
        <f t="shared" si="92"/>
        <v>384.86917865380076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6.3003130136328398</v>
      </c>
      <c r="BR87" s="23">
        <f>EXP(-LN(2)/2)*BR86+(1-EXP(-LN(2)/2))/(LN(2)/2)*BL87*BO87*VLOOKUP('Données projet'!$B$11,Paramètres!$A$1:$I$89,3,0)*0.475*44/12</f>
        <v>8.4231580117888214E-8</v>
      </c>
      <c r="BS87" s="24">
        <f t="shared" si="63"/>
        <v>6.3003130978644197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419.0448820879102</v>
      </c>
      <c r="T88" s="62">
        <f t="shared" si="88"/>
        <v>553.33038335026379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1.4317844458243458</v>
      </c>
      <c r="AB88" s="23">
        <f>EXP(-LN(2)/2)*AB87+(1-EXP(-LN(2)/2))/(LN(2)/2)*V88*Y88*VLOOKUP('Données projet'!$B$9,Paramètres!$A$1:$I$89,3,0)*0.475*44/12</f>
        <v>2.4130921823609487E-7</v>
      </c>
      <c r="AC88" s="24">
        <f t="shared" si="57"/>
        <v>1.431784687133564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3.1036506698001178E-14</v>
      </c>
      <c r="AK88" s="14">
        <f t="shared" si="89"/>
        <v>5.3428243983771088E-13</v>
      </c>
      <c r="AL88" s="22">
        <f t="shared" si="58"/>
        <v>9.8459716521636505E-13</v>
      </c>
      <c r="AM88" s="62">
        <f t="shared" si="59"/>
        <v>272.62246072828248</v>
      </c>
      <c r="AN88" s="62">
        <f ca="1">AVERAGE(OFFSET($AM$3,0,0,'Données projet'!$E$10+1,1))-AVERAGE(OFFSET($H$3,0,0,'Données projet'!$E$10+1,1))</f>
        <v>221.57008282490327</v>
      </c>
      <c r="AO88" s="62">
        <f t="shared" si="90"/>
        <v>320.19912501885199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1.0103889297159794</v>
      </c>
      <c r="AW88" s="23">
        <f>EXP(-LN(2)/2)*AW87+(1-EXP(-LN(2)/2))/(LN(2)/2)*AQ88*AT88*VLOOKUP('Données projet'!$B$10,Paramètres!$A$1:$I$89,3,0)*0.475*44/12</f>
        <v>1.8078930816399263E-8</v>
      </c>
      <c r="AX88" s="23">
        <f t="shared" si="60"/>
        <v>1.0103889477949102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368.99999999999966</v>
      </c>
      <c r="BE88" s="14">
        <f>BD88*VLOOKUP('Données projet'!$B$11,Paramètres!$A$1:$I$89,3,0)*VLOOKUP('Données projet'!$B$11,Paramètres!$A$1:$I$89,5,0)</f>
        <v>270.55079999999975</v>
      </c>
      <c r="BF88" s="14">
        <f t="shared" si="91"/>
        <v>64.966149081071777</v>
      </c>
      <c r="BG88" s="22">
        <f t="shared" si="61"/>
        <v>584.35868631619962</v>
      </c>
      <c r="BH88" s="62">
        <f t="shared" si="62"/>
        <v>856.98114704448108</v>
      </c>
      <c r="BI88" s="62">
        <f ca="1">AVERAGE(OFFSET($BH$3,0,0,'Données projet'!$E$11+1,1))-AVERAGE(OFFSET($H$3,0,0,'Données projet'!$E$11+1,1))</f>
        <v>400.4480038202409</v>
      </c>
      <c r="BJ88" s="62">
        <f t="shared" si="92"/>
        <v>384.86917865380076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6.128030622955988</v>
      </c>
      <c r="BR88" s="23">
        <f>EXP(-LN(2)/2)*BR87+(1-EXP(-LN(2)/2))/(LN(2)/2)*BL88*BO88*VLOOKUP('Données projet'!$B$11,Paramètres!$A$1:$I$89,3,0)*0.475*44/12</f>
        <v>5.9560721491416733E-8</v>
      </c>
      <c r="BS88" s="24">
        <f t="shared" si="63"/>
        <v>6.1280306825167097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419.0448820879102</v>
      </c>
      <c r="T89" s="62">
        <f t="shared" si="88"/>
        <v>553.33038335026379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1.3926322248590075</v>
      </c>
      <c r="AB89" s="23">
        <f>EXP(-LN(2)/2)*AB88+(1-EXP(-LN(2)/2))/(LN(2)/2)*V89*Y89*VLOOKUP('Données projet'!$B$9,Paramètres!$A$1:$I$89,3,0)*0.475*44/12</f>
        <v>1.7063138457756718E-7</v>
      </c>
      <c r="AC89" s="24">
        <f t="shared" si="57"/>
        <v>1.3926323954903921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3.1036506698001178E-14</v>
      </c>
      <c r="AK89" s="14">
        <f t="shared" si="89"/>
        <v>5.3428243983771088E-13</v>
      </c>
      <c r="AL89" s="22">
        <f t="shared" si="58"/>
        <v>9.8459716521636505E-13</v>
      </c>
      <c r="AM89" s="62">
        <f t="shared" si="59"/>
        <v>272.98174806540567</v>
      </c>
      <c r="AN89" s="62">
        <f ca="1">AVERAGE(OFFSET($AM$3,0,0,'Données projet'!$E$10+1,1))-AVERAGE(OFFSET($H$3,0,0,'Données projet'!$E$10+1,1))</f>
        <v>221.57008282490327</v>
      </c>
      <c r="AO89" s="62">
        <f t="shared" si="90"/>
        <v>320.19912501885199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0.98275979129885138</v>
      </c>
      <c r="AW89" s="23">
        <f>EXP(-LN(2)/2)*AW88+(1-EXP(-LN(2)/2))/(LN(2)/2)*AQ89*AT89*VLOOKUP('Données projet'!$B$10,Paramètres!$A$1:$I$89,3,0)*0.475*44/12</f>
        <v>1.2783734576878365E-8</v>
      </c>
      <c r="AX89" s="23">
        <f t="shared" si="60"/>
        <v>0.98275980408258601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368.99999999999966</v>
      </c>
      <c r="BE89" s="14">
        <f>BD89*VLOOKUP('Données projet'!$B$11,Paramètres!$A$1:$I$89,3,0)*VLOOKUP('Données projet'!$B$11,Paramètres!$A$1:$I$89,5,0)</f>
        <v>270.55079999999975</v>
      </c>
      <c r="BF89" s="14">
        <f t="shared" si="91"/>
        <v>64.966149081071777</v>
      </c>
      <c r="BG89" s="22">
        <f t="shared" si="61"/>
        <v>584.35868631619962</v>
      </c>
      <c r="BH89" s="62">
        <f t="shared" si="62"/>
        <v>857.34043438160438</v>
      </c>
      <c r="BI89" s="62">
        <f ca="1">AVERAGE(OFFSET($BH$3,0,0,'Données projet'!$E$11+1,1))-AVERAGE(OFFSET($H$3,0,0,'Données projet'!$E$11+1,1))</f>
        <v>400.4480038202409</v>
      </c>
      <c r="BJ89" s="62">
        <f t="shared" si="92"/>
        <v>384.86917865380076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5.960459303312132</v>
      </c>
      <c r="BR89" s="23">
        <f>EXP(-LN(2)/2)*BR88+(1-EXP(-LN(2)/2))/(LN(2)/2)*BL89*BO89*VLOOKUP('Données projet'!$B$11,Paramètres!$A$1:$I$89,3,0)*0.475*44/12</f>
        <v>4.2115790058944114E-8</v>
      </c>
      <c r="BS89" s="24">
        <f t="shared" si="63"/>
        <v>5.960459345427922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419.0448820879102</v>
      </c>
      <c r="T90" s="62">
        <f t="shared" si="88"/>
        <v>553.33038335026379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1.3545506234348921</v>
      </c>
      <c r="AB90" s="23">
        <f>EXP(-LN(2)/2)*AB89+(1-EXP(-LN(2)/2))/(LN(2)/2)*V90*Y90*VLOOKUP('Données projet'!$B$9,Paramètres!$A$1:$I$89,3,0)*0.475*44/12</f>
        <v>1.2065460911804744E-7</v>
      </c>
      <c r="AC90" s="24">
        <f t="shared" si="57"/>
        <v>1.3545507440895013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3.1036506698001178E-14</v>
      </c>
      <c r="AK90" s="14">
        <f t="shared" si="89"/>
        <v>5.3428243983771088E-13</v>
      </c>
      <c r="AL90" s="22">
        <f t="shared" si="58"/>
        <v>9.8459716521636505E-13</v>
      </c>
      <c r="AM90" s="62">
        <f t="shared" si="59"/>
        <v>273.3348025704758</v>
      </c>
      <c r="AN90" s="62">
        <f ca="1">AVERAGE(OFFSET($AM$3,0,0,'Données projet'!$E$10+1,1))-AVERAGE(OFFSET($H$3,0,0,'Données projet'!$E$10+1,1))</f>
        <v>221.57008282490327</v>
      </c>
      <c r="AO90" s="62">
        <f t="shared" si="90"/>
        <v>320.19912501885199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0.95588617312469304</v>
      </c>
      <c r="AW90" s="23">
        <f>EXP(-LN(2)/2)*AW89+(1-EXP(-LN(2)/2))/(LN(2)/2)*AQ90*AT90*VLOOKUP('Données projet'!$B$10,Paramètres!$A$1:$I$89,3,0)*0.475*44/12</f>
        <v>9.0394654081996315E-9</v>
      </c>
      <c r="AX90" s="23">
        <f t="shared" si="60"/>
        <v>0.95588618216415844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368.99999999999966</v>
      </c>
      <c r="BE90" s="14">
        <f>BD90*VLOOKUP('Données projet'!$B$11,Paramètres!$A$1:$I$89,3,0)*VLOOKUP('Données projet'!$B$11,Paramètres!$A$1:$I$89,5,0)</f>
        <v>270.55079999999975</v>
      </c>
      <c r="BF90" s="14">
        <f t="shared" si="91"/>
        <v>64.966149081071777</v>
      </c>
      <c r="BG90" s="22">
        <f t="shared" si="61"/>
        <v>584.35868631619962</v>
      </c>
      <c r="BH90" s="62">
        <f t="shared" si="62"/>
        <v>857.69348888667446</v>
      </c>
      <c r="BI90" s="62">
        <f ca="1">AVERAGE(OFFSET($BH$3,0,0,'Données projet'!$E$11+1,1))-AVERAGE(OFFSET($H$3,0,0,'Données projet'!$E$11+1,1))</f>
        <v>400.4480038202409</v>
      </c>
      <c r="BJ90" s="62">
        <f t="shared" si="92"/>
        <v>384.86917865380076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5.7974702302161294</v>
      </c>
      <c r="BR90" s="23">
        <f>EXP(-LN(2)/2)*BR89+(1-EXP(-LN(2)/2))/(LN(2)/2)*BL90*BO90*VLOOKUP('Données projet'!$B$11,Paramètres!$A$1:$I$89,3,0)*0.475*44/12</f>
        <v>2.978036074570837E-8</v>
      </c>
      <c r="BS90" s="24">
        <f t="shared" si="63"/>
        <v>5.7974702599964898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419.0448820879102</v>
      </c>
      <c r="T91" s="62">
        <f t="shared" si="88"/>
        <v>553.33038335026379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1.3175103654043436</v>
      </c>
      <c r="AB91" s="23">
        <f>EXP(-LN(2)/2)*AB90+(1-EXP(-LN(2)/2))/(LN(2)/2)*V91*Y91*VLOOKUP('Données projet'!$B$9,Paramètres!$A$1:$I$89,3,0)*0.475*44/12</f>
        <v>8.531569228878359E-8</v>
      </c>
      <c r="AC91" s="24">
        <f t="shared" si="57"/>
        <v>1.3175104507200359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3.1036506698001178E-14</v>
      </c>
      <c r="AK91" s="14">
        <f t="shared" si="89"/>
        <v>5.3428243983771088E-13</v>
      </c>
      <c r="AL91" s="22">
        <f t="shared" si="58"/>
        <v>9.8459716521636505E-13</v>
      </c>
      <c r="AM91" s="62">
        <f t="shared" si="59"/>
        <v>273.68173236919466</v>
      </c>
      <c r="AN91" s="62">
        <f ca="1">AVERAGE(OFFSET($AM$3,0,0,'Données projet'!$E$10+1,1))-AVERAGE(OFFSET($H$3,0,0,'Données projet'!$E$10+1,1))</f>
        <v>221.57008282490327</v>
      </c>
      <c r="AO91" s="62">
        <f t="shared" si="90"/>
        <v>320.19912501885199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0.92974741545272921</v>
      </c>
      <c r="AW91" s="23">
        <f>EXP(-LN(2)/2)*AW90+(1-EXP(-LN(2)/2))/(LN(2)/2)*AQ91*AT91*VLOOKUP('Données projet'!$B$10,Paramètres!$A$1:$I$89,3,0)*0.475*44/12</f>
        <v>6.3918672884391825E-9</v>
      </c>
      <c r="AX91" s="23">
        <f t="shared" si="60"/>
        <v>0.92974742184459647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368.99999999999966</v>
      </c>
      <c r="BE91" s="14">
        <f>BD91*VLOOKUP('Données projet'!$B$11,Paramètres!$A$1:$I$89,3,0)*VLOOKUP('Données projet'!$B$11,Paramètres!$A$1:$I$89,5,0)</f>
        <v>270.55079999999975</v>
      </c>
      <c r="BF91" s="14">
        <f t="shared" si="91"/>
        <v>64.966149081071777</v>
      </c>
      <c r="BG91" s="22">
        <f t="shared" si="61"/>
        <v>584.35868631619962</v>
      </c>
      <c r="BH91" s="62">
        <f t="shared" si="62"/>
        <v>858.04041868539332</v>
      </c>
      <c r="BI91" s="62">
        <f ca="1">AVERAGE(OFFSET($BH$3,0,0,'Données projet'!$E$11+1,1))-AVERAGE(OFFSET($H$3,0,0,'Données projet'!$E$11+1,1))</f>
        <v>400.4480038202409</v>
      </c>
      <c r="BJ91" s="62">
        <f t="shared" si="92"/>
        <v>384.86917865380076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5.6389381018951603</v>
      </c>
      <c r="BR91" s="23">
        <f>EXP(-LN(2)/2)*BR90+(1-EXP(-LN(2)/2))/(LN(2)/2)*BL91*BO91*VLOOKUP('Données projet'!$B$11,Paramètres!$A$1:$I$89,3,0)*0.475*44/12</f>
        <v>2.105789502947206E-8</v>
      </c>
      <c r="BS91" s="24">
        <f t="shared" si="63"/>
        <v>5.6389381229530553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419.0448820879102</v>
      </c>
      <c r="T92" s="62">
        <f t="shared" si="88"/>
        <v>553.33038335026379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1.281482975177503</v>
      </c>
      <c r="AB92" s="23">
        <f>EXP(-LN(2)/2)*AB91+(1-EXP(-LN(2)/2))/(LN(2)/2)*V92*Y92*VLOOKUP('Données projet'!$B$9,Paramètres!$A$1:$I$89,3,0)*0.475*44/12</f>
        <v>6.0327304559023718E-8</v>
      </c>
      <c r="AC92" s="24">
        <f t="shared" si="57"/>
        <v>1.2814830355048075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3.1036506698001178E-14</v>
      </c>
      <c r="AK92" s="14">
        <f t="shared" si="89"/>
        <v>5.3428243983771088E-13</v>
      </c>
      <c r="AL92" s="22">
        <f t="shared" si="58"/>
        <v>9.8459716521636505E-13</v>
      </c>
      <c r="AM92" s="62">
        <f t="shared" si="59"/>
        <v>274.02264371152455</v>
      </c>
      <c r="AN92" s="62">
        <f ca="1">AVERAGE(OFFSET($AM$3,0,0,'Données projet'!$E$10+1,1))-AVERAGE(OFFSET($H$3,0,0,'Données projet'!$E$10+1,1))</f>
        <v>221.57008282490327</v>
      </c>
      <c r="AO92" s="62">
        <f t="shared" si="90"/>
        <v>320.19912501885199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0.90432342348388273</v>
      </c>
      <c r="AW92" s="23">
        <f>EXP(-LN(2)/2)*AW91+(1-EXP(-LN(2)/2))/(LN(2)/2)*AQ92*AT92*VLOOKUP('Données projet'!$B$10,Paramètres!$A$1:$I$89,3,0)*0.475*44/12</f>
        <v>4.5197327040998158E-9</v>
      </c>
      <c r="AX92" s="23">
        <f t="shared" si="60"/>
        <v>0.90432342800361543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368.99999999999966</v>
      </c>
      <c r="BE92" s="14">
        <f>BD92*VLOOKUP('Données projet'!$B$11,Paramètres!$A$1:$I$89,3,0)*VLOOKUP('Données projet'!$B$11,Paramètres!$A$1:$I$89,5,0)</f>
        <v>270.55079999999975</v>
      </c>
      <c r="BF92" s="14">
        <f t="shared" si="91"/>
        <v>64.966149081071777</v>
      </c>
      <c r="BG92" s="22">
        <f t="shared" si="61"/>
        <v>584.35868631619962</v>
      </c>
      <c r="BH92" s="62">
        <f t="shared" si="62"/>
        <v>858.38133002772315</v>
      </c>
      <c r="BI92" s="62">
        <f ca="1">AVERAGE(OFFSET($BH$3,0,0,'Données projet'!$E$11+1,1))-AVERAGE(OFFSET($H$3,0,0,'Données projet'!$E$11+1,1))</f>
        <v>400.4480038202409</v>
      </c>
      <c r="BJ92" s="62">
        <f t="shared" si="92"/>
        <v>384.86917865380076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5.4847410429599703</v>
      </c>
      <c r="BR92" s="23">
        <f>EXP(-LN(2)/2)*BR91+(1-EXP(-LN(2)/2))/(LN(2)/2)*BL92*BO92*VLOOKUP('Données projet'!$B$11,Paramètres!$A$1:$I$89,3,0)*0.475*44/12</f>
        <v>1.4890180372854188E-8</v>
      </c>
      <c r="BS92" s="24">
        <f t="shared" si="63"/>
        <v>5.484741057850151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419.0448820879102</v>
      </c>
      <c r="T93" s="62">
        <f t="shared" si="88"/>
        <v>553.33038335026379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1.2464407558310133</v>
      </c>
      <c r="AB93" s="23">
        <f>EXP(-LN(2)/2)*AB92+(1-EXP(-LN(2)/2))/(LN(2)/2)*V93*Y93*VLOOKUP('Données projet'!$B$9,Paramètres!$A$1:$I$89,3,0)*0.475*44/12</f>
        <v>4.2657846144391795E-8</v>
      </c>
      <c r="AC93" s="24">
        <f t="shared" si="57"/>
        <v>1.2464407984888595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3.1036506698001178E-14</v>
      </c>
      <c r="AK93" s="14">
        <f t="shared" si="89"/>
        <v>5.3428243983771088E-13</v>
      </c>
      <c r="AL93" s="22">
        <f t="shared" si="58"/>
        <v>9.8459716521636505E-13</v>
      </c>
      <c r="AM93" s="62">
        <f t="shared" si="59"/>
        <v>274.35764100422864</v>
      </c>
      <c r="AN93" s="62">
        <f ca="1">AVERAGE(OFFSET($AM$3,0,0,'Données projet'!$E$10+1,1))-AVERAGE(OFFSET($H$3,0,0,'Données projet'!$E$10+1,1))</f>
        <v>221.57008282490327</v>
      </c>
      <c r="AO93" s="62">
        <f t="shared" si="90"/>
        <v>320.19912501885199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0.87959465191241393</v>
      </c>
      <c r="AW93" s="23">
        <f>EXP(-LN(2)/2)*AW92+(1-EXP(-LN(2)/2))/(LN(2)/2)*AQ93*AT93*VLOOKUP('Données projet'!$B$10,Paramètres!$A$1:$I$89,3,0)*0.475*44/12</f>
        <v>3.1959336442195912E-9</v>
      </c>
      <c r="AX93" s="23">
        <f t="shared" si="60"/>
        <v>0.87959465510834756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368.99999999999966</v>
      </c>
      <c r="BE93" s="14">
        <f>BD93*VLOOKUP('Données projet'!$B$11,Paramètres!$A$1:$I$89,3,0)*VLOOKUP('Données projet'!$B$11,Paramètres!$A$1:$I$89,5,0)</f>
        <v>270.55079999999975</v>
      </c>
      <c r="BF93" s="14">
        <f t="shared" si="91"/>
        <v>64.966149081071777</v>
      </c>
      <c r="BG93" s="22">
        <f t="shared" si="61"/>
        <v>584.35868631619962</v>
      </c>
      <c r="BH93" s="62">
        <f t="shared" si="62"/>
        <v>858.71632732042735</v>
      </c>
      <c r="BI93" s="62">
        <f ca="1">AVERAGE(OFFSET($BH$3,0,0,'Données projet'!$E$11+1,1))-AVERAGE(OFFSET($H$3,0,0,'Données projet'!$E$11+1,1))</f>
        <v>400.4480038202409</v>
      </c>
      <c r="BJ93" s="62">
        <f t="shared" si="92"/>
        <v>384.86917865380076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5.3347605107102343</v>
      </c>
      <c r="BR93" s="23">
        <f>EXP(-LN(2)/2)*BR92+(1-EXP(-LN(2)/2))/(LN(2)/2)*BL93*BO93*VLOOKUP('Données projet'!$B$11,Paramètres!$A$1:$I$89,3,0)*0.475*44/12</f>
        <v>1.0528947514736032E-8</v>
      </c>
      <c r="BS93" s="24">
        <f t="shared" si="63"/>
        <v>5.3347605212391818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419.0448820879102</v>
      </c>
      <c r="T94" s="62">
        <f t="shared" si="88"/>
        <v>553.33038335026379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1.2123567678153437</v>
      </c>
      <c r="AB94" s="23">
        <f>EXP(-LN(2)/2)*AB93+(1-EXP(-LN(2)/2))/(LN(2)/2)*V94*Y94*VLOOKUP('Données projet'!$B$9,Paramètres!$A$1:$I$89,3,0)*0.475*44/12</f>
        <v>3.0163652279511859E-8</v>
      </c>
      <c r="AC94" s="24">
        <f t="shared" si="57"/>
        <v>1.212356797978996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3.1036506698001178E-14</v>
      </c>
      <c r="AK94" s="14">
        <f t="shared" si="89"/>
        <v>5.3428243983771088E-13</v>
      </c>
      <c r="AL94" s="22">
        <f t="shared" si="58"/>
        <v>9.8459716521636505E-13</v>
      </c>
      <c r="AM94" s="62">
        <f t="shared" si="59"/>
        <v>274.68682684284602</v>
      </c>
      <c r="AN94" s="62">
        <f ca="1">AVERAGE(OFFSET($AM$3,0,0,'Données projet'!$E$10+1,1))-AVERAGE(OFFSET($H$3,0,0,'Données projet'!$E$10+1,1))</f>
        <v>221.57008282490327</v>
      </c>
      <c r="AO94" s="62">
        <f t="shared" si="90"/>
        <v>320.19912501885199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0.85554208989999658</v>
      </c>
      <c r="AW94" s="23">
        <f>EXP(-LN(2)/2)*AW93+(1-EXP(-LN(2)/2))/(LN(2)/2)*AQ94*AT94*VLOOKUP('Données projet'!$B$10,Paramètres!$A$1:$I$89,3,0)*0.475*44/12</f>
        <v>2.2598663520499079E-9</v>
      </c>
      <c r="AX94" s="23">
        <f t="shared" si="60"/>
        <v>0.85554209215986299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368.99999999999966</v>
      </c>
      <c r="BE94" s="14">
        <f>BD94*VLOOKUP('Données projet'!$B$11,Paramètres!$A$1:$I$89,3,0)*VLOOKUP('Données projet'!$B$11,Paramètres!$A$1:$I$89,5,0)</f>
        <v>270.55079999999975</v>
      </c>
      <c r="BF94" s="14">
        <f t="shared" si="91"/>
        <v>64.966149081071777</v>
      </c>
      <c r="BG94" s="22">
        <f t="shared" si="61"/>
        <v>584.35868631619962</v>
      </c>
      <c r="BH94" s="62">
        <f t="shared" si="62"/>
        <v>859.04551315904473</v>
      </c>
      <c r="BI94" s="62">
        <f ca="1">AVERAGE(OFFSET($BH$3,0,0,'Données projet'!$E$11+1,1))-AVERAGE(OFFSET($H$3,0,0,'Données projet'!$E$11+1,1))</f>
        <v>400.4480038202409</v>
      </c>
      <c r="BJ94" s="62">
        <f t="shared" si="92"/>
        <v>384.86917865380076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5.1888812040020005</v>
      </c>
      <c r="BR94" s="23">
        <f>EXP(-LN(2)/2)*BR93+(1-EXP(-LN(2)/2))/(LN(2)/2)*BL94*BO94*VLOOKUP('Données projet'!$B$11,Paramètres!$A$1:$I$89,3,0)*0.475*44/12</f>
        <v>7.4450901864270949E-9</v>
      </c>
      <c r="BS94" s="24">
        <f t="shared" si="63"/>
        <v>5.1888812114470904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419.0448820879102</v>
      </c>
      <c r="T95" s="62">
        <f t="shared" si="88"/>
        <v>553.33038335026379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1.1792048082443616</v>
      </c>
      <c r="AB95" s="23">
        <f>EXP(-LN(2)/2)*AB94+(1-EXP(-LN(2)/2))/(LN(2)/2)*V95*Y95*VLOOKUP('Données projet'!$B$9,Paramètres!$A$1:$I$89,3,0)*0.475*44/12</f>
        <v>2.1328923072195898E-8</v>
      </c>
      <c r="AC95" s="24">
        <f t="shared" si="57"/>
        <v>1.1792048295732847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3.1036506698001178E-14</v>
      </c>
      <c r="AK95" s="14">
        <f t="shared" si="89"/>
        <v>5.3428243983771088E-13</v>
      </c>
      <c r="AL95" s="22">
        <f t="shared" si="58"/>
        <v>9.8459716521636505E-13</v>
      </c>
      <c r="AM95" s="62">
        <f t="shared" si="59"/>
        <v>275.01030204311269</v>
      </c>
      <c r="AN95" s="62">
        <f ca="1">AVERAGE(OFFSET($AM$3,0,0,'Données projet'!$E$10+1,1))-AVERAGE(OFFSET($H$3,0,0,'Données projet'!$E$10+1,1))</f>
        <v>221.57008282490327</v>
      </c>
      <c r="AO95" s="62">
        <f t="shared" si="90"/>
        <v>320.19912501885199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0.83214724646067806</v>
      </c>
      <c r="AW95" s="23">
        <f>EXP(-LN(2)/2)*AW94+(1-EXP(-LN(2)/2))/(LN(2)/2)*AQ95*AT95*VLOOKUP('Données projet'!$B$10,Paramètres!$A$1:$I$89,3,0)*0.475*44/12</f>
        <v>1.5979668221097956E-9</v>
      </c>
      <c r="AX95" s="23">
        <f t="shared" si="60"/>
        <v>0.83214724805864493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368.99999999999966</v>
      </c>
      <c r="BE95" s="14">
        <f>BD95*VLOOKUP('Données projet'!$B$11,Paramètres!$A$1:$I$89,3,0)*VLOOKUP('Données projet'!$B$11,Paramètres!$A$1:$I$89,5,0)</f>
        <v>270.55079999999975</v>
      </c>
      <c r="BF95" s="14">
        <f t="shared" si="91"/>
        <v>64.966149081071777</v>
      </c>
      <c r="BG95" s="22">
        <f t="shared" si="61"/>
        <v>584.35868631619962</v>
      </c>
      <c r="BH95" s="62">
        <f t="shared" si="62"/>
        <v>859.36898835931129</v>
      </c>
      <c r="BI95" s="62">
        <f ca="1">AVERAGE(OFFSET($BH$3,0,0,'Données projet'!$E$11+1,1))-AVERAGE(OFFSET($H$3,0,0,'Données projet'!$E$11+1,1))</f>
        <v>400.4480038202409</v>
      </c>
      <c r="BJ95" s="62">
        <f t="shared" si="92"/>
        <v>384.86917865380076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5.0469909746071622</v>
      </c>
      <c r="BR95" s="23">
        <f>EXP(-LN(2)/2)*BR94+(1-EXP(-LN(2)/2))/(LN(2)/2)*BL95*BO95*VLOOKUP('Données projet'!$B$11,Paramètres!$A$1:$I$89,3,0)*0.475*44/12</f>
        <v>5.2644737573680167E-9</v>
      </c>
      <c r="BS95" s="24">
        <f t="shared" si="63"/>
        <v>5.0469909798716364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419.0448820879102</v>
      </c>
      <c r="T96" s="62">
        <f t="shared" si="88"/>
        <v>553.33038335026379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1.1469593907512337</v>
      </c>
      <c r="AB96" s="23">
        <f>EXP(-LN(2)/2)*AB95+(1-EXP(-LN(2)/2))/(LN(2)/2)*V96*Y96*VLOOKUP('Données projet'!$B$9,Paramètres!$A$1:$I$89,3,0)*0.475*44/12</f>
        <v>1.508182613975593E-8</v>
      </c>
      <c r="AC96" s="24">
        <f t="shared" si="57"/>
        <v>1.1469594058330599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3.1036506698001178E-14</v>
      </c>
      <c r="AK96" s="14">
        <f t="shared" si="89"/>
        <v>5.3428243983771088E-13</v>
      </c>
      <c r="AL96" s="22">
        <f t="shared" si="58"/>
        <v>9.8459716521636505E-13</v>
      </c>
      <c r="AM96" s="62">
        <f t="shared" si="59"/>
        <v>275.32816567183693</v>
      </c>
      <c r="AN96" s="62">
        <f ca="1">AVERAGE(OFFSET($AM$3,0,0,'Données projet'!$E$10+1,1))-AVERAGE(OFFSET($H$3,0,0,'Données projet'!$E$10+1,1))</f>
        <v>221.57008282490327</v>
      </c>
      <c r="AO96" s="62">
        <f t="shared" si="90"/>
        <v>320.19912501885199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0.809392136245489</v>
      </c>
      <c r="AW96" s="23">
        <f>EXP(-LN(2)/2)*AW95+(1-EXP(-LN(2)/2))/(LN(2)/2)*AQ96*AT96*VLOOKUP('Données projet'!$B$10,Paramètres!$A$1:$I$89,3,0)*0.475*44/12</f>
        <v>1.1299331760249539E-9</v>
      </c>
      <c r="AX96" s="23">
        <f t="shared" si="60"/>
        <v>0.80939213737542215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368.99999999999966</v>
      </c>
      <c r="BE96" s="14">
        <f>BD96*VLOOKUP('Données projet'!$B$11,Paramètres!$A$1:$I$89,3,0)*VLOOKUP('Données projet'!$B$11,Paramètres!$A$1:$I$89,5,0)</f>
        <v>270.55079999999975</v>
      </c>
      <c r="BF96" s="14">
        <f t="shared" si="91"/>
        <v>64.966149081071777</v>
      </c>
      <c r="BG96" s="22">
        <f t="shared" si="61"/>
        <v>584.35868631619962</v>
      </c>
      <c r="BH96" s="62">
        <f t="shared" si="62"/>
        <v>859.68685198803564</v>
      </c>
      <c r="BI96" s="62">
        <f ca="1">AVERAGE(OFFSET($BH$3,0,0,'Données projet'!$E$11+1,1))-AVERAGE(OFFSET($H$3,0,0,'Données projet'!$E$11+1,1))</f>
        <v>400.4480038202409</v>
      </c>
      <c r="BJ96" s="62">
        <f t="shared" si="92"/>
        <v>384.86917865380076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4.9089807409968094</v>
      </c>
      <c r="BR96" s="23">
        <f>EXP(-LN(2)/2)*BR95+(1-EXP(-LN(2)/2))/(LN(2)/2)*BL96*BO96*VLOOKUP('Données projet'!$B$11,Paramètres!$A$1:$I$89,3,0)*0.475*44/12</f>
        <v>3.7225450932135483E-9</v>
      </c>
      <c r="BS96" s="24">
        <f t="shared" si="63"/>
        <v>4.9089807447193543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419.0448820879102</v>
      </c>
      <c r="T97" s="62">
        <f t="shared" si="88"/>
        <v>553.33038335026379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1.1155957258951683</v>
      </c>
      <c r="AB97" s="23">
        <f>EXP(-LN(2)/2)*AB96+(1-EXP(-LN(2)/2))/(LN(2)/2)*V97*Y97*VLOOKUP('Données projet'!$B$9,Paramètres!$A$1:$I$89,3,0)*0.475*44/12</f>
        <v>1.0664461536097949E-8</v>
      </c>
      <c r="AC97" s="24">
        <f t="shared" si="57"/>
        <v>1.1155957365596298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3.1036506698001178E-14</v>
      </c>
      <c r="AK97" s="14">
        <f t="shared" si="89"/>
        <v>5.3428243983771088E-13</v>
      </c>
      <c r="AL97" s="22">
        <f t="shared" si="58"/>
        <v>9.8459716521636505E-13</v>
      </c>
      <c r="AM97" s="62">
        <f t="shared" si="59"/>
        <v>275.64051507723946</v>
      </c>
      <c r="AN97" s="62">
        <f ca="1">AVERAGE(OFFSET($AM$3,0,0,'Données projet'!$E$10+1,1))-AVERAGE(OFFSET($H$3,0,0,'Données projet'!$E$10+1,1))</f>
        <v>221.57008282490327</v>
      </c>
      <c r="AO97" s="62">
        <f t="shared" si="90"/>
        <v>320.19912501885199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0.78725926571577354</v>
      </c>
      <c r="AW97" s="23">
        <f>EXP(-LN(2)/2)*AW96+(1-EXP(-LN(2)/2))/(LN(2)/2)*AQ97*AT97*VLOOKUP('Données projet'!$B$10,Paramètres!$A$1:$I$89,3,0)*0.475*44/12</f>
        <v>7.9898341105489781E-10</v>
      </c>
      <c r="AX97" s="23">
        <f t="shared" si="60"/>
        <v>0.78725926651475697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368.99999999999966</v>
      </c>
      <c r="BE97" s="14">
        <f>BD97*VLOOKUP('Données projet'!$B$11,Paramètres!$A$1:$I$89,3,0)*VLOOKUP('Données projet'!$B$11,Paramètres!$A$1:$I$89,5,0)</f>
        <v>270.55079999999975</v>
      </c>
      <c r="BF97" s="14">
        <f t="shared" si="91"/>
        <v>64.966149081071777</v>
      </c>
      <c r="BG97" s="22">
        <f t="shared" si="61"/>
        <v>584.35868631619962</v>
      </c>
      <c r="BH97" s="62">
        <f t="shared" si="62"/>
        <v>859.99920139343817</v>
      </c>
      <c r="BI97" s="62">
        <f ca="1">AVERAGE(OFFSET($BH$3,0,0,'Données projet'!$E$11+1,1))-AVERAGE(OFFSET($H$3,0,0,'Données projet'!$E$11+1,1))</f>
        <v>400.4480038202409</v>
      </c>
      <c r="BJ97" s="62">
        <f t="shared" si="92"/>
        <v>384.86917865380076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4.7747444044821741</v>
      </c>
      <c r="BR97" s="23">
        <f>EXP(-LN(2)/2)*BR96+(1-EXP(-LN(2)/2))/(LN(2)/2)*BL97*BO97*VLOOKUP('Données projet'!$B$11,Paramètres!$A$1:$I$89,3,0)*0.475*44/12</f>
        <v>2.6322368786840087E-9</v>
      </c>
      <c r="BS97" s="24">
        <f t="shared" si="63"/>
        <v>4.7747444071144107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419.0448820879102</v>
      </c>
      <c r="T98" s="62">
        <f t="shared" si="88"/>
        <v>553.33038335026379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1.0850897021039354</v>
      </c>
      <c r="AB98" s="23">
        <f>EXP(-LN(2)/2)*AB97+(1-EXP(-LN(2)/2))/(LN(2)/2)*V98*Y98*VLOOKUP('Données projet'!$B$9,Paramètres!$A$1:$I$89,3,0)*0.475*44/12</f>
        <v>7.5409130698779648E-9</v>
      </c>
      <c r="AC98" s="24">
        <f t="shared" si="57"/>
        <v>1.0850897096448484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3.1036506698001178E-14</v>
      </c>
      <c r="AK98" s="14">
        <f t="shared" si="89"/>
        <v>5.3428243983771088E-13</v>
      </c>
      <c r="AL98" s="22">
        <f t="shared" si="58"/>
        <v>9.8459716521636505E-13</v>
      </c>
      <c r="AM98" s="62">
        <f t="shared" si="59"/>
        <v>275.9474459187669</v>
      </c>
      <c r="AN98" s="62">
        <f ca="1">AVERAGE(OFFSET($AM$3,0,0,'Données projet'!$E$10+1,1))-AVERAGE(OFFSET($H$3,0,0,'Données projet'!$E$10+1,1))</f>
        <v>221.57008282490327</v>
      </c>
      <c r="AO98" s="62">
        <f t="shared" si="90"/>
        <v>320.19912501885199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0.76573161969461023</v>
      </c>
      <c r="AW98" s="23">
        <f>EXP(-LN(2)/2)*AW97+(1-EXP(-LN(2)/2))/(LN(2)/2)*AQ98*AT98*VLOOKUP('Données projet'!$B$10,Paramètres!$A$1:$I$89,3,0)*0.475*44/12</f>
        <v>5.6496658801247697E-10</v>
      </c>
      <c r="AX98" s="23">
        <f t="shared" si="60"/>
        <v>0.76573162025957686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368.99999999999966</v>
      </c>
      <c r="BE98" s="14">
        <f>BD98*VLOOKUP('Données projet'!$B$11,Paramètres!$A$1:$I$89,3,0)*VLOOKUP('Données projet'!$B$11,Paramètres!$A$1:$I$89,5,0)</f>
        <v>270.55079999999975</v>
      </c>
      <c r="BF98" s="14">
        <f t="shared" si="91"/>
        <v>64.966149081071777</v>
      </c>
      <c r="BG98" s="22">
        <f t="shared" si="61"/>
        <v>584.35868631619962</v>
      </c>
      <c r="BH98" s="62">
        <f t="shared" si="62"/>
        <v>860.30613223496562</v>
      </c>
      <c r="BI98" s="62">
        <f ca="1">AVERAGE(OFFSET($BH$3,0,0,'Données projet'!$E$11+1,1))-AVERAGE(OFFSET($H$3,0,0,'Données projet'!$E$11+1,1))</f>
        <v>400.4480038202409</v>
      </c>
      <c r="BJ98" s="62">
        <f t="shared" si="92"/>
        <v>384.86917865380076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4.6441787676487136</v>
      </c>
      <c r="BR98" s="23">
        <f>EXP(-LN(2)/2)*BR97+(1-EXP(-LN(2)/2))/(LN(2)/2)*BL98*BO98*VLOOKUP('Données projet'!$B$11,Paramètres!$A$1:$I$89,3,0)*0.475*44/12</f>
        <v>1.8612725466067743E-9</v>
      </c>
      <c r="BS98" s="24">
        <f t="shared" si="63"/>
        <v>4.6441787695099865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419.0448820879102</v>
      </c>
      <c r="T99" s="62">
        <f t="shared" si="88"/>
        <v>553.33038335026379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1.0554178671375158</v>
      </c>
      <c r="AB99" s="23">
        <f>EXP(-LN(2)/2)*AB98+(1-EXP(-LN(2)/2))/(LN(2)/2)*V99*Y99*VLOOKUP('Données projet'!$B$9,Paramètres!$A$1:$I$89,3,0)*0.475*44/12</f>
        <v>5.3322307680489744E-9</v>
      </c>
      <c r="AC99" s="24">
        <f t="shared" si="57"/>
        <v>1.0554178724697465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3.1036506698001178E-14</v>
      </c>
      <c r="AK99" s="14">
        <f t="shared" si="89"/>
        <v>5.3428243983771088E-13</v>
      </c>
      <c r="AL99" s="22">
        <f t="shared" si="58"/>
        <v>9.8459716521636505E-13</v>
      </c>
      <c r="AM99" s="62">
        <f t="shared" si="59"/>
        <v>276.24905219638839</v>
      </c>
      <c r="AN99" s="62">
        <f ca="1">AVERAGE(OFFSET($AM$3,0,0,'Données projet'!$E$10+1,1))-AVERAGE(OFFSET($H$3,0,0,'Données projet'!$E$10+1,1))</f>
        <v>221.57008282490327</v>
      </c>
      <c r="AO99" s="62">
        <f t="shared" si="90"/>
        <v>320.19912501885199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0.74479264828598535</v>
      </c>
      <c r="AW99" s="23">
        <f>EXP(-LN(2)/2)*AW98+(1-EXP(-LN(2)/2))/(LN(2)/2)*AQ99*AT99*VLOOKUP('Données projet'!$B$10,Paramètres!$A$1:$I$89,3,0)*0.475*44/12</f>
        <v>3.994917055274489E-10</v>
      </c>
      <c r="AX99" s="23">
        <f t="shared" si="60"/>
        <v>0.74479264868547701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368.99999999999966</v>
      </c>
      <c r="BE99" s="14">
        <f>BD99*VLOOKUP('Données projet'!$B$11,Paramètres!$A$1:$I$89,3,0)*VLOOKUP('Données projet'!$B$11,Paramètres!$A$1:$I$89,5,0)</f>
        <v>270.55079999999975</v>
      </c>
      <c r="BF99" s="14">
        <f t="shared" si="91"/>
        <v>64.966149081071777</v>
      </c>
      <c r="BG99" s="22">
        <f t="shared" si="61"/>
        <v>584.35868631619962</v>
      </c>
      <c r="BH99" s="62">
        <f t="shared" si="62"/>
        <v>860.60773851258705</v>
      </c>
      <c r="BI99" s="62">
        <f ca="1">AVERAGE(OFFSET($BH$3,0,0,'Données projet'!$E$11+1,1))-AVERAGE(OFFSET($H$3,0,0,'Données projet'!$E$11+1,1))</f>
        <v>400.4480038202409</v>
      </c>
      <c r="BJ99" s="62">
        <f t="shared" si="92"/>
        <v>384.86917865380076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4.5171834550206125</v>
      </c>
      <c r="BR99" s="23">
        <f>EXP(-LN(2)/2)*BR98+(1-EXP(-LN(2)/2))/(LN(2)/2)*BL99*BO99*VLOOKUP('Données projet'!$B$11,Paramètres!$A$1:$I$89,3,0)*0.475*44/12</f>
        <v>1.3161184393420046E-9</v>
      </c>
      <c r="BS99" s="24">
        <f t="shared" si="63"/>
        <v>4.5171834563367312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419.0448820879102</v>
      </c>
      <c r="T100" s="62">
        <f t="shared" si="88"/>
        <v>553.33038335026379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1.026557410058627</v>
      </c>
      <c r="AB100" s="23">
        <f>EXP(-LN(2)/2)*AB99+(1-EXP(-LN(2)/2))/(LN(2)/2)*V100*Y100*VLOOKUP('Données projet'!$B$9,Paramètres!$A$1:$I$89,3,0)*0.475*44/12</f>
        <v>3.7704565349389824E-9</v>
      </c>
      <c r="AC100" s="24">
        <f t="shared" si="57"/>
        <v>1.0265574138290836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3.1036506698001178E-14</v>
      </c>
      <c r="AK100" s="14">
        <f t="shared" si="89"/>
        <v>5.3428243983771088E-13</v>
      </c>
      <c r="AL100" s="22">
        <f t="shared" si="58"/>
        <v>9.8459716521636505E-13</v>
      </c>
      <c r="AM100" s="62">
        <f t="shared" si="59"/>
        <v>276.54542627938378</v>
      </c>
      <c r="AN100" s="62">
        <f ca="1">AVERAGE(OFFSET($AM$3,0,0,'Données projet'!$E$10+1,1))-AVERAGE(OFFSET($H$3,0,0,'Données projet'!$E$10+1,1))</f>
        <v>221.57008282490327</v>
      </c>
      <c r="AO100" s="62">
        <f t="shared" si="90"/>
        <v>320.19912501885199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0.72442625415166195</v>
      </c>
      <c r="AW100" s="23">
        <f>EXP(-LN(2)/2)*AW99+(1-EXP(-LN(2)/2))/(LN(2)/2)*AQ100*AT100*VLOOKUP('Données projet'!$B$10,Paramètres!$A$1:$I$89,3,0)*0.475*44/12</f>
        <v>2.8248329400623848E-10</v>
      </c>
      <c r="AX100" s="23">
        <f t="shared" si="60"/>
        <v>0.72442625443414521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368.99999999999966</v>
      </c>
      <c r="BE100" s="14">
        <f>BD100*VLOOKUP('Données projet'!$B$11,Paramètres!$A$1:$I$89,3,0)*VLOOKUP('Données projet'!$B$11,Paramètres!$A$1:$I$89,5,0)</f>
        <v>270.55079999999975</v>
      </c>
      <c r="BF100" s="14">
        <f t="shared" si="91"/>
        <v>64.966149081071777</v>
      </c>
      <c r="BG100" s="22">
        <f t="shared" si="61"/>
        <v>584.35868631619962</v>
      </c>
      <c r="BH100" s="62">
        <f t="shared" si="62"/>
        <v>860.90411259558243</v>
      </c>
      <c r="BI100" s="62">
        <f ca="1">AVERAGE(OFFSET($BH$3,0,0,'Données projet'!$E$11+1,1))-AVERAGE(OFFSET($H$3,0,0,'Données projet'!$E$11+1,1))</f>
        <v>400.4480038202409</v>
      </c>
      <c r="BJ100" s="62">
        <f t="shared" si="92"/>
        <v>384.86917865380076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4.3936608358947202</v>
      </c>
      <c r="BR100" s="23">
        <f>EXP(-LN(2)/2)*BR99+(1-EXP(-LN(2)/2))/(LN(2)/2)*BL100*BO100*VLOOKUP('Données projet'!$B$11,Paramètres!$A$1:$I$89,3,0)*0.475*44/12</f>
        <v>9.3063627330338727E-10</v>
      </c>
      <c r="BS100" s="24">
        <f t="shared" si="63"/>
        <v>4.3936608368253562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419.0448820879102</v>
      </c>
      <c r="T101" s="62">
        <f t="shared" si="88"/>
        <v>553.33038335026379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0.99848614369626587</v>
      </c>
      <c r="AB101" s="23">
        <f>EXP(-LN(2)/2)*AB100+(1-EXP(-LN(2)/2))/(LN(2)/2)*V101*Y101*VLOOKUP('Données projet'!$B$9,Paramètres!$A$1:$I$89,3,0)*0.475*44/12</f>
        <v>2.6661153840244872E-9</v>
      </c>
      <c r="AC101" s="24">
        <f t="shared" si="57"/>
        <v>0.99848614636238131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3.1036506698001178E-14</v>
      </c>
      <c r="AK101" s="14">
        <f t="shared" si="89"/>
        <v>5.3428243983771088E-13</v>
      </c>
      <c r="AL101" s="22">
        <f t="shared" si="58"/>
        <v>9.8459716521636505E-13</v>
      </c>
      <c r="AM101" s="62">
        <f t="shared" si="59"/>
        <v>276.83665893463234</v>
      </c>
      <c r="AN101" s="62">
        <f ca="1">AVERAGE(OFFSET($AM$3,0,0,'Données projet'!$E$10+1,1))-AVERAGE(OFFSET($H$3,0,0,'Données projet'!$E$10+1,1))</f>
        <v>221.57008282490327</v>
      </c>
      <c r="AO101" s="62">
        <f t="shared" si="90"/>
        <v>320.19912501885199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0.70461678013596374</v>
      </c>
      <c r="AW101" s="23">
        <f>EXP(-LN(2)/2)*AW100+(1-EXP(-LN(2)/2))/(LN(2)/2)*AQ101*AT101*VLOOKUP('Données projet'!$B$10,Paramètres!$A$1:$I$89,3,0)*0.475*44/12</f>
        <v>1.9974585276372445E-10</v>
      </c>
      <c r="AX101" s="23">
        <f t="shared" si="60"/>
        <v>0.70461678033570962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368.99999999999966</v>
      </c>
      <c r="BE101" s="14">
        <f>BD101*VLOOKUP('Données projet'!$B$11,Paramètres!$A$1:$I$89,3,0)*VLOOKUP('Données projet'!$B$11,Paramètres!$A$1:$I$89,5,0)</f>
        <v>270.55079999999975</v>
      </c>
      <c r="BF101" s="14">
        <f t="shared" si="91"/>
        <v>64.966149081071777</v>
      </c>
      <c r="BG101" s="22">
        <f t="shared" si="61"/>
        <v>584.35868631619962</v>
      </c>
      <c r="BH101" s="62">
        <f t="shared" si="62"/>
        <v>861.195345250831</v>
      </c>
      <c r="BI101" s="62">
        <f ca="1">AVERAGE(OFFSET($BH$3,0,0,'Données projet'!$E$11+1,1))-AVERAGE(OFFSET($H$3,0,0,'Données projet'!$E$11+1,1))</f>
        <v>400.4480038202409</v>
      </c>
      <c r="BJ101" s="62">
        <f t="shared" si="92"/>
        <v>384.86917865380076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4.2735159492845973</v>
      </c>
      <c r="BR101" s="23">
        <f>EXP(-LN(2)/2)*BR100+(1-EXP(-LN(2)/2))/(LN(2)/2)*BL101*BO101*VLOOKUP('Données projet'!$B$11,Paramètres!$A$1:$I$89,3,0)*0.475*44/12</f>
        <v>6.5805921967100239E-10</v>
      </c>
      <c r="BS101" s="24">
        <f t="shared" si="63"/>
        <v>4.2735159499426567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419.0448820879102</v>
      </c>
      <c r="T102" s="62">
        <f t="shared" si="88"/>
        <v>553.33038335026379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0.97118248758878722</v>
      </c>
      <c r="AB102" s="23">
        <f>EXP(-LN(2)/2)*AB101+(1-EXP(-LN(2)/2))/(LN(2)/2)*V102*Y102*VLOOKUP('Données projet'!$B$9,Paramètres!$A$1:$I$89,3,0)*0.475*44/12</f>
        <v>1.8852282674694912E-9</v>
      </c>
      <c r="AC102" s="24">
        <f t="shared" si="57"/>
        <v>0.97118248947401553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3.1036506698001178E-14</v>
      </c>
      <c r="AK102" s="14">
        <f t="shared" si="89"/>
        <v>5.3428243983771088E-13</v>
      </c>
      <c r="AL102" s="22">
        <f t="shared" si="58"/>
        <v>9.8459716521636505E-13</v>
      </c>
      <c r="AM102" s="62">
        <f t="shared" si="59"/>
        <v>277.1228393544111</v>
      </c>
      <c r="AN102" s="62">
        <f ca="1">AVERAGE(OFFSET($AM$3,0,0,'Données projet'!$E$10+1,1))-AVERAGE(OFFSET($H$3,0,0,'Données projet'!$E$10+1,1))</f>
        <v>221.57008282490327</v>
      </c>
      <c r="AO102" s="62">
        <f t="shared" si="90"/>
        <v>320.19912501885199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0.68534899722895981</v>
      </c>
      <c r="AW102" s="23">
        <f>EXP(-LN(2)/2)*AW101+(1-EXP(-LN(2)/2))/(LN(2)/2)*AQ102*AT102*VLOOKUP('Données projet'!$B$10,Paramètres!$A$1:$I$89,3,0)*0.475*44/12</f>
        <v>1.4124164700311924E-10</v>
      </c>
      <c r="AX102" s="23">
        <f t="shared" si="60"/>
        <v>0.6853489973702015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368.99999999999966</v>
      </c>
      <c r="BE102" s="14">
        <f>BD102*VLOOKUP('Données projet'!$B$11,Paramètres!$A$1:$I$89,3,0)*VLOOKUP('Données projet'!$B$11,Paramètres!$A$1:$I$89,5,0)</f>
        <v>270.55079999999975</v>
      </c>
      <c r="BF102" s="14">
        <f t="shared" si="91"/>
        <v>64.966149081071777</v>
      </c>
      <c r="BG102" s="22">
        <f t="shared" si="61"/>
        <v>584.35868631619962</v>
      </c>
      <c r="BH102" s="62">
        <f t="shared" si="62"/>
        <v>861.4815256706097</v>
      </c>
      <c r="BI102" s="62">
        <f ca="1">AVERAGE(OFFSET($BH$3,0,0,'Données projet'!$E$11+1,1))-AVERAGE(OFFSET($H$3,0,0,'Données projet'!$E$11+1,1))</f>
        <v>400.4480038202409</v>
      </c>
      <c r="BJ102" s="62">
        <f t="shared" si="92"/>
        <v>384.86917865380076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4.1566564309169731</v>
      </c>
      <c r="BR102" s="23">
        <f>EXP(-LN(2)/2)*BR101+(1-EXP(-LN(2)/2))/(LN(2)/2)*BL102*BO102*VLOOKUP('Données projet'!$B$11,Paramètres!$A$1:$I$89,3,0)*0.475*44/12</f>
        <v>4.6531813665169374E-10</v>
      </c>
      <c r="BS102" s="24">
        <f t="shared" si="63"/>
        <v>4.1566564313822916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419.0448820879102</v>
      </c>
      <c r="T103" s="62">
        <f t="shared" si="88"/>
        <v>553.33038335026379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0.94462545139340448</v>
      </c>
      <c r="AB103" s="23">
        <f>EXP(-LN(2)/2)*AB102+(1-EXP(-LN(2)/2))/(LN(2)/2)*V103*Y103*VLOOKUP('Données projet'!$B$9,Paramètres!$A$1:$I$89,3,0)*0.475*44/12</f>
        <v>1.3330576920122436E-9</v>
      </c>
      <c r="AC103" s="24">
        <f t="shared" si="57"/>
        <v>0.94462545272646214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3.1036506698001178E-14</v>
      </c>
      <c r="AK103" s="14">
        <f t="shared" si="89"/>
        <v>5.3428243983771088E-13</v>
      </c>
      <c r="AL103" s="22">
        <f t="shared" si="58"/>
        <v>9.8459716521636505E-13</v>
      </c>
      <c r="AM103" s="62">
        <f t="shared" si="59"/>
        <v>277.40405518371017</v>
      </c>
      <c r="AN103" s="62">
        <f ca="1">AVERAGE(OFFSET($AM$3,0,0,'Données projet'!$E$10+1,1))-AVERAGE(OFFSET($H$3,0,0,'Données projet'!$E$10+1,1))</f>
        <v>221.57008282490327</v>
      </c>
      <c r="AO103" s="62">
        <f t="shared" si="90"/>
        <v>320.19912501885199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0.66660809285879652</v>
      </c>
      <c r="AW103" s="23">
        <f>EXP(-LN(2)/2)*AW102+(1-EXP(-LN(2)/2))/(LN(2)/2)*AQ103*AT103*VLOOKUP('Données projet'!$B$10,Paramètres!$A$1:$I$89,3,0)*0.475*44/12</f>
        <v>9.9872926381862226E-11</v>
      </c>
      <c r="AX103" s="23">
        <f t="shared" si="60"/>
        <v>0.66660809295866941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368.99999999999966</v>
      </c>
      <c r="BE103" s="14">
        <f>BD103*VLOOKUP('Données projet'!$B$11,Paramètres!$A$1:$I$89,3,0)*VLOOKUP('Données projet'!$B$11,Paramètres!$A$1:$I$89,5,0)</f>
        <v>270.55079999999975</v>
      </c>
      <c r="BF103" s="14">
        <f t="shared" si="91"/>
        <v>64.966149081071777</v>
      </c>
      <c r="BG103" s="22">
        <f t="shared" si="61"/>
        <v>584.35868631619962</v>
      </c>
      <c r="BH103" s="62">
        <f t="shared" si="62"/>
        <v>861.76274149990877</v>
      </c>
      <c r="BI103" s="62">
        <f ca="1">AVERAGE(OFFSET($BH$3,0,0,'Données projet'!$E$11+1,1))-AVERAGE(OFFSET($H$3,0,0,'Données projet'!$E$11+1,1))</f>
        <v>400.4480038202409</v>
      </c>
      <c r="BJ103" s="62">
        <f t="shared" si="92"/>
        <v>384.86917865380076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4.0429924422244872</v>
      </c>
      <c r="BR103" s="23">
        <f>EXP(-LN(2)/2)*BR102+(1-EXP(-LN(2)/2))/(LN(2)/2)*BL103*BO103*VLOOKUP('Données projet'!$B$11,Paramètres!$A$1:$I$89,3,0)*0.475*44/12</f>
        <v>3.2902960983550125E-10</v>
      </c>
      <c r="BS103" s="24">
        <f t="shared" si="63"/>
        <v>4.0429924425535164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419.0448820879102</v>
      </c>
      <c r="T104" s="62">
        <f t="shared" si="88"/>
        <v>553.33038335026379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0.91879461874935831</v>
      </c>
      <c r="AB104" s="23">
        <f>EXP(-LN(2)/2)*AB103+(1-EXP(-LN(2)/2))/(LN(2)/2)*V104*Y104*VLOOKUP('Données projet'!$B$9,Paramètres!$A$1:$I$89,3,0)*0.475*44/12</f>
        <v>9.426141337347456E-10</v>
      </c>
      <c r="AC104" s="24">
        <f t="shared" si="57"/>
        <v>0.9187946196919724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3.1036506698001178E-14</v>
      </c>
      <c r="AK104" s="14">
        <f t="shared" si="89"/>
        <v>5.3428243983771088E-13</v>
      </c>
      <c r="AL104" s="22">
        <f t="shared" si="58"/>
        <v>9.8459716521636505E-13</v>
      </c>
      <c r="AM104" s="62">
        <f t="shared" si="59"/>
        <v>277.68039254707537</v>
      </c>
      <c r="AN104" s="62">
        <f ca="1">AVERAGE(OFFSET($AM$3,0,0,'Données projet'!$E$10+1,1))-AVERAGE(OFFSET($H$3,0,0,'Données projet'!$E$10+1,1))</f>
        <v>221.57008282490327</v>
      </c>
      <c r="AO104" s="62">
        <f t="shared" si="90"/>
        <v>320.19912501885199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0.64837965950417664</v>
      </c>
      <c r="AW104" s="23">
        <f>EXP(-LN(2)/2)*AW103+(1-EXP(-LN(2)/2))/(LN(2)/2)*AQ104*AT104*VLOOKUP('Données projet'!$B$10,Paramètres!$A$1:$I$89,3,0)*0.475*44/12</f>
        <v>7.0620823501559621E-11</v>
      </c>
      <c r="AX104" s="23">
        <f t="shared" si="60"/>
        <v>0.64837965957479748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368.99999999999966</v>
      </c>
      <c r="BE104" s="14">
        <f>BD104*VLOOKUP('Données projet'!$B$11,Paramètres!$A$1:$I$89,3,0)*VLOOKUP('Données projet'!$B$11,Paramètres!$A$1:$I$89,5,0)</f>
        <v>270.55079999999975</v>
      </c>
      <c r="BF104" s="14">
        <f t="shared" si="91"/>
        <v>64.966149081071777</v>
      </c>
      <c r="BG104" s="22">
        <f t="shared" si="61"/>
        <v>584.35868631619962</v>
      </c>
      <c r="BH104" s="62">
        <f t="shared" si="62"/>
        <v>862.03907886327397</v>
      </c>
      <c r="BI104" s="62">
        <f ca="1">AVERAGE(OFFSET($BH$3,0,0,'Données projet'!$E$11+1,1))-AVERAGE(OFFSET($H$3,0,0,'Données projet'!$E$11+1,1))</f>
        <v>400.4480038202409</v>
      </c>
      <c r="BJ104" s="62">
        <f t="shared" si="92"/>
        <v>384.86917865380076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3.9324366012801266</v>
      </c>
      <c r="BR104" s="23">
        <f>EXP(-LN(2)/2)*BR103+(1-EXP(-LN(2)/2))/(LN(2)/2)*BL104*BO104*VLOOKUP('Données projet'!$B$11,Paramètres!$A$1:$I$89,3,0)*0.475*44/12</f>
        <v>2.326590683258469E-10</v>
      </c>
      <c r="BS104" s="24">
        <f t="shared" si="63"/>
        <v>3.9324366015127858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419.0448820879102</v>
      </c>
      <c r="T105" s="62">
        <f t="shared" si="88"/>
        <v>553.33038335026379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0.89367013158234798</v>
      </c>
      <c r="AB105" s="23">
        <f>EXP(-LN(2)/2)*AB104+(1-EXP(-LN(2)/2))/(LN(2)/2)*V105*Y105*VLOOKUP('Données projet'!$B$9,Paramètres!$A$1:$I$89,3,0)*0.475*44/12</f>
        <v>6.665288460061218E-10</v>
      </c>
      <c r="AC105" s="24">
        <f t="shared" si="57"/>
        <v>0.89367013224887681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3.1036506698001178E-14</v>
      </c>
      <c r="AK105" s="14">
        <f t="shared" si="89"/>
        <v>5.3428243983771088E-13</v>
      </c>
      <c r="AL105" s="22">
        <f t="shared" si="58"/>
        <v>9.8459716521636505E-13</v>
      </c>
      <c r="AM105" s="62">
        <f t="shared" si="59"/>
        <v>277.95193607498391</v>
      </c>
      <c r="AN105" s="62">
        <f ca="1">AVERAGE(OFFSET($AM$3,0,0,'Données projet'!$E$10+1,1))-AVERAGE(OFFSET($H$3,0,0,'Données projet'!$E$10+1,1))</f>
        <v>221.57008282490327</v>
      </c>
      <c r="AO105" s="62">
        <f t="shared" si="90"/>
        <v>320.19912501885199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0.63064968361823048</v>
      </c>
      <c r="AW105" s="23">
        <f>EXP(-LN(2)/2)*AW104+(1-EXP(-LN(2)/2))/(LN(2)/2)*AQ105*AT105*VLOOKUP('Données projet'!$B$10,Paramètres!$A$1:$I$89,3,0)*0.475*44/12</f>
        <v>4.9936463190931113E-11</v>
      </c>
      <c r="AX105" s="23">
        <f t="shared" si="60"/>
        <v>0.63064968366816698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368.99999999999966</v>
      </c>
      <c r="BE105" s="14">
        <f>BD105*VLOOKUP('Données projet'!$B$11,Paramètres!$A$1:$I$89,3,0)*VLOOKUP('Données projet'!$B$11,Paramètres!$A$1:$I$89,5,0)</f>
        <v>270.55079999999975</v>
      </c>
      <c r="BF105" s="14">
        <f t="shared" si="91"/>
        <v>64.966149081071777</v>
      </c>
      <c r="BG105" s="22">
        <f t="shared" si="61"/>
        <v>584.35868631619962</v>
      </c>
      <c r="BH105" s="62">
        <f t="shared" si="62"/>
        <v>862.31062239118251</v>
      </c>
      <c r="BI105" s="62">
        <f ca="1">AVERAGE(OFFSET($BH$3,0,0,'Données projet'!$E$11+1,1))-AVERAGE(OFFSET($H$3,0,0,'Données projet'!$E$11+1,1))</f>
        <v>400.4480038202409</v>
      </c>
      <c r="BJ105" s="62">
        <f t="shared" si="92"/>
        <v>384.86917865380076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3.8249039156202684</v>
      </c>
      <c r="BR105" s="23">
        <f>EXP(-LN(2)/2)*BR104+(1-EXP(-LN(2)/2))/(LN(2)/2)*BL105*BO105*VLOOKUP('Données projet'!$B$11,Paramètres!$A$1:$I$89,3,0)*0.475*44/12</f>
        <v>1.6451480491775065E-10</v>
      </c>
      <c r="BS105" s="24">
        <f t="shared" si="63"/>
        <v>3.8249039157847831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419.0448820879102</v>
      </c>
      <c r="T106" s="62">
        <f t="shared" si="88"/>
        <v>553.33038335026379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0.86923267483815891</v>
      </c>
      <c r="AB106" s="23">
        <f>EXP(-LN(2)/2)*AB105+(1-EXP(-LN(2)/2))/(LN(2)/2)*V106*Y106*VLOOKUP('Données projet'!$B$9,Paramètres!$A$1:$I$89,3,0)*0.475*44/12</f>
        <v>4.713070668673728E-10</v>
      </c>
      <c r="AC106" s="24">
        <f t="shared" si="57"/>
        <v>0.86923267530946602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3.1036506698001178E-14</v>
      </c>
      <c r="AK106" s="14">
        <f t="shared" si="89"/>
        <v>5.3428243983771088E-13</v>
      </c>
      <c r="AL106" s="22">
        <f t="shared" si="58"/>
        <v>9.8459716521636505E-13</v>
      </c>
      <c r="AM106" s="62">
        <f t="shared" si="59"/>
        <v>278.21876892976366</v>
      </c>
      <c r="AN106" s="62">
        <f ca="1">AVERAGE(OFFSET($AM$3,0,0,'Données projet'!$E$10+1,1))-AVERAGE(OFFSET($H$3,0,0,'Données projet'!$E$10+1,1))</f>
        <v>221.57008282490327</v>
      </c>
      <c r="AO106" s="62">
        <f t="shared" si="90"/>
        <v>320.19912501885199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0.61340453485526447</v>
      </c>
      <c r="AW106" s="23">
        <f>EXP(-LN(2)/2)*AW105+(1-EXP(-LN(2)/2))/(LN(2)/2)*AQ106*AT106*VLOOKUP('Données projet'!$B$10,Paramètres!$A$1:$I$89,3,0)*0.475*44/12</f>
        <v>3.5310411750779811E-11</v>
      </c>
      <c r="AX106" s="23">
        <f t="shared" si="60"/>
        <v>0.61340453489057489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368.99999999999966</v>
      </c>
      <c r="BE106" s="14">
        <f>BD106*VLOOKUP('Données projet'!$B$11,Paramètres!$A$1:$I$89,3,0)*VLOOKUP('Données projet'!$B$11,Paramètres!$A$1:$I$89,5,0)</f>
        <v>270.55079999999975</v>
      </c>
      <c r="BF106" s="14">
        <f t="shared" si="91"/>
        <v>64.966149081071777</v>
      </c>
      <c r="BG106" s="22">
        <f t="shared" si="61"/>
        <v>584.35868631619962</v>
      </c>
      <c r="BH106" s="62">
        <f t="shared" si="62"/>
        <v>862.57745524596226</v>
      </c>
      <c r="BI106" s="62">
        <f ca="1">AVERAGE(OFFSET($BH$3,0,0,'Données projet'!$E$11+1,1))-AVERAGE(OFFSET($H$3,0,0,'Données projet'!$E$11+1,1))</f>
        <v>400.4480038202409</v>
      </c>
      <c r="BJ106" s="62">
        <f t="shared" si="92"/>
        <v>384.86917865380076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3.7203117169046771</v>
      </c>
      <c r="BR106" s="23">
        <f>EXP(-LN(2)/2)*BR105+(1-EXP(-LN(2)/2))/(LN(2)/2)*BL106*BO106*VLOOKUP('Données projet'!$B$11,Paramètres!$A$1:$I$89,3,0)*0.475*44/12</f>
        <v>1.1632953416292347E-10</v>
      </c>
      <c r="BS106" s="24">
        <f t="shared" si="63"/>
        <v>3.7203117170210067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419.0448820879102</v>
      </c>
      <c r="T107" s="62">
        <f t="shared" si="88"/>
        <v>553.33038335026379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0.84546346163374975</v>
      </c>
      <c r="AB107" s="23">
        <f>EXP(-LN(2)/2)*AB106+(1-EXP(-LN(2)/2))/(LN(2)/2)*V107*Y107*VLOOKUP('Données projet'!$B$9,Paramètres!$A$1:$I$89,3,0)*0.475*44/12</f>
        <v>3.332644230030609E-10</v>
      </c>
      <c r="AC107" s="24">
        <f t="shared" si="57"/>
        <v>0.84546346196701416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3.1036506698001178E-14</v>
      </c>
      <c r="AK107" s="14">
        <f t="shared" si="89"/>
        <v>5.3428243983771088E-13</v>
      </c>
      <c r="AL107" s="22">
        <f t="shared" si="58"/>
        <v>9.8459716521636505E-13</v>
      </c>
      <c r="AM107" s="62">
        <f t="shared" si="59"/>
        <v>278.48097283106188</v>
      </c>
      <c r="AN107" s="62">
        <f ca="1">AVERAGE(OFFSET($AM$3,0,0,'Données projet'!$E$10+1,1))-AVERAGE(OFFSET($H$3,0,0,'Données projet'!$E$10+1,1))</f>
        <v>221.57008282490327</v>
      </c>
      <c r="AO107" s="62">
        <f t="shared" si="90"/>
        <v>320.19912501885199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0.59663095559210477</v>
      </c>
      <c r="AW107" s="23">
        <f>EXP(-LN(2)/2)*AW106+(1-EXP(-LN(2)/2))/(LN(2)/2)*AQ107*AT107*VLOOKUP('Données projet'!$B$10,Paramètres!$A$1:$I$89,3,0)*0.475*44/12</f>
        <v>2.4968231595465556E-11</v>
      </c>
      <c r="AX107" s="23">
        <f t="shared" si="60"/>
        <v>0.59663095561707302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368.99999999999966</v>
      </c>
      <c r="BE107" s="14">
        <f>BD107*VLOOKUP('Données projet'!$B$11,Paramètres!$A$1:$I$89,3,0)*VLOOKUP('Données projet'!$B$11,Paramètres!$A$1:$I$89,5,0)</f>
        <v>270.55079999999975</v>
      </c>
      <c r="BF107" s="14">
        <f t="shared" si="91"/>
        <v>64.966149081071777</v>
      </c>
      <c r="BG107" s="22">
        <f t="shared" si="61"/>
        <v>584.35868631619962</v>
      </c>
      <c r="BH107" s="62">
        <f t="shared" si="62"/>
        <v>862.83965914726059</v>
      </c>
      <c r="BI107" s="62">
        <f ca="1">AVERAGE(OFFSET($BH$3,0,0,'Données projet'!$E$11+1,1))-AVERAGE(OFFSET($H$3,0,0,'Données projet'!$E$11+1,1))</f>
        <v>400.4480038202409</v>
      </c>
      <c r="BJ107" s="62">
        <f t="shared" si="92"/>
        <v>384.86917865380076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3.6185795973632282</v>
      </c>
      <c r="BR107" s="23">
        <f>EXP(-LN(2)/2)*BR106+(1-EXP(-LN(2)/2))/(LN(2)/2)*BL107*BO107*VLOOKUP('Données projet'!$B$11,Paramètres!$A$1:$I$89,3,0)*0.475*44/12</f>
        <v>8.2257402458875338E-11</v>
      </c>
      <c r="BS107" s="24">
        <f t="shared" si="63"/>
        <v>3.6185795974454855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419.0448820879102</v>
      </c>
      <c r="T108" s="62">
        <f t="shared" si="88"/>
        <v>553.33038335026379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0.8223442188143838</v>
      </c>
      <c r="AB108" s="23">
        <f>EXP(-LN(2)/2)*AB107+(1-EXP(-LN(2)/2))/(LN(2)/2)*V108*Y108*VLOOKUP('Données projet'!$B$9,Paramètres!$A$1:$I$89,3,0)*0.475*44/12</f>
        <v>2.356535334336864E-10</v>
      </c>
      <c r="AC108" s="24">
        <f t="shared" si="57"/>
        <v>0.8223442190500373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3.1036506698001178E-14</v>
      </c>
      <c r="AK108" s="14">
        <f t="shared" si="89"/>
        <v>5.3428243983771088E-13</v>
      </c>
      <c r="AL108" s="22">
        <f t="shared" si="58"/>
        <v>9.8459716521636505E-13</v>
      </c>
      <c r="AM108" s="62">
        <f t="shared" si="59"/>
        <v>278.73862808087273</v>
      </c>
      <c r="AN108" s="62">
        <f ca="1">AVERAGE(OFFSET($AM$3,0,0,'Données projet'!$E$10+1,1))-AVERAGE(OFFSET($H$3,0,0,'Données projet'!$E$10+1,1))</f>
        <v>221.57008282490327</v>
      </c>
      <c r="AO108" s="62">
        <f t="shared" si="90"/>
        <v>320.19912501885199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0.58031605073598036</v>
      </c>
      <c r="AW108" s="23">
        <f>EXP(-LN(2)/2)*AW107+(1-EXP(-LN(2)/2))/(LN(2)/2)*AQ108*AT108*VLOOKUP('Données projet'!$B$10,Paramètres!$A$1:$I$89,3,0)*0.475*44/12</f>
        <v>1.7655205875389905E-11</v>
      </c>
      <c r="AX108" s="23">
        <f t="shared" si="60"/>
        <v>0.58031605075363557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368.99999999999966</v>
      </c>
      <c r="BE108" s="14">
        <f>BD108*VLOOKUP('Données projet'!$B$11,Paramètres!$A$1:$I$89,3,0)*VLOOKUP('Données projet'!$B$11,Paramètres!$A$1:$I$89,5,0)</f>
        <v>270.55079999999975</v>
      </c>
      <c r="BF108" s="14">
        <f t="shared" si="91"/>
        <v>64.966149081071777</v>
      </c>
      <c r="BG108" s="22">
        <f t="shared" si="61"/>
        <v>584.35868631619962</v>
      </c>
      <c r="BH108" s="62">
        <f t="shared" si="62"/>
        <v>863.09731439707139</v>
      </c>
      <c r="BI108" s="62">
        <f ca="1">AVERAGE(OFFSET($BH$3,0,0,'Données projet'!$E$11+1,1))-AVERAGE(OFFSET($H$3,0,0,'Données projet'!$E$11+1,1))</f>
        <v>400.4480038202409</v>
      </c>
      <c r="BJ108" s="62">
        <f t="shared" si="92"/>
        <v>384.86917865380076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3.5196293479805001</v>
      </c>
      <c r="BR108" s="23">
        <f>EXP(-LN(2)/2)*BR107+(1-EXP(-LN(2)/2))/(LN(2)/2)*BL108*BO108*VLOOKUP('Données projet'!$B$11,Paramètres!$A$1:$I$89,3,0)*0.475*44/12</f>
        <v>5.8164767081461743E-11</v>
      </c>
      <c r="BS108" s="24">
        <f t="shared" si="63"/>
        <v>3.5196293480386647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419.0448820879102</v>
      </c>
      <c r="T109" s="62">
        <f t="shared" si="88"/>
        <v>553.33038335026379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0.79985717290570146</v>
      </c>
      <c r="AB109" s="23">
        <f>EXP(-LN(2)/2)*AB108+(1-EXP(-LN(2)/2))/(LN(2)/2)*V109*Y109*VLOOKUP('Données projet'!$B$9,Paramètres!$A$1:$I$89,3,0)*0.475*44/12</f>
        <v>1.6663221150153045E-10</v>
      </c>
      <c r="AC109" s="24">
        <f t="shared" si="57"/>
        <v>0.79985717307233373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3.1036506698001178E-14</v>
      </c>
      <c r="AK109" s="14">
        <f t="shared" si="89"/>
        <v>5.3428243983771088E-13</v>
      </c>
      <c r="AL109" s="22">
        <f t="shared" si="58"/>
        <v>9.8459716521636505E-13</v>
      </c>
      <c r="AM109" s="62">
        <f t="shared" si="59"/>
        <v>278.99181358813007</v>
      </c>
      <c r="AN109" s="62">
        <f ca="1">AVERAGE(OFFSET($AM$3,0,0,'Données projet'!$E$10+1,1))-AVERAGE(OFFSET($H$3,0,0,'Données projet'!$E$10+1,1))</f>
        <v>221.57008282490327</v>
      </c>
      <c r="AO109" s="62">
        <f t="shared" si="90"/>
        <v>320.19912501885199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0.56444727781111015</v>
      </c>
      <c r="AW109" s="23">
        <f>EXP(-LN(2)/2)*AW108+(1-EXP(-LN(2)/2))/(LN(2)/2)*AQ109*AT109*VLOOKUP('Données projet'!$B$10,Paramètres!$A$1:$I$89,3,0)*0.475*44/12</f>
        <v>1.2484115797732778E-11</v>
      </c>
      <c r="AX109" s="23">
        <f t="shared" si="60"/>
        <v>0.56444727782359427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368.99999999999966</v>
      </c>
      <c r="BE109" s="14">
        <f>BD109*VLOOKUP('Données projet'!$B$11,Paramètres!$A$1:$I$89,3,0)*VLOOKUP('Données projet'!$B$11,Paramètres!$A$1:$I$89,5,0)</f>
        <v>270.55079999999975</v>
      </c>
      <c r="BF109" s="14">
        <f t="shared" si="91"/>
        <v>64.966149081071777</v>
      </c>
      <c r="BG109" s="22">
        <f t="shared" si="61"/>
        <v>584.35868631619962</v>
      </c>
      <c r="BH109" s="62">
        <f t="shared" si="62"/>
        <v>863.35049990432867</v>
      </c>
      <c r="BI109" s="62">
        <f ca="1">AVERAGE(OFFSET($BH$3,0,0,'Données projet'!$E$11+1,1))-AVERAGE(OFFSET($H$3,0,0,'Données projet'!$E$11+1,1))</f>
        <v>400.4480038202409</v>
      </c>
      <c r="BJ109" s="62">
        <f t="shared" si="92"/>
        <v>384.86917865380076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3.4233848983707102</v>
      </c>
      <c r="BR109" s="23">
        <f>EXP(-LN(2)/2)*BR108+(1-EXP(-LN(2)/2))/(LN(2)/2)*BL109*BO109*VLOOKUP('Données projet'!$B$11,Paramètres!$A$1:$I$89,3,0)*0.475*44/12</f>
        <v>4.1128701229437675E-11</v>
      </c>
      <c r="BS109" s="24">
        <f t="shared" si="63"/>
        <v>3.4233848984118391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419.0448820879102</v>
      </c>
      <c r="T110" s="62">
        <f t="shared" si="88"/>
        <v>553.33038335026379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0.77798503644993444</v>
      </c>
      <c r="AB110" s="23">
        <f>EXP(-LN(2)/2)*AB109+(1-EXP(-LN(2)/2))/(LN(2)/2)*V110*Y110*VLOOKUP('Données projet'!$B$9,Paramètres!$A$1:$I$89,3,0)*0.475*44/12</f>
        <v>1.178267667168432E-10</v>
      </c>
      <c r="AC110" s="24">
        <f t="shared" si="57"/>
        <v>0.77798503656776119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3.1036506698001178E-14</v>
      </c>
      <c r="AK110" s="14">
        <f t="shared" si="89"/>
        <v>5.3428243983771088E-13</v>
      </c>
      <c r="AL110" s="22">
        <f t="shared" si="58"/>
        <v>9.8459716521636505E-13</v>
      </c>
      <c r="AM110" s="62">
        <f t="shared" si="59"/>
        <v>279.24060689287461</v>
      </c>
      <c r="AN110" s="62">
        <f ca="1">AVERAGE(OFFSET($AM$3,0,0,'Données projet'!$E$10+1,1))-AVERAGE(OFFSET($H$3,0,0,'Données projet'!$E$10+1,1))</f>
        <v>221.57008282490327</v>
      </c>
      <c r="AO110" s="62">
        <f t="shared" si="90"/>
        <v>320.19912501885199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0.54901243731637306</v>
      </c>
      <c r="AW110" s="23">
        <f>EXP(-LN(2)/2)*AW109+(1-EXP(-LN(2)/2))/(LN(2)/2)*AQ110*AT110*VLOOKUP('Données projet'!$B$10,Paramètres!$A$1:$I$89,3,0)*0.475*44/12</f>
        <v>8.8276029376949526E-12</v>
      </c>
      <c r="AX110" s="23">
        <f t="shared" si="60"/>
        <v>0.54901243732520066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368.99999999999966</v>
      </c>
      <c r="BE110" s="14">
        <f>BD110*VLOOKUP('Données projet'!$B$11,Paramètres!$A$1:$I$89,3,0)*VLOOKUP('Données projet'!$B$11,Paramètres!$A$1:$I$89,5,0)</f>
        <v>270.55079999999975</v>
      </c>
      <c r="BF110" s="14">
        <f t="shared" si="91"/>
        <v>64.966149081071777</v>
      </c>
      <c r="BG110" s="22">
        <f t="shared" si="61"/>
        <v>584.35868631619962</v>
      </c>
      <c r="BH110" s="62">
        <f t="shared" si="62"/>
        <v>863.59929320907327</v>
      </c>
      <c r="BI110" s="62">
        <f ca="1">AVERAGE(OFFSET($BH$3,0,0,'Données projet'!$E$11+1,1))-AVERAGE(OFFSET($H$3,0,0,'Données projet'!$E$11+1,1))</f>
        <v>400.4480038202409</v>
      </c>
      <c r="BJ110" s="62">
        <f t="shared" si="92"/>
        <v>384.86917865380076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3.3297722582967757</v>
      </c>
      <c r="BR110" s="23">
        <f>EXP(-LN(2)/2)*BR109+(1-EXP(-LN(2)/2))/(LN(2)/2)*BL110*BO110*VLOOKUP('Données projet'!$B$11,Paramètres!$A$1:$I$89,3,0)*0.475*44/12</f>
        <v>2.9082383540730875E-11</v>
      </c>
      <c r="BS110" s="24">
        <f t="shared" si="63"/>
        <v>3.3297722583258582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419.0448820879102</v>
      </c>
      <c r="T111" s="62">
        <f t="shared" si="88"/>
        <v>553.33038335026379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0.75671099471575598</v>
      </c>
      <c r="AB111" s="23">
        <f>EXP(-LN(2)/2)*AB110+(1-EXP(-LN(2)/2))/(LN(2)/2)*V111*Y111*VLOOKUP('Données projet'!$B$9,Paramètres!$A$1:$I$89,3,0)*0.475*44/12</f>
        <v>8.3316105750765225E-11</v>
      </c>
      <c r="AC111" s="24">
        <f t="shared" si="57"/>
        <v>0.75671099479907211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3.1036506698001178E-14</v>
      </c>
      <c r="AK111" s="14">
        <f t="shared" si="89"/>
        <v>5.3428243983771088E-13</v>
      </c>
      <c r="AL111" s="22">
        <f t="shared" si="58"/>
        <v>9.8459716521636505E-13</v>
      </c>
      <c r="AM111" s="62">
        <f t="shared" si="59"/>
        <v>279.48508419000029</v>
      </c>
      <c r="AN111" s="62">
        <f ca="1">AVERAGE(OFFSET($AM$3,0,0,'Données projet'!$E$10+1,1))-AVERAGE(OFFSET($H$3,0,0,'Données projet'!$E$10+1,1))</f>
        <v>221.57008282490327</v>
      </c>
      <c r="AO111" s="62">
        <f t="shared" si="90"/>
        <v>320.19912501885199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0.5339996633466475</v>
      </c>
      <c r="AW111" s="23">
        <f>EXP(-LN(2)/2)*AW110+(1-EXP(-LN(2)/2))/(LN(2)/2)*AQ111*AT111*VLOOKUP('Données projet'!$B$10,Paramètres!$A$1:$I$89,3,0)*0.475*44/12</f>
        <v>6.2420578988663891E-12</v>
      </c>
      <c r="AX111" s="23">
        <f t="shared" si="60"/>
        <v>0.53399966335288951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368.99999999999966</v>
      </c>
      <c r="BE111" s="14">
        <f>BD111*VLOOKUP('Données projet'!$B$11,Paramètres!$A$1:$I$89,3,0)*VLOOKUP('Données projet'!$B$11,Paramètres!$A$1:$I$89,5,0)</f>
        <v>270.55079999999975</v>
      </c>
      <c r="BF111" s="14">
        <f t="shared" si="91"/>
        <v>64.966149081071777</v>
      </c>
      <c r="BG111" s="22">
        <f t="shared" si="61"/>
        <v>584.35868631619962</v>
      </c>
      <c r="BH111" s="62">
        <f t="shared" si="62"/>
        <v>863.84377050619901</v>
      </c>
      <c r="BI111" s="62">
        <f ca="1">AVERAGE(OFFSET($BH$3,0,0,'Données projet'!$E$11+1,1))-AVERAGE(OFFSET($H$3,0,0,'Données projet'!$E$11+1,1))</f>
        <v>400.4480038202409</v>
      </c>
      <c r="BJ111" s="62">
        <f t="shared" si="92"/>
        <v>384.86917865380076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3.2387194607885377</v>
      </c>
      <c r="BR111" s="23">
        <f>EXP(-LN(2)/2)*BR110+(1-EXP(-LN(2)/2))/(LN(2)/2)*BL111*BO111*VLOOKUP('Données projet'!$B$11,Paramètres!$A$1:$I$89,3,0)*0.475*44/12</f>
        <v>2.0564350614718841E-11</v>
      </c>
      <c r="BS111" s="24">
        <f t="shared" si="63"/>
        <v>3.2387194608091021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419.0448820879102</v>
      </c>
      <c r="T112" s="62">
        <f t="shared" si="88"/>
        <v>553.33038335026379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0.73601869277155185</v>
      </c>
      <c r="AB112" s="23">
        <f>EXP(-LN(2)/2)*AB111+(1-EXP(-LN(2)/2))/(LN(2)/2)*V112*Y112*VLOOKUP('Données projet'!$B$9,Paramètres!$A$1:$I$89,3,0)*0.475*44/12</f>
        <v>5.89133833584216E-11</v>
      </c>
      <c r="AC112" s="24">
        <f t="shared" si="57"/>
        <v>0.73601869283046528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3.1036506698001178E-14</v>
      </c>
      <c r="AK112" s="14">
        <f t="shared" si="89"/>
        <v>5.3428243983771088E-13</v>
      </c>
      <c r="AL112" s="22">
        <f t="shared" si="58"/>
        <v>9.8459716521636505E-13</v>
      </c>
      <c r="AM112" s="62">
        <f t="shared" si="59"/>
        <v>279.72532035259024</v>
      </c>
      <c r="AN112" s="62">
        <f ca="1">AVERAGE(OFFSET($AM$3,0,0,'Données projet'!$E$10+1,1))-AVERAGE(OFFSET($H$3,0,0,'Données projet'!$E$10+1,1))</f>
        <v>221.57008282490327</v>
      </c>
      <c r="AO112" s="62">
        <f t="shared" si="90"/>
        <v>320.19912501885199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0.51939741447061161</v>
      </c>
      <c r="AW112" s="23">
        <f>EXP(-LN(2)/2)*AW111+(1-EXP(-LN(2)/2))/(LN(2)/2)*AQ112*AT112*VLOOKUP('Données projet'!$B$10,Paramètres!$A$1:$I$89,3,0)*0.475*44/12</f>
        <v>4.4138014688474763E-12</v>
      </c>
      <c r="AX112" s="23">
        <f t="shared" si="60"/>
        <v>0.51939741447502541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368.99999999999966</v>
      </c>
      <c r="BE112" s="14">
        <f>BD112*VLOOKUP('Données projet'!$B$11,Paramètres!$A$1:$I$89,3,0)*VLOOKUP('Données projet'!$B$11,Paramètres!$A$1:$I$89,5,0)</f>
        <v>270.55079999999975</v>
      </c>
      <c r="BF112" s="14">
        <f t="shared" si="91"/>
        <v>64.966149081071777</v>
      </c>
      <c r="BG112" s="22">
        <f t="shared" si="61"/>
        <v>584.35868631619962</v>
      </c>
      <c r="BH112" s="62">
        <f t="shared" si="62"/>
        <v>864.0840066687889</v>
      </c>
      <c r="BI112" s="62">
        <f ca="1">AVERAGE(OFFSET($BH$3,0,0,'Données projet'!$E$11+1,1))-AVERAGE(OFFSET($H$3,0,0,'Données projet'!$E$11+1,1))</f>
        <v>400.4480038202409</v>
      </c>
      <c r="BJ112" s="62">
        <f t="shared" si="92"/>
        <v>384.86917865380076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3.1501565068164208</v>
      </c>
      <c r="BR112" s="23">
        <f>EXP(-LN(2)/2)*BR111+(1-EXP(-LN(2)/2))/(LN(2)/2)*BL112*BO112*VLOOKUP('Données projet'!$B$11,Paramètres!$A$1:$I$89,3,0)*0.475*44/12</f>
        <v>1.4541191770365441E-11</v>
      </c>
      <c r="BS112" s="24">
        <f t="shared" si="63"/>
        <v>3.150156506830962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419.0448820879102</v>
      </c>
      <c r="T113" s="62">
        <f t="shared" si="88"/>
        <v>553.33038335026379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0.71589222291217292</v>
      </c>
      <c r="AB113" s="23">
        <f>EXP(-LN(2)/2)*AB112+(1-EXP(-LN(2)/2))/(LN(2)/2)*V113*Y113*VLOOKUP('Données projet'!$B$9,Paramètres!$A$1:$I$89,3,0)*0.475*44/12</f>
        <v>4.1658052875382612E-11</v>
      </c>
      <c r="AC113" s="24">
        <f t="shared" si="57"/>
        <v>0.71589222295383093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3.1036506698001178E-14</v>
      </c>
      <c r="AK113" s="14">
        <f t="shared" si="89"/>
        <v>5.3428243983771088E-13</v>
      </c>
      <c r="AL113" s="22">
        <f t="shared" si="58"/>
        <v>9.8459716521636505E-13</v>
      </c>
      <c r="AM113" s="62">
        <f t="shared" si="59"/>
        <v>279.96138895484683</v>
      </c>
      <c r="AN113" s="62">
        <f ca="1">AVERAGE(OFFSET($AM$3,0,0,'Données projet'!$E$10+1,1))-AVERAGE(OFFSET($H$3,0,0,'Données projet'!$E$10+1,1))</f>
        <v>221.57008282490327</v>
      </c>
      <c r="AO113" s="62">
        <f t="shared" si="90"/>
        <v>320.19912501885199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0.5051944648579898</v>
      </c>
      <c r="AW113" s="23">
        <f>EXP(-LN(2)/2)*AW112+(1-EXP(-LN(2)/2))/(LN(2)/2)*AQ113*AT113*VLOOKUP('Données projet'!$B$10,Paramètres!$A$1:$I$89,3,0)*0.475*44/12</f>
        <v>3.1210289494331946E-12</v>
      </c>
      <c r="AX113" s="23">
        <f t="shared" si="60"/>
        <v>0.50519446486111086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368.99999999999966</v>
      </c>
      <c r="BE113" s="14">
        <f>BD113*VLOOKUP('Données projet'!$B$11,Paramètres!$A$1:$I$89,3,0)*VLOOKUP('Données projet'!$B$11,Paramètres!$A$1:$I$89,5,0)</f>
        <v>270.55079999999975</v>
      </c>
      <c r="BF113" s="14">
        <f t="shared" si="91"/>
        <v>64.966149081071777</v>
      </c>
      <c r="BG113" s="22">
        <f t="shared" si="61"/>
        <v>584.35868631619962</v>
      </c>
      <c r="BH113" s="62">
        <f t="shared" si="62"/>
        <v>864.32007527104543</v>
      </c>
      <c r="BI113" s="62">
        <f ca="1">AVERAGE(OFFSET($BH$3,0,0,'Données projet'!$E$11+1,1))-AVERAGE(OFFSET($H$3,0,0,'Données projet'!$E$11+1,1))</f>
        <v>400.4480038202409</v>
      </c>
      <c r="BJ113" s="62">
        <f t="shared" si="92"/>
        <v>384.86917865380076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3.0640153114779949</v>
      </c>
      <c r="BR113" s="23">
        <f>EXP(-LN(2)/2)*BR112+(1-EXP(-LN(2)/2))/(LN(2)/2)*BL113*BO113*VLOOKUP('Données projet'!$B$11,Paramètres!$A$1:$I$89,3,0)*0.475*44/12</f>
        <v>1.0282175307359422E-11</v>
      </c>
      <c r="BS113" s="24">
        <f t="shared" si="63"/>
        <v>3.0640153114882769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419.0448820879102</v>
      </c>
      <c r="T114" s="62">
        <f t="shared" si="88"/>
        <v>553.33038335026379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0.69631611242950375</v>
      </c>
      <c r="AB114" s="23">
        <f>EXP(-LN(2)/2)*AB113+(1-EXP(-LN(2)/2))/(LN(2)/2)*V114*Y114*VLOOKUP('Données projet'!$B$9,Paramètres!$A$1:$I$89,3,0)*0.475*44/12</f>
        <v>2.94566916792108E-11</v>
      </c>
      <c r="AC114" s="24">
        <f t="shared" si="57"/>
        <v>0.69631611245896041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3.1036506698001178E-14</v>
      </c>
      <c r="AK114" s="14">
        <f t="shared" si="89"/>
        <v>5.3428243983771088E-13</v>
      </c>
      <c r="AL114" s="22">
        <f t="shared" si="58"/>
        <v>9.8459716521636505E-13</v>
      </c>
      <c r="AM114" s="62">
        <f t="shared" si="59"/>
        <v>280.19336229462454</v>
      </c>
      <c r="AN114" s="62">
        <f ca="1">AVERAGE(OFFSET($AM$3,0,0,'Données projet'!$E$10+1,1))-AVERAGE(OFFSET($H$3,0,0,'Données projet'!$E$10+1,1))</f>
        <v>221.57008282490327</v>
      </c>
      <c r="AO114" s="62">
        <f t="shared" si="90"/>
        <v>320.19912501885199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0.4913798956494258</v>
      </c>
      <c r="AW114" s="23">
        <f>EXP(-LN(2)/2)*AW113+(1-EXP(-LN(2)/2))/(LN(2)/2)*AQ114*AT114*VLOOKUP('Données projet'!$B$10,Paramètres!$A$1:$I$89,3,0)*0.475*44/12</f>
        <v>2.2069007344237382E-12</v>
      </c>
      <c r="AX114" s="23">
        <f t="shared" si="60"/>
        <v>0.4913798956516327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368.99999999999966</v>
      </c>
      <c r="BE114" s="14">
        <f>BD114*VLOOKUP('Données projet'!$B$11,Paramètres!$A$1:$I$89,3,0)*VLOOKUP('Données projet'!$B$11,Paramètres!$A$1:$I$89,5,0)</f>
        <v>270.55079999999975</v>
      </c>
      <c r="BF114" s="14">
        <f t="shared" si="91"/>
        <v>64.966149081071777</v>
      </c>
      <c r="BG114" s="22">
        <f t="shared" si="61"/>
        <v>584.35868631619962</v>
      </c>
      <c r="BH114" s="62">
        <f t="shared" si="62"/>
        <v>864.55204861082325</v>
      </c>
      <c r="BI114" s="62">
        <f ca="1">AVERAGE(OFFSET($BH$3,0,0,'Données projet'!$E$11+1,1))-AVERAGE(OFFSET($H$3,0,0,'Données projet'!$E$11+1,1))</f>
        <v>400.4480038202409</v>
      </c>
      <c r="BJ114" s="62">
        <f t="shared" si="92"/>
        <v>384.86917865380076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2.9802296516560669</v>
      </c>
      <c r="BR114" s="23">
        <f>EXP(-LN(2)/2)*BR113+(1-EXP(-LN(2)/2))/(LN(2)/2)*BL114*BO114*VLOOKUP('Données projet'!$B$11,Paramètres!$A$1:$I$89,3,0)*0.475*44/12</f>
        <v>7.2705958851827212E-12</v>
      </c>
      <c r="BS114" s="24">
        <f t="shared" si="63"/>
        <v>2.9802296516633375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419.0448820879102</v>
      </c>
      <c r="T115" s="62">
        <f t="shared" si="88"/>
        <v>553.33038335026379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0.67727531171744604</v>
      </c>
      <c r="AB115" s="23">
        <f>EXP(-LN(2)/2)*AB114+(1-EXP(-LN(2)/2))/(LN(2)/2)*V115*Y115*VLOOKUP('Données projet'!$B$9,Paramètres!$A$1:$I$89,3,0)*0.475*44/12</f>
        <v>2.0829026437691306E-11</v>
      </c>
      <c r="AC115" s="24">
        <f t="shared" si="57"/>
        <v>0.67727531173827504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3.1036506698001178E-14</v>
      </c>
      <c r="AK115" s="14">
        <f t="shared" si="89"/>
        <v>5.3428243983771088E-13</v>
      </c>
      <c r="AL115" s="22">
        <f t="shared" si="58"/>
        <v>9.8459716521636505E-13</v>
      </c>
      <c r="AM115" s="62">
        <f t="shared" si="59"/>
        <v>280.42131141557184</v>
      </c>
      <c r="AN115" s="62">
        <f ca="1">AVERAGE(OFFSET($AM$3,0,0,'Données projet'!$E$10+1,1))-AVERAGE(OFFSET($H$3,0,0,'Données projet'!$E$10+1,1))</f>
        <v>221.57008282490327</v>
      </c>
      <c r="AO115" s="62">
        <f t="shared" si="90"/>
        <v>320.19912501885199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0.47794308656234663</v>
      </c>
      <c r="AW115" s="23">
        <f>EXP(-LN(2)/2)*AW114+(1-EXP(-LN(2)/2))/(LN(2)/2)*AQ115*AT115*VLOOKUP('Données projet'!$B$10,Paramètres!$A$1:$I$89,3,0)*0.475*44/12</f>
        <v>1.5605144747165973E-12</v>
      </c>
      <c r="AX115" s="23">
        <f t="shared" si="60"/>
        <v>0.47794308656390716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368.99999999999966</v>
      </c>
      <c r="BE115" s="14">
        <f>BD115*VLOOKUP('Données projet'!$B$11,Paramètres!$A$1:$I$89,3,0)*VLOOKUP('Données projet'!$B$11,Paramètres!$A$1:$I$89,5,0)</f>
        <v>270.55079999999975</v>
      </c>
      <c r="BF115" s="14">
        <f t="shared" si="91"/>
        <v>64.966149081071777</v>
      </c>
      <c r="BG115" s="22">
        <f t="shared" si="61"/>
        <v>584.35868631619962</v>
      </c>
      <c r="BH115" s="62">
        <f t="shared" si="62"/>
        <v>864.77999773177044</v>
      </c>
      <c r="BI115" s="62">
        <f ca="1">AVERAGE(OFFSET($BH$3,0,0,'Données projet'!$E$11+1,1))-AVERAGE(OFFSET($H$3,0,0,'Données projet'!$E$11+1,1))</f>
        <v>400.4480038202409</v>
      </c>
      <c r="BJ115" s="62">
        <f t="shared" si="92"/>
        <v>384.86917865380076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2.8987351151080656</v>
      </c>
      <c r="BR115" s="23">
        <f>EXP(-LN(2)/2)*BR114+(1-EXP(-LN(2)/2))/(LN(2)/2)*BL115*BO115*VLOOKUP('Données projet'!$B$11,Paramètres!$A$1:$I$89,3,0)*0.475*44/12</f>
        <v>5.1410876536797119E-12</v>
      </c>
      <c r="BS115" s="24">
        <f t="shared" si="63"/>
        <v>2.8987351151132068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419.0448820879102</v>
      </c>
      <c r="T116" s="62">
        <f t="shared" si="88"/>
        <v>553.33038335026379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0.65875518270217182</v>
      </c>
      <c r="AB116" s="23">
        <f>EXP(-LN(2)/2)*AB115+(1-EXP(-LN(2)/2))/(LN(2)/2)*V116*Y116*VLOOKUP('Données projet'!$B$9,Paramètres!$A$1:$I$89,3,0)*0.475*44/12</f>
        <v>1.47283458396054E-11</v>
      </c>
      <c r="AC116" s="24">
        <f t="shared" si="57"/>
        <v>0.65875518271690015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3.1036506698001178E-14</v>
      </c>
      <c r="AK116" s="14">
        <f t="shared" si="89"/>
        <v>5.3428243983771088E-13</v>
      </c>
      <c r="AL116" s="22">
        <f t="shared" si="58"/>
        <v>9.8459716521636505E-13</v>
      </c>
      <c r="AM116" s="62">
        <f t="shared" si="59"/>
        <v>280.64530612888859</v>
      </c>
      <c r="AN116" s="62">
        <f ca="1">AVERAGE(OFFSET($AM$3,0,0,'Données projet'!$E$10+1,1))-AVERAGE(OFFSET($H$3,0,0,'Données projet'!$E$10+1,1))</f>
        <v>221.57008282490327</v>
      </c>
      <c r="AO116" s="62">
        <f t="shared" si="90"/>
        <v>320.19912501885199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0.46487370772636472</v>
      </c>
      <c r="AW116" s="23">
        <f>EXP(-LN(2)/2)*AW115+(1-EXP(-LN(2)/2))/(LN(2)/2)*AQ116*AT116*VLOOKUP('Données projet'!$B$10,Paramètres!$A$1:$I$89,3,0)*0.475*44/12</f>
        <v>1.1034503672118691E-12</v>
      </c>
      <c r="AX116" s="23">
        <f t="shared" si="60"/>
        <v>0.46487370772746817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368.99999999999966</v>
      </c>
      <c r="BE116" s="14">
        <f>BD116*VLOOKUP('Données projet'!$B$11,Paramètres!$A$1:$I$89,3,0)*VLOOKUP('Données projet'!$B$11,Paramètres!$A$1:$I$89,5,0)</f>
        <v>270.55079999999975</v>
      </c>
      <c r="BF116" s="14">
        <f t="shared" si="91"/>
        <v>64.966149081071777</v>
      </c>
      <c r="BG116" s="22">
        <f t="shared" si="61"/>
        <v>584.35868631619962</v>
      </c>
      <c r="BH116" s="62">
        <f t="shared" si="62"/>
        <v>865.00399244508731</v>
      </c>
      <c r="BI116" s="62">
        <f ca="1">AVERAGE(OFFSET($BH$3,0,0,'Données projet'!$E$11+1,1))-AVERAGE(OFFSET($H$3,0,0,'Données projet'!$E$11+1,1))</f>
        <v>400.4480038202409</v>
      </c>
      <c r="BJ116" s="62">
        <f t="shared" si="92"/>
        <v>384.86917865380076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2.819469050947581</v>
      </c>
      <c r="BR116" s="23">
        <f>EXP(-LN(2)/2)*BR115+(1-EXP(-LN(2)/2))/(LN(2)/2)*BL116*BO116*VLOOKUP('Données projet'!$B$11,Paramètres!$A$1:$I$89,3,0)*0.475*44/12</f>
        <v>3.6352979425913614E-12</v>
      </c>
      <c r="BS116" s="24">
        <f t="shared" si="63"/>
        <v>2.8194690509512164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419.0448820879102</v>
      </c>
      <c r="T117" s="62">
        <f t="shared" si="88"/>
        <v>553.33038335026379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0.64074148758875149</v>
      </c>
      <c r="AB117" s="23">
        <f>EXP(-LN(2)/2)*AB116+(1-EXP(-LN(2)/2))/(LN(2)/2)*V117*Y117*VLOOKUP('Données projet'!$B$9,Paramètres!$A$1:$I$89,3,0)*0.475*44/12</f>
        <v>1.0414513218845653E-11</v>
      </c>
      <c r="AC117" s="24">
        <f t="shared" si="57"/>
        <v>0.64074148759916605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3.1036506698001178E-14</v>
      </c>
      <c r="AK117" s="14">
        <f t="shared" si="89"/>
        <v>5.3428243983771088E-13</v>
      </c>
      <c r="AL117" s="22">
        <f t="shared" si="58"/>
        <v>9.8459716521636505E-13</v>
      </c>
      <c r="AM117" s="62">
        <f t="shared" si="59"/>
        <v>280.86541503470642</v>
      </c>
      <c r="AN117" s="62">
        <f ca="1">AVERAGE(OFFSET($AM$3,0,0,'Données projet'!$E$10+1,1))-AVERAGE(OFFSET($H$3,0,0,'Données projet'!$E$10+1,1))</f>
        <v>221.57008282490327</v>
      </c>
      <c r="AO117" s="62">
        <f t="shared" si="90"/>
        <v>320.19912501885199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0.45216171174194147</v>
      </c>
      <c r="AW117" s="23">
        <f>EXP(-LN(2)/2)*AW116+(1-EXP(-LN(2)/2))/(LN(2)/2)*AQ117*AT117*VLOOKUP('Données projet'!$B$10,Paramètres!$A$1:$I$89,3,0)*0.475*44/12</f>
        <v>7.8025723735829864E-13</v>
      </c>
      <c r="AX117" s="23">
        <f t="shared" si="60"/>
        <v>0.45216171174272174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368.99999999999966</v>
      </c>
      <c r="BE117" s="14">
        <f>BD117*VLOOKUP('Données projet'!$B$11,Paramètres!$A$1:$I$89,3,0)*VLOOKUP('Données projet'!$B$11,Paramètres!$A$1:$I$89,5,0)</f>
        <v>270.55079999999975</v>
      </c>
      <c r="BF117" s="14">
        <f t="shared" si="91"/>
        <v>64.966149081071777</v>
      </c>
      <c r="BG117" s="22">
        <f t="shared" si="61"/>
        <v>584.35868631619962</v>
      </c>
      <c r="BH117" s="62">
        <f t="shared" si="62"/>
        <v>865.22410135090513</v>
      </c>
      <c r="BI117" s="62">
        <f ca="1">AVERAGE(OFFSET($BH$3,0,0,'Données projet'!$E$11+1,1))-AVERAGE(OFFSET($H$3,0,0,'Données projet'!$E$11+1,1))</f>
        <v>400.4480038202409</v>
      </c>
      <c r="BJ117" s="62">
        <f t="shared" si="92"/>
        <v>384.86917865380076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2.7423705214799861</v>
      </c>
      <c r="BR117" s="23">
        <f>EXP(-LN(2)/2)*BR116+(1-EXP(-LN(2)/2))/(LN(2)/2)*BL117*BO117*VLOOKUP('Données projet'!$B$11,Paramètres!$A$1:$I$89,3,0)*0.475*44/12</f>
        <v>2.5705438268398563E-12</v>
      </c>
      <c r="BS117" s="24">
        <f t="shared" si="63"/>
        <v>2.7423705214825564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419.0448820879102</v>
      </c>
      <c r="T118" s="62">
        <f t="shared" si="88"/>
        <v>553.33038335026379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0.62322037791550666</v>
      </c>
      <c r="AB118" s="23">
        <f>EXP(-LN(2)/2)*AB117+(1-EXP(-LN(2)/2))/(LN(2)/2)*V118*Y118*VLOOKUP('Données projet'!$B$9,Paramètres!$A$1:$I$89,3,0)*0.475*44/12</f>
        <v>7.3641729198027E-12</v>
      </c>
      <c r="AC118" s="24">
        <f t="shared" si="57"/>
        <v>0.62322037792287088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3.1036506698001178E-14</v>
      </c>
      <c r="AK118" s="14">
        <f t="shared" si="89"/>
        <v>5.3428243983771088E-13</v>
      </c>
      <c r="AL118" s="22">
        <f t="shared" si="58"/>
        <v>9.8459716521636505E-13</v>
      </c>
      <c r="AM118" s="62">
        <f t="shared" si="59"/>
        <v>281.08170554309822</v>
      </c>
      <c r="AN118" s="62">
        <f ca="1">AVERAGE(OFFSET($AM$3,0,0,'Données projet'!$E$10+1,1))-AVERAGE(OFFSET($H$3,0,0,'Données projet'!$E$10+1,1))</f>
        <v>221.57008282490327</v>
      </c>
      <c r="AO118" s="62">
        <f t="shared" si="90"/>
        <v>320.19912501885199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0.43979732595620707</v>
      </c>
      <c r="AW118" s="23">
        <f>EXP(-LN(2)/2)*AW117+(1-EXP(-LN(2)/2))/(LN(2)/2)*AQ118*AT118*VLOOKUP('Données projet'!$B$10,Paramètres!$A$1:$I$89,3,0)*0.475*44/12</f>
        <v>5.5172518360593454E-13</v>
      </c>
      <c r="AX118" s="23">
        <f t="shared" si="60"/>
        <v>0.4397973259567588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368.99999999999966</v>
      </c>
      <c r="BE118" s="14">
        <f>BD118*VLOOKUP('Données projet'!$B$11,Paramètres!$A$1:$I$89,3,0)*VLOOKUP('Données projet'!$B$11,Paramètres!$A$1:$I$89,5,0)</f>
        <v>270.55079999999975</v>
      </c>
      <c r="BF118" s="14">
        <f t="shared" si="91"/>
        <v>64.966149081071777</v>
      </c>
      <c r="BG118" s="22">
        <f t="shared" si="61"/>
        <v>584.35868631619962</v>
      </c>
      <c r="BH118" s="62">
        <f t="shared" si="62"/>
        <v>865.44039185929682</v>
      </c>
      <c r="BI118" s="62">
        <f ca="1">AVERAGE(OFFSET($BH$3,0,0,'Données projet'!$E$11+1,1))-AVERAGE(OFFSET($H$3,0,0,'Données projet'!$E$11+1,1))</f>
        <v>400.4480038202409</v>
      </c>
      <c r="BJ118" s="62">
        <f t="shared" si="92"/>
        <v>384.86917865380076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2.667380255355118</v>
      </c>
      <c r="BR118" s="23">
        <f>EXP(-LN(2)/2)*BR117+(1-EXP(-LN(2)/2))/(LN(2)/2)*BL118*BO118*VLOOKUP('Données projet'!$B$11,Paramètres!$A$1:$I$89,3,0)*0.475*44/12</f>
        <v>1.8176489712956809E-12</v>
      </c>
      <c r="BS118" s="24">
        <f t="shared" si="63"/>
        <v>2.6673802553569357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419.0448820879102</v>
      </c>
      <c r="T119" s="62">
        <f t="shared" si="88"/>
        <v>553.33038335026379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0.60617838390767187</v>
      </c>
      <c r="AB119" s="23">
        <f>EXP(-LN(2)/2)*AB118+(1-EXP(-LN(2)/2))/(LN(2)/2)*V119*Y119*VLOOKUP('Données projet'!$B$9,Paramètres!$A$1:$I$89,3,0)*0.475*44/12</f>
        <v>5.2072566094228266E-12</v>
      </c>
      <c r="AC119" s="24">
        <f t="shared" si="57"/>
        <v>0.60617838391287915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3.1036506698001178E-14</v>
      </c>
      <c r="AK119" s="14">
        <f t="shared" si="89"/>
        <v>5.3428243983771088E-13</v>
      </c>
      <c r="AL119" s="22">
        <f t="shared" si="58"/>
        <v>9.8459716521636505E-13</v>
      </c>
      <c r="AM119" s="62">
        <f t="shared" si="59"/>
        <v>281.29424389472246</v>
      </c>
      <c r="AN119" s="62">
        <f ca="1">AVERAGE(OFFSET($AM$3,0,0,'Données projet'!$E$10+1,1))-AVERAGE(OFFSET($H$3,0,0,'Données projet'!$E$10+1,1))</f>
        <v>221.57008282490327</v>
      </c>
      <c r="AO119" s="62">
        <f t="shared" si="90"/>
        <v>320.19912501885199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0.4277710449499984</v>
      </c>
      <c r="AW119" s="23">
        <f>EXP(-LN(2)/2)*AW118+(1-EXP(-LN(2)/2))/(LN(2)/2)*AQ119*AT119*VLOOKUP('Données projet'!$B$10,Paramètres!$A$1:$I$89,3,0)*0.475*44/12</f>
        <v>3.9012861867914932E-13</v>
      </c>
      <c r="AX119" s="23">
        <f t="shared" si="60"/>
        <v>0.42777104495038853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368.99999999999966</v>
      </c>
      <c r="BE119" s="14">
        <f>BD119*VLOOKUP('Données projet'!$B$11,Paramètres!$A$1:$I$89,3,0)*VLOOKUP('Données projet'!$B$11,Paramètres!$A$1:$I$89,5,0)</f>
        <v>270.55079999999975</v>
      </c>
      <c r="BF119" s="14">
        <f t="shared" si="91"/>
        <v>64.966149081071777</v>
      </c>
      <c r="BG119" s="22">
        <f t="shared" si="61"/>
        <v>584.35868631619962</v>
      </c>
      <c r="BH119" s="62">
        <f t="shared" si="62"/>
        <v>865.65293021092111</v>
      </c>
      <c r="BI119" s="62">
        <f ca="1">AVERAGE(OFFSET($BH$3,0,0,'Données projet'!$E$11+1,1))-AVERAGE(OFFSET($H$3,0,0,'Données projet'!$E$11+1,1))</f>
        <v>400.4480038202409</v>
      </c>
      <c r="BJ119" s="62">
        <f t="shared" si="92"/>
        <v>384.86917865380076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2.5944406020010011</v>
      </c>
      <c r="BR119" s="23">
        <f>EXP(-LN(2)/2)*BR118+(1-EXP(-LN(2)/2))/(LN(2)/2)*BL119*BO119*VLOOKUP('Données projet'!$B$11,Paramètres!$A$1:$I$89,3,0)*0.475*44/12</f>
        <v>1.2852719134199284E-12</v>
      </c>
      <c r="BS119" s="24">
        <f t="shared" si="63"/>
        <v>2.5944406020022863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419.0448820879102</v>
      </c>
      <c r="T120" s="62">
        <f t="shared" si="88"/>
        <v>553.33038335026379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0.58960240412218079</v>
      </c>
      <c r="AB120" s="23">
        <f>EXP(-LN(2)/2)*AB119+(1-EXP(-LN(2)/2))/(LN(2)/2)*V120*Y120*VLOOKUP('Données projet'!$B$9,Paramètres!$A$1:$I$89,3,0)*0.475*44/12</f>
        <v>3.68208645990135E-12</v>
      </c>
      <c r="AC120" s="24">
        <f t="shared" si="57"/>
        <v>0.58960240412586284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3.1036506698001178E-14</v>
      </c>
      <c r="AK120" s="14">
        <f t="shared" si="89"/>
        <v>5.3428243983771088E-13</v>
      </c>
      <c r="AL120" s="22">
        <f t="shared" si="58"/>
        <v>9.8459716521636505E-13</v>
      </c>
      <c r="AM120" s="62">
        <f t="shared" si="59"/>
        <v>281.50309518111061</v>
      </c>
      <c r="AN120" s="62">
        <f ca="1">AVERAGE(OFFSET($AM$3,0,0,'Données projet'!$E$10+1,1))-AVERAGE(OFFSET($H$3,0,0,'Données projet'!$E$10+1,1))</f>
        <v>221.57008282490327</v>
      </c>
      <c r="AO120" s="62">
        <f t="shared" si="90"/>
        <v>320.19912501885199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0.41607362323033914</v>
      </c>
      <c r="AW120" s="23">
        <f>EXP(-LN(2)/2)*AW119+(1-EXP(-LN(2)/2))/(LN(2)/2)*AQ120*AT120*VLOOKUP('Données projet'!$B$10,Paramètres!$A$1:$I$89,3,0)*0.475*44/12</f>
        <v>2.7586259180296727E-13</v>
      </c>
      <c r="AX120" s="23">
        <f t="shared" si="60"/>
        <v>0.41607362323061498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368.99999999999966</v>
      </c>
      <c r="BE120" s="14">
        <f>BD120*VLOOKUP('Données projet'!$B$11,Paramètres!$A$1:$I$89,3,0)*VLOOKUP('Données projet'!$B$11,Paramètres!$A$1:$I$89,5,0)</f>
        <v>270.55079999999975</v>
      </c>
      <c r="BF120" s="14">
        <f t="shared" si="91"/>
        <v>64.966149081071777</v>
      </c>
      <c r="BG120" s="22">
        <f t="shared" si="61"/>
        <v>584.35868631619962</v>
      </c>
      <c r="BH120" s="62">
        <f t="shared" si="62"/>
        <v>865.86178149730927</v>
      </c>
      <c r="BI120" s="62">
        <f ca="1">AVERAGE(OFFSET($BH$3,0,0,'Données projet'!$E$11+1,1))-AVERAGE(OFFSET($H$3,0,0,'Données projet'!$E$11+1,1))</f>
        <v>400.4480038202409</v>
      </c>
      <c r="BJ120" s="62">
        <f t="shared" si="92"/>
        <v>384.86917865380076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2.523495487303582</v>
      </c>
      <c r="BR120" s="23">
        <f>EXP(-LN(2)/2)*BR119+(1-EXP(-LN(2)/2))/(LN(2)/2)*BL120*BO120*VLOOKUP('Données projet'!$B$11,Paramètres!$A$1:$I$89,3,0)*0.475*44/12</f>
        <v>9.0882448564784065E-13</v>
      </c>
      <c r="BS120" s="24">
        <f t="shared" si="63"/>
        <v>2.5234954873044906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419.0448820879102</v>
      </c>
      <c r="T121" s="62">
        <f t="shared" si="88"/>
        <v>553.33038335026379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0.57347969537561683</v>
      </c>
      <c r="AB121" s="23">
        <f>EXP(-LN(2)/2)*AB120+(1-EXP(-LN(2)/2))/(LN(2)/2)*V121*Y121*VLOOKUP('Données projet'!$B$9,Paramètres!$A$1:$I$89,3,0)*0.475*44/12</f>
        <v>2.6036283047114133E-12</v>
      </c>
      <c r="AC121" s="24">
        <f t="shared" si="57"/>
        <v>0.57347969537822041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3.1036506698001178E-14</v>
      </c>
      <c r="AK121" s="14">
        <f t="shared" si="89"/>
        <v>5.3428243983771088E-13</v>
      </c>
      <c r="AL121" s="22">
        <f t="shared" si="58"/>
        <v>9.8459716521636505E-13</v>
      </c>
      <c r="AM121" s="62">
        <f t="shared" si="59"/>
        <v>281.70832336460137</v>
      </c>
      <c r="AN121" s="62">
        <f ca="1">AVERAGE(OFFSET($AM$3,0,0,'Données projet'!$E$10+1,1))-AVERAGE(OFFSET($H$3,0,0,'Données projet'!$E$10+1,1))</f>
        <v>221.57008282490327</v>
      </c>
      <c r="AO121" s="62">
        <f t="shared" si="90"/>
        <v>320.19912501885199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0.40469606812274461</v>
      </c>
      <c r="AW121" s="23">
        <f>EXP(-LN(2)/2)*AW120+(1-EXP(-LN(2)/2))/(LN(2)/2)*AQ121*AT121*VLOOKUP('Données projet'!$B$10,Paramètres!$A$1:$I$89,3,0)*0.475*44/12</f>
        <v>1.9506430933957466E-13</v>
      </c>
      <c r="AX121" s="23">
        <f t="shared" si="60"/>
        <v>0.40469606812293968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368.99999999999966</v>
      </c>
      <c r="BE121" s="14">
        <f>BD121*VLOOKUP('Données projet'!$B$11,Paramètres!$A$1:$I$89,3,0)*VLOOKUP('Données projet'!$B$11,Paramètres!$A$1:$I$89,5,0)</f>
        <v>270.55079999999975</v>
      </c>
      <c r="BF121" s="14">
        <f t="shared" si="91"/>
        <v>64.966149081071777</v>
      </c>
      <c r="BG121" s="22">
        <f t="shared" si="61"/>
        <v>584.35868631619962</v>
      </c>
      <c r="BH121" s="62">
        <f t="shared" si="62"/>
        <v>866.06700968080008</v>
      </c>
      <c r="BI121" s="62">
        <f ca="1">AVERAGE(OFFSET($BH$3,0,0,'Données projet'!$E$11+1,1))-AVERAGE(OFFSET($H$3,0,0,'Données projet'!$E$11+1,1))</f>
        <v>400.4480038202409</v>
      </c>
      <c r="BJ121" s="62">
        <f t="shared" si="92"/>
        <v>384.86917865380076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2.4544903704984056</v>
      </c>
      <c r="BR121" s="23">
        <f>EXP(-LN(2)/2)*BR120+(1-EXP(-LN(2)/2))/(LN(2)/2)*BL121*BO121*VLOOKUP('Données projet'!$B$11,Paramètres!$A$1:$I$89,3,0)*0.475*44/12</f>
        <v>6.4263595670996429E-13</v>
      </c>
      <c r="BS121" s="24">
        <f t="shared" si="63"/>
        <v>2.4544903704990482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419.0448820879102</v>
      </c>
      <c r="T122" s="62">
        <f t="shared" si="88"/>
        <v>553.33038335026379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0.55779786294758416</v>
      </c>
      <c r="AB122" s="23">
        <f>EXP(-LN(2)/2)*AB121+(1-EXP(-LN(2)/2))/(LN(2)/2)*V122*Y122*VLOOKUP('Données projet'!$B$9,Paramètres!$A$1:$I$89,3,0)*0.475*44/12</f>
        <v>1.841043229950675E-12</v>
      </c>
      <c r="AC122" s="24">
        <f t="shared" si="57"/>
        <v>0.55779786294942524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3.1036506698001178E-14</v>
      </c>
      <c r="AK122" s="14">
        <f t="shared" si="89"/>
        <v>5.3428243983771088E-13</v>
      </c>
      <c r="AL122" s="22">
        <f t="shared" si="58"/>
        <v>9.8459716521636505E-13</v>
      </c>
      <c r="AM122" s="62">
        <f t="shared" si="59"/>
        <v>281.90999129793011</v>
      </c>
      <c r="AN122" s="62">
        <f ca="1">AVERAGE(OFFSET($AM$3,0,0,'Données projet'!$E$10+1,1))-AVERAGE(OFFSET($H$3,0,0,'Données projet'!$E$10+1,1))</f>
        <v>221.57008282490327</v>
      </c>
      <c r="AO122" s="62">
        <f t="shared" si="90"/>
        <v>320.19912501885199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0.39362963285788688</v>
      </c>
      <c r="AW122" s="23">
        <f>EXP(-LN(2)/2)*AW121+(1-EXP(-LN(2)/2))/(LN(2)/2)*AQ122*AT122*VLOOKUP('Données projet'!$B$10,Paramètres!$A$1:$I$89,3,0)*0.475*44/12</f>
        <v>1.3793129590148364E-13</v>
      </c>
      <c r="AX122" s="23">
        <f t="shared" si="60"/>
        <v>0.39362963285802482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368.99999999999966</v>
      </c>
      <c r="BE122" s="14">
        <f>BD122*VLOOKUP('Données projet'!$B$11,Paramètres!$A$1:$I$89,3,0)*VLOOKUP('Données projet'!$B$11,Paramètres!$A$1:$I$89,5,0)</f>
        <v>270.55079999999975</v>
      </c>
      <c r="BF122" s="14">
        <f t="shared" si="91"/>
        <v>64.966149081071777</v>
      </c>
      <c r="BG122" s="22">
        <f t="shared" si="61"/>
        <v>584.35868631619962</v>
      </c>
      <c r="BH122" s="62">
        <f t="shared" si="62"/>
        <v>866.26867761412882</v>
      </c>
      <c r="BI122" s="62">
        <f ca="1">AVERAGE(OFFSET($BH$3,0,0,'Données projet'!$E$11+1,1))-AVERAGE(OFFSET($H$3,0,0,'Données projet'!$E$11+1,1))</f>
        <v>400.4480038202409</v>
      </c>
      <c r="BJ122" s="62">
        <f t="shared" si="92"/>
        <v>384.86917865380076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2.3873722022410879</v>
      </c>
      <c r="BR122" s="23">
        <f>EXP(-LN(2)/2)*BR121+(1-EXP(-LN(2)/2))/(LN(2)/2)*BL122*BO122*VLOOKUP('Données projet'!$B$11,Paramètres!$A$1:$I$89,3,0)*0.475*44/12</f>
        <v>4.5441224282392038E-13</v>
      </c>
      <c r="BS122" s="24">
        <f t="shared" si="63"/>
        <v>2.3873722022415422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419.0448820879102</v>
      </c>
      <c r="T123" s="62">
        <f t="shared" si="88"/>
        <v>553.33038335026379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0.5425448510519677</v>
      </c>
      <c r="AB123" s="23">
        <f>EXP(-LN(2)/2)*AB122+(1-EXP(-LN(2)/2))/(LN(2)/2)*V123*Y123*VLOOKUP('Données projet'!$B$9,Paramètres!$A$1:$I$89,3,0)*0.475*44/12</f>
        <v>1.3018141523557066E-12</v>
      </c>
      <c r="AC123" s="24">
        <f t="shared" si="57"/>
        <v>0.54254485105326955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3.1036506698001178E-14</v>
      </c>
      <c r="AK123" s="14">
        <f t="shared" si="89"/>
        <v>5.3428243983771088E-13</v>
      </c>
      <c r="AL123" s="22">
        <f t="shared" si="58"/>
        <v>9.8459716521636505E-13</v>
      </c>
      <c r="AM123" s="62">
        <f t="shared" si="59"/>
        <v>282.10816074347758</v>
      </c>
      <c r="AN123" s="62">
        <f ca="1">AVERAGE(OFFSET($AM$3,0,0,'Données projet'!$E$10+1,1))-AVERAGE(OFFSET($H$3,0,0,'Données projet'!$E$10+1,1))</f>
        <v>221.57008282490327</v>
      </c>
      <c r="AO123" s="62">
        <f t="shared" si="90"/>
        <v>320.19912501885199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0.38286580984730523</v>
      </c>
      <c r="AW123" s="23">
        <f>EXP(-LN(2)/2)*AW122+(1-EXP(-LN(2)/2))/(LN(2)/2)*AQ123*AT123*VLOOKUP('Données projet'!$B$10,Paramètres!$A$1:$I$89,3,0)*0.475*44/12</f>
        <v>9.753215466978733E-14</v>
      </c>
      <c r="AX123" s="23">
        <f t="shared" si="60"/>
        <v>0.38286580984740276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368.99999999999966</v>
      </c>
      <c r="BE123" s="14">
        <f>BD123*VLOOKUP('Données projet'!$B$11,Paramètres!$A$1:$I$89,3,0)*VLOOKUP('Données projet'!$B$11,Paramètres!$A$1:$I$89,5,0)</f>
        <v>270.55079999999975</v>
      </c>
      <c r="BF123" s="14">
        <f t="shared" si="91"/>
        <v>64.966149081071777</v>
      </c>
      <c r="BG123" s="22">
        <f t="shared" si="61"/>
        <v>584.35868631619962</v>
      </c>
      <c r="BH123" s="62">
        <f t="shared" si="62"/>
        <v>866.46684705967618</v>
      </c>
      <c r="BI123" s="62">
        <f ca="1">AVERAGE(OFFSET($BH$3,0,0,'Données projet'!$E$11+1,1))-AVERAGE(OFFSET($H$3,0,0,'Données projet'!$E$11+1,1))</f>
        <v>400.4480038202409</v>
      </c>
      <c r="BJ123" s="62">
        <f t="shared" si="92"/>
        <v>384.86917865380076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2.3220893838243577</v>
      </c>
      <c r="BR123" s="23">
        <f>EXP(-LN(2)/2)*BR122+(1-EXP(-LN(2)/2))/(LN(2)/2)*BL123*BO123*VLOOKUP('Données projet'!$B$11,Paramètres!$A$1:$I$89,3,0)*0.475*44/12</f>
        <v>3.2131797835498219E-13</v>
      </c>
      <c r="BS123" s="24">
        <f t="shared" si="63"/>
        <v>2.3220893838246792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419.0448820879102</v>
      </c>
      <c r="T124" s="62">
        <f t="shared" si="88"/>
        <v>553.33038335026379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0.52770893356875792</v>
      </c>
      <c r="AB124" s="23">
        <f>EXP(-LN(2)/2)*AB123+(1-EXP(-LN(2)/2))/(LN(2)/2)*V124*Y124*VLOOKUP('Données projet'!$B$9,Paramètres!$A$1:$I$89,3,0)*0.475*44/12</f>
        <v>9.205216149753375E-13</v>
      </c>
      <c r="AC124" s="24">
        <f t="shared" si="57"/>
        <v>0.52770893356967841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3.1036506698001178E-14</v>
      </c>
      <c r="AK124" s="14">
        <f t="shared" si="89"/>
        <v>5.3428243983771088E-13</v>
      </c>
      <c r="AL124" s="22">
        <f t="shared" si="58"/>
        <v>9.8459716521636505E-13</v>
      </c>
      <c r="AM124" s="62">
        <f t="shared" si="59"/>
        <v>282.30289239218536</v>
      </c>
      <c r="AN124" s="62">
        <f ca="1">AVERAGE(OFFSET($AM$3,0,0,'Données projet'!$E$10+1,1))-AVERAGE(OFFSET($H$3,0,0,'Données projet'!$E$10+1,1))</f>
        <v>221.57008282490327</v>
      </c>
      <c r="AO124" s="62">
        <f t="shared" si="90"/>
        <v>320.19912501885199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0.37239632414299279</v>
      </c>
      <c r="AW124" s="23">
        <f>EXP(-LN(2)/2)*AW123+(1-EXP(-LN(2)/2))/(LN(2)/2)*AQ124*AT124*VLOOKUP('Données projet'!$B$10,Paramètres!$A$1:$I$89,3,0)*0.475*44/12</f>
        <v>6.8965647950741818E-14</v>
      </c>
      <c r="AX124" s="23">
        <f t="shared" si="60"/>
        <v>0.37239632414306173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368.99999999999966</v>
      </c>
      <c r="BE124" s="14">
        <f>BD124*VLOOKUP('Données projet'!$B$11,Paramètres!$A$1:$I$89,3,0)*VLOOKUP('Données projet'!$B$11,Paramètres!$A$1:$I$89,5,0)</f>
        <v>270.55079999999975</v>
      </c>
      <c r="BF124" s="14">
        <f t="shared" si="91"/>
        <v>64.966149081071777</v>
      </c>
      <c r="BG124" s="22">
        <f t="shared" si="61"/>
        <v>584.35868631619962</v>
      </c>
      <c r="BH124" s="62">
        <f t="shared" si="62"/>
        <v>866.66157870838401</v>
      </c>
      <c r="BI124" s="62">
        <f ca="1">AVERAGE(OFFSET($BH$3,0,0,'Données projet'!$E$11+1,1))-AVERAGE(OFFSET($H$3,0,0,'Données projet'!$E$11+1,1))</f>
        <v>400.4480038202409</v>
      </c>
      <c r="BJ124" s="62">
        <f t="shared" si="92"/>
        <v>384.86917865380076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2.2585917275103071</v>
      </c>
      <c r="BR124" s="23">
        <f>EXP(-LN(2)/2)*BR123+(1-EXP(-LN(2)/2))/(LN(2)/2)*BL124*BO124*VLOOKUP('Données projet'!$B$11,Paramètres!$A$1:$I$89,3,0)*0.475*44/12</f>
        <v>2.2720612141196021E-13</v>
      </c>
      <c r="BS124" s="24">
        <f t="shared" si="63"/>
        <v>2.2585917275105345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419.0448820879102</v>
      </c>
      <c r="T125" s="62">
        <f t="shared" si="88"/>
        <v>553.33038335026379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0.5132787050293135</v>
      </c>
      <c r="AB125" s="23">
        <f>EXP(-LN(2)/2)*AB124+(1-EXP(-LN(2)/2))/(LN(2)/2)*V125*Y125*VLOOKUP('Données projet'!$B$9,Paramètres!$A$1:$I$89,3,0)*0.475*44/12</f>
        <v>6.5090707617785332E-13</v>
      </c>
      <c r="AC125" s="24">
        <f t="shared" si="57"/>
        <v>0.51327870502996442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3.1036506698001178E-14</v>
      </c>
      <c r="AK125" s="14">
        <f t="shared" si="89"/>
        <v>5.3428243983771088E-13</v>
      </c>
      <c r="AL125" s="22">
        <f t="shared" si="58"/>
        <v>9.8459716521636505E-13</v>
      </c>
      <c r="AM125" s="62">
        <f t="shared" si="59"/>
        <v>282.49424588214276</v>
      </c>
      <c r="AN125" s="62">
        <f ca="1">AVERAGE(OFFSET($AM$3,0,0,'Données projet'!$E$10+1,1))-AVERAGE(OFFSET($H$3,0,0,'Données projet'!$E$10+1,1))</f>
        <v>221.57008282490327</v>
      </c>
      <c r="AO125" s="62">
        <f t="shared" si="90"/>
        <v>320.19912501885199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0.36221312707583109</v>
      </c>
      <c r="AW125" s="23">
        <f>EXP(-LN(2)/2)*AW124+(1-EXP(-LN(2)/2))/(LN(2)/2)*AQ125*AT125*VLOOKUP('Données projet'!$B$10,Paramètres!$A$1:$I$89,3,0)*0.475*44/12</f>
        <v>4.8766077334893665E-14</v>
      </c>
      <c r="AX125" s="23">
        <f t="shared" si="60"/>
        <v>0.36221312707587983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368.99999999999966</v>
      </c>
      <c r="BE125" s="14">
        <f>BD125*VLOOKUP('Données projet'!$B$11,Paramètres!$A$1:$I$89,3,0)*VLOOKUP('Données projet'!$B$11,Paramètres!$A$1:$I$89,5,0)</f>
        <v>270.55079999999975</v>
      </c>
      <c r="BF125" s="14">
        <f t="shared" si="91"/>
        <v>64.966149081071777</v>
      </c>
      <c r="BG125" s="22">
        <f t="shared" si="61"/>
        <v>584.35868631619962</v>
      </c>
      <c r="BH125" s="62">
        <f t="shared" si="62"/>
        <v>866.85293219834148</v>
      </c>
      <c r="BI125" s="62">
        <f ca="1">AVERAGE(OFFSET($BH$3,0,0,'Données projet'!$E$11+1,1))-AVERAGE(OFFSET($H$3,0,0,'Données projet'!$E$11+1,1))</f>
        <v>400.4480038202409</v>
      </c>
      <c r="BJ125" s="62">
        <f t="shared" si="92"/>
        <v>384.86917865380076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2.196830417947361</v>
      </c>
      <c r="BR125" s="23">
        <f>EXP(-LN(2)/2)*BR124+(1-EXP(-LN(2)/2))/(LN(2)/2)*BL125*BO125*VLOOKUP('Données projet'!$B$11,Paramètres!$A$1:$I$89,3,0)*0.475*44/12</f>
        <v>1.6065898917749112E-13</v>
      </c>
      <c r="BS125" s="24">
        <f t="shared" si="63"/>
        <v>2.1968304179475218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419.0448820879102</v>
      </c>
      <c r="T126" s="62">
        <f t="shared" si="88"/>
        <v>553.33038335026379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0.49924307184813294</v>
      </c>
      <c r="AB126" s="23">
        <f>EXP(-LN(2)/2)*AB125+(1-EXP(-LN(2)/2))/(LN(2)/2)*V126*Y126*VLOOKUP('Données projet'!$B$9,Paramètres!$A$1:$I$89,3,0)*0.475*44/12</f>
        <v>4.6026080748766875E-13</v>
      </c>
      <c r="AC126" s="24">
        <f t="shared" si="57"/>
        <v>0.49924307184859318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3.1036506698001178E-14</v>
      </c>
      <c r="AK126" s="14">
        <f t="shared" si="89"/>
        <v>5.3428243983771088E-13</v>
      </c>
      <c r="AL126" s="22">
        <f t="shared" si="58"/>
        <v>9.8459716521636505E-13</v>
      </c>
      <c r="AM126" s="62">
        <f t="shared" si="59"/>
        <v>282.68227981685163</v>
      </c>
      <c r="AN126" s="62">
        <f ca="1">AVERAGE(OFFSET($AM$3,0,0,'Données projet'!$E$10+1,1))-AVERAGE(OFFSET($H$3,0,0,'Données projet'!$E$10+1,1))</f>
        <v>221.57008282490327</v>
      </c>
      <c r="AO126" s="62">
        <f t="shared" si="90"/>
        <v>320.19912501885199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0.35230839006798198</v>
      </c>
      <c r="AW126" s="23">
        <f>EXP(-LN(2)/2)*AW125+(1-EXP(-LN(2)/2))/(LN(2)/2)*AQ126*AT126*VLOOKUP('Données projet'!$B$10,Paramètres!$A$1:$I$89,3,0)*0.475*44/12</f>
        <v>3.4482823975370909E-14</v>
      </c>
      <c r="AX126" s="23">
        <f t="shared" si="60"/>
        <v>0.35230839006801645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368.99999999999966</v>
      </c>
      <c r="BE126" s="14">
        <f>BD126*VLOOKUP('Données projet'!$B$11,Paramètres!$A$1:$I$89,3,0)*VLOOKUP('Données projet'!$B$11,Paramètres!$A$1:$I$89,5,0)</f>
        <v>270.55079999999975</v>
      </c>
      <c r="BF126" s="14">
        <f t="shared" si="91"/>
        <v>64.966149081071777</v>
      </c>
      <c r="BG126" s="22">
        <f t="shared" si="61"/>
        <v>584.35868631619962</v>
      </c>
      <c r="BH126" s="62">
        <f t="shared" si="62"/>
        <v>867.04096613305023</v>
      </c>
      <c r="BI126" s="62">
        <f ca="1">AVERAGE(OFFSET($BH$3,0,0,'Données projet'!$E$11+1,1))-AVERAGE(OFFSET($H$3,0,0,'Données projet'!$E$11+1,1))</f>
        <v>400.4480038202409</v>
      </c>
      <c r="BJ126" s="62">
        <f t="shared" si="92"/>
        <v>384.86917865380076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2.1367579746422996</v>
      </c>
      <c r="BR126" s="23">
        <f>EXP(-LN(2)/2)*BR125+(1-EXP(-LN(2)/2))/(LN(2)/2)*BL126*BO126*VLOOKUP('Données projet'!$B$11,Paramètres!$A$1:$I$89,3,0)*0.475*44/12</f>
        <v>1.1360306070598013E-13</v>
      </c>
      <c r="BS126" s="24">
        <f t="shared" si="63"/>
        <v>2.1367579746424132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419.0448820879102</v>
      </c>
      <c r="T127" s="62">
        <f t="shared" si="88"/>
        <v>553.33038335026379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0.48559124379439361</v>
      </c>
      <c r="AB127" s="23">
        <f>EXP(-LN(2)/2)*AB126+(1-EXP(-LN(2)/2))/(LN(2)/2)*V127*Y127*VLOOKUP('Données projet'!$B$9,Paramètres!$A$1:$I$89,3,0)*0.475*44/12</f>
        <v>3.2545353808892666E-13</v>
      </c>
      <c r="AC127" s="24">
        <f t="shared" si="57"/>
        <v>0.48559124379471907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3.1036506698001178E-14</v>
      </c>
      <c r="AK127" s="14">
        <f t="shared" si="89"/>
        <v>5.3428243983771088E-13</v>
      </c>
      <c r="AL127" s="22">
        <f t="shared" si="58"/>
        <v>9.8459716521636505E-13</v>
      </c>
      <c r="AM127" s="62">
        <f t="shared" si="59"/>
        <v>282.8670517831743</v>
      </c>
      <c r="AN127" s="62">
        <f ca="1">AVERAGE(OFFSET($AM$3,0,0,'Données projet'!$E$10+1,1))-AVERAGE(OFFSET($H$3,0,0,'Données projet'!$E$10+1,1))</f>
        <v>221.57008282490327</v>
      </c>
      <c r="AO127" s="62">
        <f t="shared" si="90"/>
        <v>320.19912501885199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0.34267449861448002</v>
      </c>
      <c r="AW127" s="23">
        <f>EXP(-LN(2)/2)*AW126+(1-EXP(-LN(2)/2))/(LN(2)/2)*AQ127*AT127*VLOOKUP('Données projet'!$B$10,Paramètres!$A$1:$I$89,3,0)*0.475*44/12</f>
        <v>2.4383038667446832E-14</v>
      </c>
      <c r="AX127" s="23">
        <f t="shared" si="60"/>
        <v>0.34267449861450439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368.99999999999966</v>
      </c>
      <c r="BE127" s="14">
        <f>BD127*VLOOKUP('Données projet'!$B$11,Paramètres!$A$1:$I$89,3,0)*VLOOKUP('Données projet'!$B$11,Paramètres!$A$1:$I$89,5,0)</f>
        <v>270.55079999999975</v>
      </c>
      <c r="BF127" s="14">
        <f t="shared" si="91"/>
        <v>64.966149081071777</v>
      </c>
      <c r="BG127" s="22">
        <f t="shared" si="61"/>
        <v>584.35868631619962</v>
      </c>
      <c r="BH127" s="62">
        <f t="shared" si="62"/>
        <v>867.22573809937296</v>
      </c>
      <c r="BI127" s="62">
        <f ca="1">AVERAGE(OFFSET($BH$3,0,0,'Données projet'!$E$11+1,1))-AVERAGE(OFFSET($H$3,0,0,'Données projet'!$E$11+1,1))</f>
        <v>400.4480038202409</v>
      </c>
      <c r="BJ127" s="62">
        <f t="shared" si="92"/>
        <v>384.86917865380076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2.0783282154584874</v>
      </c>
      <c r="BR127" s="23">
        <f>EXP(-LN(2)/2)*BR126+(1-EXP(-LN(2)/2))/(LN(2)/2)*BL127*BO127*VLOOKUP('Données projet'!$B$11,Paramètres!$A$1:$I$89,3,0)*0.475*44/12</f>
        <v>8.0329494588745574E-14</v>
      </c>
      <c r="BS127" s="24">
        <f t="shared" si="63"/>
        <v>2.0783282154585678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419.0448820879102</v>
      </c>
      <c r="T128" s="62">
        <f t="shared" si="88"/>
        <v>553.33038335026379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0.47231272569670224</v>
      </c>
      <c r="AB128" s="23">
        <f>EXP(-LN(2)/2)*AB127+(1-EXP(-LN(2)/2))/(LN(2)/2)*V128*Y128*VLOOKUP('Données projet'!$B$9,Paramètres!$A$1:$I$89,3,0)*0.475*44/12</f>
        <v>2.3013040374383437E-13</v>
      </c>
      <c r="AC128" s="24">
        <f t="shared" si="57"/>
        <v>0.47231272569693239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3.1036506698001178E-14</v>
      </c>
      <c r="AK128" s="14">
        <f t="shared" si="89"/>
        <v>5.3428243983771088E-13</v>
      </c>
      <c r="AL128" s="22">
        <f t="shared" si="58"/>
        <v>9.8459716521636505E-13</v>
      </c>
      <c r="AM128" s="62">
        <f t="shared" si="59"/>
        <v>283.04861836896947</v>
      </c>
      <c r="AN128" s="62">
        <f ca="1">AVERAGE(OFFSET($AM$3,0,0,'Données projet'!$E$10+1,1))-AVERAGE(OFFSET($H$3,0,0,'Données projet'!$E$10+1,1))</f>
        <v>221.57008282490327</v>
      </c>
      <c r="AO128" s="62">
        <f t="shared" si="90"/>
        <v>320.19912501885199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0.33330404642939837</v>
      </c>
      <c r="AW128" s="23">
        <f>EXP(-LN(2)/2)*AW127+(1-EXP(-LN(2)/2))/(LN(2)/2)*AQ128*AT128*VLOOKUP('Données projet'!$B$10,Paramètres!$A$1:$I$89,3,0)*0.475*44/12</f>
        <v>1.7241411987685454E-14</v>
      </c>
      <c r="AX128" s="23">
        <f t="shared" si="60"/>
        <v>0.33330404642941563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368.99999999999966</v>
      </c>
      <c r="BE128" s="14">
        <f>BD128*VLOOKUP('Données projet'!$B$11,Paramètres!$A$1:$I$89,3,0)*VLOOKUP('Données projet'!$B$11,Paramètres!$A$1:$I$89,5,0)</f>
        <v>270.55079999999975</v>
      </c>
      <c r="BF128" s="14">
        <f t="shared" si="91"/>
        <v>64.966149081071777</v>
      </c>
      <c r="BG128" s="22">
        <f t="shared" si="61"/>
        <v>584.35868631619962</v>
      </c>
      <c r="BH128" s="62">
        <f t="shared" si="62"/>
        <v>867.40730468516813</v>
      </c>
      <c r="BI128" s="62">
        <f ca="1">AVERAGE(OFFSET($BH$3,0,0,'Données projet'!$E$11+1,1))-AVERAGE(OFFSET($H$3,0,0,'Données projet'!$E$11+1,1))</f>
        <v>400.4480038202409</v>
      </c>
      <c r="BJ128" s="62">
        <f t="shared" si="92"/>
        <v>384.86917865380076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2.0214962211122445</v>
      </c>
      <c r="BR128" s="23">
        <f>EXP(-LN(2)/2)*BR127+(1-EXP(-LN(2)/2))/(LN(2)/2)*BL128*BO128*VLOOKUP('Données projet'!$B$11,Paramètres!$A$1:$I$89,3,0)*0.475*44/12</f>
        <v>5.6801530352990072E-14</v>
      </c>
      <c r="BS128" s="24">
        <f t="shared" si="63"/>
        <v>2.0214962211123013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419.0448820879102</v>
      </c>
      <c r="T129" s="62">
        <f t="shared" si="88"/>
        <v>553.33038335026379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0.45939730937467915</v>
      </c>
      <c r="AB129" s="23">
        <f>EXP(-LN(2)/2)*AB128+(1-EXP(-LN(2)/2))/(LN(2)/2)*V129*Y129*VLOOKUP('Données projet'!$B$9,Paramètres!$A$1:$I$89,3,0)*0.475*44/12</f>
        <v>1.6272676904446333E-13</v>
      </c>
      <c r="AC129" s="24">
        <f t="shared" si="57"/>
        <v>0.45939730937484186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3.1036506698001178E-14</v>
      </c>
      <c r="AK129" s="14">
        <f t="shared" si="89"/>
        <v>5.3428243983771088E-13</v>
      </c>
      <c r="AL129" s="22">
        <f t="shared" si="58"/>
        <v>9.8459716521636505E-13</v>
      </c>
      <c r="AM129" s="62">
        <f t="shared" si="59"/>
        <v>283.22703518042317</v>
      </c>
      <c r="AN129" s="62">
        <f ca="1">AVERAGE(OFFSET($AM$3,0,0,'Données projet'!$E$10+1,1))-AVERAGE(OFFSET($H$3,0,0,'Données projet'!$E$10+1,1))</f>
        <v>221.57008282490327</v>
      </c>
      <c r="AO129" s="62">
        <f t="shared" si="90"/>
        <v>320.19912501885199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0.32418982975208843</v>
      </c>
      <c r="AW129" s="23">
        <f>EXP(-LN(2)/2)*AW128+(1-EXP(-LN(2)/2))/(LN(2)/2)*AQ129*AT129*VLOOKUP('Données projet'!$B$10,Paramètres!$A$1:$I$89,3,0)*0.475*44/12</f>
        <v>1.2191519333723416E-14</v>
      </c>
      <c r="AX129" s="23">
        <f t="shared" si="60"/>
        <v>0.32418982975210064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368.99999999999966</v>
      </c>
      <c r="BE129" s="14">
        <f>BD129*VLOOKUP('Données projet'!$B$11,Paramètres!$A$1:$I$89,3,0)*VLOOKUP('Données projet'!$B$11,Paramètres!$A$1:$I$89,5,0)</f>
        <v>270.55079999999975</v>
      </c>
      <c r="BF129" s="14">
        <f t="shared" si="91"/>
        <v>64.966149081071777</v>
      </c>
      <c r="BG129" s="22">
        <f t="shared" si="61"/>
        <v>584.35868631619962</v>
      </c>
      <c r="BH129" s="62">
        <f t="shared" si="62"/>
        <v>867.58572149662177</v>
      </c>
      <c r="BI129" s="62">
        <f ca="1">AVERAGE(OFFSET($BH$3,0,0,'Données projet'!$E$11+1,1))-AVERAGE(OFFSET($H$3,0,0,'Données projet'!$E$11+1,1))</f>
        <v>400.4480038202409</v>
      </c>
      <c r="BJ129" s="62">
        <f t="shared" si="92"/>
        <v>384.86917865380076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1.966218300640064</v>
      </c>
      <c r="BR129" s="23">
        <f>EXP(-LN(2)/2)*BR128+(1-EXP(-LN(2)/2))/(LN(2)/2)*BL129*BO129*VLOOKUP('Données projet'!$B$11,Paramètres!$A$1:$I$89,3,0)*0.475*44/12</f>
        <v>4.0164747294372793E-14</v>
      </c>
      <c r="BS129" s="24">
        <f t="shared" si="63"/>
        <v>1.9662183006401042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419.0448820879102</v>
      </c>
      <c r="T130" s="62">
        <f t="shared" si="88"/>
        <v>553.33038335026379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0.44683506579117399</v>
      </c>
      <c r="AB130" s="23">
        <f>EXP(-LN(2)/2)*AB129+(1-EXP(-LN(2)/2))/(LN(2)/2)*V130*Y130*VLOOKUP('Données projet'!$B$9,Paramètres!$A$1:$I$89,3,0)*0.475*44/12</f>
        <v>1.1506520187191719E-13</v>
      </c>
      <c r="AC130" s="24">
        <f t="shared" si="57"/>
        <v>0.44683506579128907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3.1036506698001178E-14</v>
      </c>
      <c r="AK130" s="14">
        <f t="shared" si="89"/>
        <v>5.3428243983771088E-13</v>
      </c>
      <c r="AL130" s="22">
        <f t="shared" si="58"/>
        <v>9.8459716521636505E-13</v>
      </c>
      <c r="AM130" s="62">
        <f t="shared" si="59"/>
        <v>283.4023568590784</v>
      </c>
      <c r="AN130" s="62">
        <f ca="1">AVERAGE(OFFSET($AM$3,0,0,'Données projet'!$E$10+1,1))-AVERAGE(OFFSET($H$3,0,0,'Données projet'!$E$10+1,1))</f>
        <v>221.57008282490327</v>
      </c>
      <c r="AO130" s="62">
        <f t="shared" si="90"/>
        <v>320.19912501885199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0.31532484180911535</v>
      </c>
      <c r="AW130" s="23">
        <f>EXP(-LN(2)/2)*AW129+(1-EXP(-LN(2)/2))/(LN(2)/2)*AQ130*AT130*VLOOKUP('Données projet'!$B$10,Paramètres!$A$1:$I$89,3,0)*0.475*44/12</f>
        <v>8.6207059938427272E-15</v>
      </c>
      <c r="AX130" s="23">
        <f t="shared" si="60"/>
        <v>0.31532484180912396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368.99999999999966</v>
      </c>
      <c r="BE130" s="14">
        <f>BD130*VLOOKUP('Données projet'!$B$11,Paramètres!$A$1:$I$89,3,0)*VLOOKUP('Données projet'!$B$11,Paramètres!$A$1:$I$89,5,0)</f>
        <v>270.55079999999975</v>
      </c>
      <c r="BF130" s="14">
        <f t="shared" si="91"/>
        <v>64.966149081071777</v>
      </c>
      <c r="BG130" s="22">
        <f t="shared" si="61"/>
        <v>584.35868631619962</v>
      </c>
      <c r="BH130" s="62">
        <f t="shared" si="62"/>
        <v>867.76104317527711</v>
      </c>
      <c r="BI130" s="62">
        <f ca="1">AVERAGE(OFFSET($BH$3,0,0,'Données projet'!$E$11+1,1))-AVERAGE(OFFSET($H$3,0,0,'Données projet'!$E$11+1,1))</f>
        <v>400.4480038202409</v>
      </c>
      <c r="BJ130" s="62">
        <f t="shared" si="92"/>
        <v>384.86917865380076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1.9124519578101349</v>
      </c>
      <c r="BR130" s="23">
        <f>EXP(-LN(2)/2)*BR129+(1-EXP(-LN(2)/2))/(LN(2)/2)*BL130*BO130*VLOOKUP('Données projet'!$B$11,Paramètres!$A$1:$I$89,3,0)*0.475*44/12</f>
        <v>2.8400765176495042E-14</v>
      </c>
      <c r="BS130" s="24">
        <f t="shared" si="63"/>
        <v>1.9124519578101633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419.0448820879102</v>
      </c>
      <c r="T131" s="62">
        <f t="shared" si="88"/>
        <v>553.33038335026379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0.43461633741907946</v>
      </c>
      <c r="AB131" s="23">
        <f>EXP(-LN(2)/2)*AB130+(1-EXP(-LN(2)/2))/(LN(2)/2)*V131*Y131*VLOOKUP('Données projet'!$B$9,Paramètres!$A$1:$I$89,3,0)*0.475*44/12</f>
        <v>8.1363384522231665E-14</v>
      </c>
      <c r="AC131" s="24">
        <f t="shared" si="57"/>
        <v>0.43461633741916084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3.1036506698001178E-14</v>
      </c>
      <c r="AK131" s="14">
        <f t="shared" si="89"/>
        <v>5.3428243983771088E-13</v>
      </c>
      <c r="AL131" s="22">
        <f t="shared" si="58"/>
        <v>9.8459716521636505E-13</v>
      </c>
      <c r="AM131" s="62">
        <f t="shared" si="59"/>
        <v>283.5746370985695</v>
      </c>
      <c r="AN131" s="62">
        <f ca="1">AVERAGE(OFFSET($AM$3,0,0,'Données projet'!$E$10+1,1))-AVERAGE(OFFSET($H$3,0,0,'Données projet'!$E$10+1,1))</f>
        <v>221.57008282490327</v>
      </c>
      <c r="AO131" s="62">
        <f t="shared" si="90"/>
        <v>320.19912501885199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0.30670226742763235</v>
      </c>
      <c r="AW131" s="23">
        <f>EXP(-LN(2)/2)*AW130+(1-EXP(-LN(2)/2))/(LN(2)/2)*AQ131*AT131*VLOOKUP('Données projet'!$B$10,Paramètres!$A$1:$I$89,3,0)*0.475*44/12</f>
        <v>6.0957596668617081E-15</v>
      </c>
      <c r="AX131" s="23">
        <f t="shared" si="60"/>
        <v>0.30670226742763845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368.99999999999966</v>
      </c>
      <c r="BE131" s="14">
        <f>BD131*VLOOKUP('Données projet'!$B$11,Paramètres!$A$1:$I$89,3,0)*VLOOKUP('Données projet'!$B$11,Paramètres!$A$1:$I$89,5,0)</f>
        <v>270.55079999999975</v>
      </c>
      <c r="BF131" s="14">
        <f t="shared" si="91"/>
        <v>64.966149081071777</v>
      </c>
      <c r="BG131" s="22">
        <f t="shared" si="61"/>
        <v>584.35868631619962</v>
      </c>
      <c r="BH131" s="62">
        <f t="shared" si="62"/>
        <v>867.93332341476821</v>
      </c>
      <c r="BI131" s="62">
        <f ca="1">AVERAGE(OFFSET($BH$3,0,0,'Données projet'!$E$11+1,1))-AVERAGE(OFFSET($H$3,0,0,'Données projet'!$E$11+1,1))</f>
        <v>400.4480038202409</v>
      </c>
      <c r="BJ131" s="62">
        <f t="shared" si="92"/>
        <v>384.86917865380076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1.8601558584523392</v>
      </c>
      <c r="BR131" s="23">
        <f>EXP(-LN(2)/2)*BR130+(1-EXP(-LN(2)/2))/(LN(2)/2)*BL131*BO131*VLOOKUP('Données projet'!$B$11,Paramètres!$A$1:$I$89,3,0)*0.475*44/12</f>
        <v>2.00823736471864E-14</v>
      </c>
      <c r="BS131" s="24">
        <f t="shared" si="63"/>
        <v>1.8601558584523592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419.0448820879102</v>
      </c>
      <c r="T132" s="62">
        <f t="shared" si="88"/>
        <v>553.33038335026379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0.42273173081687487</v>
      </c>
      <c r="AB132" s="23">
        <f>EXP(-LN(2)/2)*AB131+(1-EXP(-LN(2)/2))/(LN(2)/2)*V132*Y132*VLOOKUP('Données projet'!$B$9,Paramètres!$A$1:$I$89,3,0)*0.475*44/12</f>
        <v>5.7532600935958594E-14</v>
      </c>
      <c r="AC132" s="24">
        <f t="shared" ref="AC132:AC153" si="111">SUM(Z132:AB132)</f>
        <v>0.42273173081693238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3.1036506698001178E-14</v>
      </c>
      <c r="AK132" s="14">
        <f t="shared" si="89"/>
        <v>5.3428243983771088E-13</v>
      </c>
      <c r="AL132" s="22">
        <f t="shared" ref="AL132:AL153" si="112">(AJ132+AK132)*0.475*44/12</f>
        <v>9.8459716521636505E-13</v>
      </c>
      <c r="AM132" s="62">
        <f t="shared" ref="AM132:AM195" si="113">AL132+(AD132+AE132)*44/12</f>
        <v>283.74392866106632</v>
      </c>
      <c r="AN132" s="62">
        <f ca="1">AVERAGE(OFFSET($AM$3,0,0,'Données projet'!$E$10+1,1))-AVERAGE(OFFSET($H$3,0,0,'Données projet'!$E$10+1,1))</f>
        <v>221.57008282490327</v>
      </c>
      <c r="AO132" s="62">
        <f t="shared" si="90"/>
        <v>320.19912501885199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0.2983154777960525</v>
      </c>
      <c r="AW132" s="23">
        <f>EXP(-LN(2)/2)*AW131+(1-EXP(-LN(2)/2))/(LN(2)/2)*AQ132*AT132*VLOOKUP('Données projet'!$B$10,Paramètres!$A$1:$I$89,3,0)*0.475*44/12</f>
        <v>4.3103529969213636E-15</v>
      </c>
      <c r="AX132" s="23">
        <f t="shared" ref="AX132:AX153" si="114">SUM(AU132:AW132)</f>
        <v>0.29831547779605683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368.99999999999966</v>
      </c>
      <c r="BE132" s="14">
        <f>BD132*VLOOKUP('Données projet'!$B$11,Paramètres!$A$1:$I$89,3,0)*VLOOKUP('Données projet'!$B$11,Paramètres!$A$1:$I$89,5,0)</f>
        <v>270.55079999999975</v>
      </c>
      <c r="BF132" s="14">
        <f t="shared" si="91"/>
        <v>64.966149081071777</v>
      </c>
      <c r="BG132" s="22">
        <f t="shared" ref="BG132:BG153" si="115">(BE132+BF132)*0.475*44/12</f>
        <v>584.35868631619962</v>
      </c>
      <c r="BH132" s="62">
        <f t="shared" ref="BH132:BH195" si="116">BG132+(AY132+AZ132)*44/12</f>
        <v>868.10261497726492</v>
      </c>
      <c r="BI132" s="62">
        <f ca="1">AVERAGE(OFFSET($BH$3,0,0,'Données projet'!$E$11+1,1))-AVERAGE(OFFSET($H$3,0,0,'Données projet'!$E$11+1,1))</f>
        <v>400.4480038202409</v>
      </c>
      <c r="BJ132" s="62">
        <f t="shared" si="92"/>
        <v>384.86917865380076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1.8092897986816148</v>
      </c>
      <c r="BR132" s="23">
        <f>EXP(-LN(2)/2)*BR131+(1-EXP(-LN(2)/2))/(LN(2)/2)*BL132*BO132*VLOOKUP('Données projet'!$B$11,Paramètres!$A$1:$I$89,3,0)*0.475*44/12</f>
        <v>1.4200382588247523E-14</v>
      </c>
      <c r="BS132" s="24">
        <f t="shared" ref="BS132:BS153" si="117">SUM(BP132:BR132)</f>
        <v>1.809289798681629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419.0448820879102</v>
      </c>
      <c r="T133" s="62">
        <f t="shared" ref="T133:T196" si="142">$T$3</f>
        <v>553.33038335026379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0.4111721094071919</v>
      </c>
      <c r="AB133" s="23">
        <f>EXP(-LN(2)/2)*AB132+(1-EXP(-LN(2)/2))/(LN(2)/2)*V133*Y133*VLOOKUP('Données projet'!$B$9,Paramètres!$A$1:$I$89,3,0)*0.475*44/12</f>
        <v>4.0681692261115832E-14</v>
      </c>
      <c r="AC133" s="24">
        <f t="shared" si="111"/>
        <v>0.41117210940723259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3.1036506698001178E-14</v>
      </c>
      <c r="AK133" s="14">
        <f t="shared" ref="AK133:AK153" si="143">EXP(-1.0587+0.8836*LN(AJ133)+0.284)</f>
        <v>5.3428243983771088E-13</v>
      </c>
      <c r="AL133" s="22">
        <f t="shared" si="112"/>
        <v>9.8459716521636505E-13</v>
      </c>
      <c r="AM133" s="62">
        <f t="shared" si="113"/>
        <v>283.91028339343308</v>
      </c>
      <c r="AN133" s="62">
        <f ca="1">AVERAGE(OFFSET($AM$3,0,0,'Données projet'!$E$10+1,1))-AVERAGE(OFFSET($H$3,0,0,'Données projet'!$E$10+1,1))</f>
        <v>221.57008282490327</v>
      </c>
      <c r="AO133" s="62">
        <f t="shared" ref="AO133:AO196" si="144">$AO$3</f>
        <v>320.19912501885199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0.29015802536799029</v>
      </c>
      <c r="AW133" s="23">
        <f>EXP(-LN(2)/2)*AW132+(1-EXP(-LN(2)/2))/(LN(2)/2)*AQ133*AT133*VLOOKUP('Données projet'!$B$10,Paramètres!$A$1:$I$89,3,0)*0.475*44/12</f>
        <v>3.0478798334308541E-15</v>
      </c>
      <c r="AX133" s="23">
        <f t="shared" si="114"/>
        <v>0.29015802536799334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368.99999999999966</v>
      </c>
      <c r="BE133" s="14">
        <f>BD133*VLOOKUP('Données projet'!$B$11,Paramètres!$A$1:$I$89,3,0)*VLOOKUP('Données projet'!$B$11,Paramètres!$A$1:$I$89,5,0)</f>
        <v>270.55079999999975</v>
      </c>
      <c r="BF133" s="14">
        <f t="shared" ref="BF133:BF153" si="145">EXP(-1.0587+0.8836*LN(BE133)+0.284)</f>
        <v>64.966149081071777</v>
      </c>
      <c r="BG133" s="22">
        <f t="shared" si="115"/>
        <v>584.35868631619962</v>
      </c>
      <c r="BH133" s="62">
        <f t="shared" si="116"/>
        <v>868.26896970963173</v>
      </c>
      <c r="BI133" s="62">
        <f ca="1">AVERAGE(OFFSET($BH$3,0,0,'Données projet'!$E$11+1,1))-AVERAGE(OFFSET($H$3,0,0,'Données projet'!$E$11+1,1))</f>
        <v>400.4480038202409</v>
      </c>
      <c r="BJ133" s="62">
        <f t="shared" ref="BJ133:BJ196" si="146">$BJ$3</f>
        <v>384.86917865380076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1.7598146739902507</v>
      </c>
      <c r="BR133" s="23">
        <f>EXP(-LN(2)/2)*BR132+(1-EXP(-LN(2)/2))/(LN(2)/2)*BL133*BO133*VLOOKUP('Données projet'!$B$11,Paramètres!$A$1:$I$89,3,0)*0.475*44/12</f>
        <v>1.0041186823593201E-14</v>
      </c>
      <c r="BS133" s="24">
        <f t="shared" si="117"/>
        <v>1.7598146739902607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419.0448820879102</v>
      </c>
      <c r="T134" s="62">
        <f t="shared" si="142"/>
        <v>553.33038335026379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0.39992858645285073</v>
      </c>
      <c r="AB134" s="23">
        <f>EXP(-LN(2)/2)*AB133+(1-EXP(-LN(2)/2))/(LN(2)/2)*V134*Y134*VLOOKUP('Données projet'!$B$9,Paramètres!$A$1:$I$89,3,0)*0.475*44/12</f>
        <v>2.8766300467979297E-14</v>
      </c>
      <c r="AC134" s="24">
        <f t="shared" si="111"/>
        <v>0.39992858645287949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3.1036506698001178E-14</v>
      </c>
      <c r="AK134" s="14">
        <f t="shared" si="143"/>
        <v>5.3428243983771088E-13</v>
      </c>
      <c r="AL134" s="22">
        <f t="shared" si="112"/>
        <v>9.8459716521636505E-13</v>
      </c>
      <c r="AM134" s="62">
        <f t="shared" si="113"/>
        <v>284.0737522431067</v>
      </c>
      <c r="AN134" s="62">
        <f ca="1">AVERAGE(OFFSET($AM$3,0,0,'Données projet'!$E$10+1,1))-AVERAGE(OFFSET($H$3,0,0,'Données projet'!$E$10+1,1))</f>
        <v>221.57008282490327</v>
      </c>
      <c r="AO134" s="62">
        <f t="shared" si="144"/>
        <v>320.19912501885199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0.28222363890555519</v>
      </c>
      <c r="AW134" s="23">
        <f>EXP(-LN(2)/2)*AW133+(1-EXP(-LN(2)/2))/(LN(2)/2)*AQ134*AT134*VLOOKUP('Données projet'!$B$10,Paramètres!$A$1:$I$89,3,0)*0.475*44/12</f>
        <v>2.1551764984606818E-15</v>
      </c>
      <c r="AX134" s="23">
        <f t="shared" si="114"/>
        <v>0.28222363890555735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368.99999999999966</v>
      </c>
      <c r="BE134" s="14">
        <f>BD134*VLOOKUP('Données projet'!$B$11,Paramètres!$A$1:$I$89,3,0)*VLOOKUP('Données projet'!$B$11,Paramètres!$A$1:$I$89,5,0)</f>
        <v>270.55079999999975</v>
      </c>
      <c r="BF134" s="14">
        <f t="shared" si="145"/>
        <v>64.966149081071777</v>
      </c>
      <c r="BG134" s="22">
        <f t="shared" si="115"/>
        <v>584.35868631619962</v>
      </c>
      <c r="BH134" s="62">
        <f t="shared" si="116"/>
        <v>868.43243855930541</v>
      </c>
      <c r="BI134" s="62">
        <f ca="1">AVERAGE(OFFSET($BH$3,0,0,'Données projet'!$E$11+1,1))-AVERAGE(OFFSET($H$3,0,0,'Données projet'!$E$11+1,1))</f>
        <v>400.4480038202409</v>
      </c>
      <c r="BJ134" s="62">
        <f t="shared" si="146"/>
        <v>384.86917865380076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1.7116924491853558</v>
      </c>
      <c r="BR134" s="23">
        <f>EXP(-LN(2)/2)*BR133+(1-EXP(-LN(2)/2))/(LN(2)/2)*BL134*BO134*VLOOKUP('Données projet'!$B$11,Paramètres!$A$1:$I$89,3,0)*0.475*44/12</f>
        <v>7.1001912941237622E-15</v>
      </c>
      <c r="BS134" s="24">
        <f t="shared" si="117"/>
        <v>1.7116924491853629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419.0448820879102</v>
      </c>
      <c r="T135" s="62">
        <f t="shared" si="142"/>
        <v>553.33038335026379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0.38899251822496722</v>
      </c>
      <c r="AB135" s="23">
        <f>EXP(-LN(2)/2)*AB134+(1-EXP(-LN(2)/2))/(LN(2)/2)*V135*Y135*VLOOKUP('Données projet'!$B$9,Paramètres!$A$1:$I$89,3,0)*0.475*44/12</f>
        <v>2.0340846130557916E-14</v>
      </c>
      <c r="AC135" s="24">
        <f t="shared" si="111"/>
        <v>0.38899251822498754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3.1036506698001178E-14</v>
      </c>
      <c r="AK135" s="14">
        <f t="shared" si="143"/>
        <v>5.3428243983771088E-13</v>
      </c>
      <c r="AL135" s="22">
        <f t="shared" si="112"/>
        <v>9.8459716521636505E-13</v>
      </c>
      <c r="AM135" s="62">
        <f t="shared" si="113"/>
        <v>284.23438527370013</v>
      </c>
      <c r="AN135" s="62">
        <f ca="1">AVERAGE(OFFSET($AM$3,0,0,'Données projet'!$E$10+1,1))-AVERAGE(OFFSET($H$3,0,0,'Données projet'!$E$10+1,1))</f>
        <v>221.57008282490327</v>
      </c>
      <c r="AO135" s="62">
        <f t="shared" si="144"/>
        <v>320.19912501885199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0.27450621865818664</v>
      </c>
      <c r="AW135" s="23">
        <f>EXP(-LN(2)/2)*AW134+(1-EXP(-LN(2)/2))/(LN(2)/2)*AQ135*AT135*VLOOKUP('Données projet'!$B$10,Paramètres!$A$1:$I$89,3,0)*0.475*44/12</f>
        <v>1.523939916715427E-15</v>
      </c>
      <c r="AX135" s="23">
        <f t="shared" si="114"/>
        <v>0.27450621865818814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368.99999999999966</v>
      </c>
      <c r="BE135" s="14">
        <f>BD135*VLOOKUP('Données projet'!$B$11,Paramètres!$A$1:$I$89,3,0)*VLOOKUP('Données projet'!$B$11,Paramètres!$A$1:$I$89,5,0)</f>
        <v>270.55079999999975</v>
      </c>
      <c r="BF135" s="14">
        <f t="shared" si="145"/>
        <v>64.966149081071777</v>
      </c>
      <c r="BG135" s="22">
        <f t="shared" si="115"/>
        <v>584.35868631619962</v>
      </c>
      <c r="BH135" s="62">
        <f t="shared" si="116"/>
        <v>868.59307158989873</v>
      </c>
      <c r="BI135" s="62">
        <f ca="1">AVERAGE(OFFSET($BH$3,0,0,'Données projet'!$E$11+1,1))-AVERAGE(OFFSET($H$3,0,0,'Données projet'!$E$11+1,1))</f>
        <v>400.4480038202409</v>
      </c>
      <c r="BJ135" s="62">
        <f t="shared" si="146"/>
        <v>384.86917865380076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1.6648861291483885</v>
      </c>
      <c r="BR135" s="23">
        <f>EXP(-LN(2)/2)*BR134+(1-EXP(-LN(2)/2))/(LN(2)/2)*BL135*BO135*VLOOKUP('Données projet'!$B$11,Paramètres!$A$1:$I$89,3,0)*0.475*44/12</f>
        <v>5.0205934117966015E-15</v>
      </c>
      <c r="BS135" s="24">
        <f t="shared" si="117"/>
        <v>1.6648861291483936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419.0448820879102</v>
      </c>
      <c r="T136" s="62">
        <f t="shared" si="142"/>
        <v>553.33038335026379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0.37835549735787799</v>
      </c>
      <c r="AB136" s="23">
        <f>EXP(-LN(2)/2)*AB135+(1-EXP(-LN(2)/2))/(LN(2)/2)*V136*Y136*VLOOKUP('Données projet'!$B$9,Paramètres!$A$1:$I$89,3,0)*0.475*44/12</f>
        <v>1.4383150233989648E-14</v>
      </c>
      <c r="AC136" s="24">
        <f t="shared" si="111"/>
        <v>0.37835549735789237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3.1036506698001178E-14</v>
      </c>
      <c r="AK136" s="14">
        <f t="shared" si="143"/>
        <v>5.3428243983771088E-13</v>
      </c>
      <c r="AL136" s="22">
        <f t="shared" si="112"/>
        <v>9.8459716521636505E-13</v>
      </c>
      <c r="AM136" s="62">
        <f t="shared" si="113"/>
        <v>284.39223168033436</v>
      </c>
      <c r="AN136" s="62">
        <f ca="1">AVERAGE(OFFSET($AM$3,0,0,'Données projet'!$E$10+1,1))-AVERAGE(OFFSET($H$3,0,0,'Données projet'!$E$10+1,1))</f>
        <v>221.57008282490327</v>
      </c>
      <c r="AO136" s="62">
        <f t="shared" si="144"/>
        <v>320.19912501885199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0.26699983167332386</v>
      </c>
      <c r="AW136" s="23">
        <f>EXP(-LN(2)/2)*AW135+(1-EXP(-LN(2)/2))/(LN(2)/2)*AQ136*AT136*VLOOKUP('Données projet'!$B$10,Paramètres!$A$1:$I$89,3,0)*0.475*44/12</f>
        <v>1.0775882492303409E-15</v>
      </c>
      <c r="AX136" s="23">
        <f t="shared" si="114"/>
        <v>0.26699983167332492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368.99999999999966</v>
      </c>
      <c r="BE136" s="14">
        <f>BD136*VLOOKUP('Données projet'!$B$11,Paramètres!$A$1:$I$89,3,0)*VLOOKUP('Données projet'!$B$11,Paramètres!$A$1:$I$89,5,0)</f>
        <v>270.55079999999975</v>
      </c>
      <c r="BF136" s="14">
        <f t="shared" si="145"/>
        <v>64.966149081071777</v>
      </c>
      <c r="BG136" s="22">
        <f t="shared" si="115"/>
        <v>584.35868631619962</v>
      </c>
      <c r="BH136" s="62">
        <f t="shared" si="116"/>
        <v>868.75091799653296</v>
      </c>
      <c r="BI136" s="62">
        <f ca="1">AVERAGE(OFFSET($BH$3,0,0,'Données projet'!$E$11+1,1))-AVERAGE(OFFSET($H$3,0,0,'Données projet'!$E$11+1,1))</f>
        <v>400.4480038202409</v>
      </c>
      <c r="BJ136" s="62">
        <f t="shared" si="146"/>
        <v>384.86917865380076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1.6193597303942695</v>
      </c>
      <c r="BR136" s="23">
        <f>EXP(-LN(2)/2)*BR135+(1-EXP(-LN(2)/2))/(LN(2)/2)*BL136*BO136*VLOOKUP('Données projet'!$B$11,Paramètres!$A$1:$I$89,3,0)*0.475*44/12</f>
        <v>3.5500956470618819E-15</v>
      </c>
      <c r="BS136" s="24">
        <f t="shared" si="117"/>
        <v>1.6193597303942731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419.0448820879102</v>
      </c>
      <c r="T137" s="62">
        <f t="shared" si="142"/>
        <v>553.33038335026379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0.36800934638577593</v>
      </c>
      <c r="AB137" s="23">
        <f>EXP(-LN(2)/2)*AB136+(1-EXP(-LN(2)/2))/(LN(2)/2)*V137*Y137*VLOOKUP('Données projet'!$B$9,Paramètres!$A$1:$I$89,3,0)*0.475*44/12</f>
        <v>1.0170423065278958E-14</v>
      </c>
      <c r="AC137" s="24">
        <f t="shared" si="111"/>
        <v>0.36800934638578608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3.1036506698001178E-14</v>
      </c>
      <c r="AK137" s="14">
        <f t="shared" si="143"/>
        <v>5.3428243983771088E-13</v>
      </c>
      <c r="AL137" s="22">
        <f t="shared" si="112"/>
        <v>9.8459716521636505E-13</v>
      </c>
      <c r="AM137" s="62">
        <f t="shared" si="113"/>
        <v>284.54733980470525</v>
      </c>
      <c r="AN137" s="62">
        <f ca="1">AVERAGE(OFFSET($AM$3,0,0,'Données projet'!$E$10+1,1))-AVERAGE(OFFSET($H$3,0,0,'Données projet'!$E$10+1,1))</f>
        <v>221.57008282490327</v>
      </c>
      <c r="AO137" s="62">
        <f t="shared" si="144"/>
        <v>320.19912501885199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0.25969870723530591</v>
      </c>
      <c r="AW137" s="23">
        <f>EXP(-LN(2)/2)*AW136+(1-EXP(-LN(2)/2))/(LN(2)/2)*AQ137*AT137*VLOOKUP('Données projet'!$B$10,Paramètres!$A$1:$I$89,3,0)*0.475*44/12</f>
        <v>7.6196995835771352E-16</v>
      </c>
      <c r="AX137" s="23">
        <f t="shared" si="114"/>
        <v>0.25969870723530669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368.99999999999966</v>
      </c>
      <c r="BE137" s="14">
        <f>BD137*VLOOKUP('Données projet'!$B$11,Paramètres!$A$1:$I$89,3,0)*VLOOKUP('Données projet'!$B$11,Paramètres!$A$1:$I$89,5,0)</f>
        <v>270.55079999999975</v>
      </c>
      <c r="BF137" s="14">
        <f t="shared" si="145"/>
        <v>64.966149081071777</v>
      </c>
      <c r="BG137" s="22">
        <f t="shared" si="115"/>
        <v>584.35868631619962</v>
      </c>
      <c r="BH137" s="62">
        <f t="shared" si="116"/>
        <v>868.9060261209039</v>
      </c>
      <c r="BI137" s="62">
        <f ca="1">AVERAGE(OFFSET($BH$3,0,0,'Données projet'!$E$11+1,1))-AVERAGE(OFFSET($H$3,0,0,'Données projet'!$E$11+1,1))</f>
        <v>400.4480038202409</v>
      </c>
      <c r="BJ137" s="62">
        <f t="shared" si="146"/>
        <v>384.86917865380076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1.5750782534082111</v>
      </c>
      <c r="BR137" s="23">
        <f>EXP(-LN(2)/2)*BR136+(1-EXP(-LN(2)/2))/(LN(2)/2)*BL137*BO137*VLOOKUP('Données projet'!$B$11,Paramètres!$A$1:$I$89,3,0)*0.475*44/12</f>
        <v>2.5102967058983011E-15</v>
      </c>
      <c r="BS137" s="24">
        <f t="shared" si="117"/>
        <v>1.5750782534082135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419.0448820879102</v>
      </c>
      <c r="T138" s="62">
        <f t="shared" si="142"/>
        <v>553.33038335026379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0.35794611145608646</v>
      </c>
      <c r="AB138" s="23">
        <f>EXP(-LN(2)/2)*AB137+(1-EXP(-LN(2)/2))/(LN(2)/2)*V138*Y138*VLOOKUP('Données projet'!$B$9,Paramètres!$A$1:$I$89,3,0)*0.475*44/12</f>
        <v>7.1915751169948242E-15</v>
      </c>
      <c r="AC138" s="24">
        <f t="shared" si="111"/>
        <v>0.35794611145609367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3.1036506698001178E-14</v>
      </c>
      <c r="AK138" s="14">
        <f t="shared" si="143"/>
        <v>5.3428243983771088E-13</v>
      </c>
      <c r="AL138" s="22">
        <f t="shared" si="112"/>
        <v>9.8459716521636505E-13</v>
      </c>
      <c r="AM138" s="62">
        <f t="shared" si="113"/>
        <v>284.69975714988811</v>
      </c>
      <c r="AN138" s="62">
        <f ca="1">AVERAGE(OFFSET($AM$3,0,0,'Données projet'!$E$10+1,1))-AVERAGE(OFFSET($H$3,0,0,'Données projet'!$E$10+1,1))</f>
        <v>221.57008282490327</v>
      </c>
      <c r="AO138" s="62">
        <f t="shared" si="144"/>
        <v>320.19912501885199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0.25259723242899501</v>
      </c>
      <c r="AW138" s="23">
        <f>EXP(-LN(2)/2)*AW137+(1-EXP(-LN(2)/2))/(LN(2)/2)*AQ138*AT138*VLOOKUP('Données projet'!$B$10,Paramètres!$A$1:$I$89,3,0)*0.475*44/12</f>
        <v>5.3879412461517045E-16</v>
      </c>
      <c r="AX138" s="23">
        <f t="shared" si="114"/>
        <v>0.25259723242899557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368.99999999999966</v>
      </c>
      <c r="BE138" s="14">
        <f>BD138*VLOOKUP('Données projet'!$B$11,Paramètres!$A$1:$I$89,3,0)*VLOOKUP('Données projet'!$B$11,Paramètres!$A$1:$I$89,5,0)</f>
        <v>270.55079999999975</v>
      </c>
      <c r="BF138" s="14">
        <f t="shared" si="145"/>
        <v>64.966149081071777</v>
      </c>
      <c r="BG138" s="22">
        <f t="shared" si="115"/>
        <v>584.35868631619962</v>
      </c>
      <c r="BH138" s="62">
        <f t="shared" si="116"/>
        <v>869.05844346608683</v>
      </c>
      <c r="BI138" s="62">
        <f ca="1">AVERAGE(OFFSET($BH$3,0,0,'Données projet'!$E$11+1,1))-AVERAGE(OFFSET($H$3,0,0,'Données projet'!$E$11+1,1))</f>
        <v>400.4480038202409</v>
      </c>
      <c r="BJ138" s="62">
        <f t="shared" si="146"/>
        <v>384.86917865380076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1.5320076557389981</v>
      </c>
      <c r="BR138" s="23">
        <f>EXP(-LN(2)/2)*BR137+(1-EXP(-LN(2)/2))/(LN(2)/2)*BL138*BO138*VLOOKUP('Données projet'!$B$11,Paramètres!$A$1:$I$89,3,0)*0.475*44/12</f>
        <v>1.7750478235309411E-15</v>
      </c>
      <c r="BS138" s="24">
        <f t="shared" si="117"/>
        <v>1.5320076557389999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419.0448820879102</v>
      </c>
      <c r="T139" s="62">
        <f t="shared" si="142"/>
        <v>553.33038335026379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0.34815805621475188</v>
      </c>
      <c r="AB139" s="23">
        <f>EXP(-LN(2)/2)*AB138+(1-EXP(-LN(2)/2))/(LN(2)/2)*V139*Y139*VLOOKUP('Données projet'!$B$9,Paramètres!$A$1:$I$89,3,0)*0.475*44/12</f>
        <v>5.0852115326394791E-15</v>
      </c>
      <c r="AC139" s="24">
        <f t="shared" si="111"/>
        <v>0.34815805621475698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3.1036506698001178E-14</v>
      </c>
      <c r="AK139" s="14">
        <f t="shared" si="143"/>
        <v>5.3428243983771088E-13</v>
      </c>
      <c r="AL139" s="22">
        <f t="shared" si="112"/>
        <v>9.8459716521636505E-13</v>
      </c>
      <c r="AM139" s="62">
        <f t="shared" si="113"/>
        <v>284.84953039488619</v>
      </c>
      <c r="AN139" s="62">
        <f ca="1">AVERAGE(OFFSET($AM$3,0,0,'Données projet'!$E$10+1,1))-AVERAGE(OFFSET($H$3,0,0,'Données projet'!$E$10+1,1))</f>
        <v>221.57008282490327</v>
      </c>
      <c r="AO139" s="62">
        <f t="shared" si="144"/>
        <v>320.19912501885199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0.24568994782471301</v>
      </c>
      <c r="AW139" s="23">
        <f>EXP(-LN(2)/2)*AW138+(1-EXP(-LN(2)/2))/(LN(2)/2)*AQ139*AT139*VLOOKUP('Données projet'!$B$10,Paramètres!$A$1:$I$89,3,0)*0.475*44/12</f>
        <v>3.8098497917885676E-16</v>
      </c>
      <c r="AX139" s="23">
        <f t="shared" si="114"/>
        <v>0.2456899478247134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368.99999999999966</v>
      </c>
      <c r="BE139" s="14">
        <f>BD139*VLOOKUP('Données projet'!$B$11,Paramètres!$A$1:$I$89,3,0)*VLOOKUP('Données projet'!$B$11,Paramètres!$A$1:$I$89,5,0)</f>
        <v>270.55079999999975</v>
      </c>
      <c r="BF139" s="14">
        <f t="shared" si="145"/>
        <v>64.966149081071777</v>
      </c>
      <c r="BG139" s="22">
        <f t="shared" si="115"/>
        <v>584.35868631619962</v>
      </c>
      <c r="BH139" s="62">
        <f t="shared" si="116"/>
        <v>869.20821671108479</v>
      </c>
      <c r="BI139" s="62">
        <f ca="1">AVERAGE(OFFSET($BH$3,0,0,'Données projet'!$E$11+1,1))-AVERAGE(OFFSET($H$3,0,0,'Données projet'!$E$11+1,1))</f>
        <v>400.4480038202409</v>
      </c>
      <c r="BJ139" s="62">
        <f t="shared" si="146"/>
        <v>384.86917865380076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1.4901148258280341</v>
      </c>
      <c r="BR139" s="23">
        <f>EXP(-LN(2)/2)*BR138+(1-EXP(-LN(2)/2))/(LN(2)/2)*BL139*BO139*VLOOKUP('Données projet'!$B$11,Paramètres!$A$1:$I$89,3,0)*0.475*44/12</f>
        <v>1.2551483529491508E-15</v>
      </c>
      <c r="BS139" s="24">
        <f t="shared" si="117"/>
        <v>1.4901148258280354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419.0448820879102</v>
      </c>
      <c r="T140" s="62">
        <f t="shared" si="142"/>
        <v>553.33038335026379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0.33863765585872302</v>
      </c>
      <c r="AB140" s="23">
        <f>EXP(-LN(2)/2)*AB139+(1-EXP(-LN(2)/2))/(LN(2)/2)*V140*Y140*VLOOKUP('Données projet'!$B$9,Paramètres!$A$1:$I$89,3,0)*0.475*44/12</f>
        <v>3.5957875584974121E-15</v>
      </c>
      <c r="AC140" s="24">
        <f t="shared" si="111"/>
        <v>0.33863765585872663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3.1036506698001178E-14</v>
      </c>
      <c r="AK140" s="14">
        <f t="shared" si="143"/>
        <v>5.3428243983771088E-13</v>
      </c>
      <c r="AL140" s="22">
        <f t="shared" si="112"/>
        <v>9.8459716521636505E-13</v>
      </c>
      <c r="AM140" s="62">
        <f t="shared" si="113"/>
        <v>284.99670540892635</v>
      </c>
      <c r="AN140" s="62">
        <f ca="1">AVERAGE(OFFSET($AM$3,0,0,'Données projet'!$E$10+1,1))-AVERAGE(OFFSET($H$3,0,0,'Données projet'!$E$10+1,1))</f>
        <v>221.57008282490327</v>
      </c>
      <c r="AO140" s="62">
        <f t="shared" si="144"/>
        <v>320.19912501885199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0.2389715432811734</v>
      </c>
      <c r="AW140" s="23">
        <f>EXP(-LN(2)/2)*AW139+(1-EXP(-LN(2)/2))/(LN(2)/2)*AQ140*AT140*VLOOKUP('Données projet'!$B$10,Paramètres!$A$1:$I$89,3,0)*0.475*44/12</f>
        <v>2.6939706230758522E-16</v>
      </c>
      <c r="AX140" s="23">
        <f t="shared" si="114"/>
        <v>0.23897154328117368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368.99999999999966</v>
      </c>
      <c r="BE140" s="14">
        <f>BD140*VLOOKUP('Données projet'!$B$11,Paramètres!$A$1:$I$89,3,0)*VLOOKUP('Données projet'!$B$11,Paramètres!$A$1:$I$89,5,0)</f>
        <v>270.55079999999975</v>
      </c>
      <c r="BF140" s="14">
        <f t="shared" si="145"/>
        <v>64.966149081071777</v>
      </c>
      <c r="BG140" s="22">
        <f t="shared" si="115"/>
        <v>584.35868631619962</v>
      </c>
      <c r="BH140" s="62">
        <f t="shared" si="116"/>
        <v>869.35539172512495</v>
      </c>
      <c r="BI140" s="62">
        <f ca="1">AVERAGE(OFFSET($BH$3,0,0,'Données projet'!$E$11+1,1))-AVERAGE(OFFSET($H$3,0,0,'Données projet'!$E$11+1,1))</f>
        <v>400.4480038202409</v>
      </c>
      <c r="BJ140" s="62">
        <f t="shared" si="146"/>
        <v>384.86917865380076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1.4493675575540335</v>
      </c>
      <c r="BR140" s="23">
        <f>EXP(-LN(2)/2)*BR139+(1-EXP(-LN(2)/2))/(LN(2)/2)*BL140*BO140*VLOOKUP('Données projet'!$B$11,Paramètres!$A$1:$I$89,3,0)*0.475*44/12</f>
        <v>8.8752391176547076E-16</v>
      </c>
      <c r="BS140" s="24">
        <f t="shared" si="117"/>
        <v>1.4493675575540343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419.0448820879102</v>
      </c>
      <c r="T141" s="62">
        <f t="shared" si="142"/>
        <v>553.33038335026379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0.32937759135108591</v>
      </c>
      <c r="AB141" s="23">
        <f>EXP(-LN(2)/2)*AB140+(1-EXP(-LN(2)/2))/(LN(2)/2)*V141*Y141*VLOOKUP('Données projet'!$B$9,Paramètres!$A$1:$I$89,3,0)*0.475*44/12</f>
        <v>2.5426057663197395E-15</v>
      </c>
      <c r="AC141" s="24">
        <f t="shared" si="111"/>
        <v>0.32937759135108846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3.1036506698001178E-14</v>
      </c>
      <c r="AK141" s="14">
        <f t="shared" si="143"/>
        <v>5.3428243983771088E-13</v>
      </c>
      <c r="AL141" s="22">
        <f t="shared" si="112"/>
        <v>9.8459716521636505E-13</v>
      </c>
      <c r="AM141" s="62">
        <f t="shared" si="113"/>
        <v>285.1413272655069</v>
      </c>
      <c r="AN141" s="62">
        <f ca="1">AVERAGE(OFFSET($AM$3,0,0,'Données projet'!$E$10+1,1))-AVERAGE(OFFSET($H$3,0,0,'Données projet'!$E$10+1,1))</f>
        <v>221.57008282490327</v>
      </c>
      <c r="AO141" s="62">
        <f t="shared" si="144"/>
        <v>320.19912501885199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0.23243685386318244</v>
      </c>
      <c r="AW141" s="23">
        <f>EXP(-LN(2)/2)*AW140+(1-EXP(-LN(2)/2))/(LN(2)/2)*AQ141*AT141*VLOOKUP('Données projet'!$B$10,Paramètres!$A$1:$I$89,3,0)*0.475*44/12</f>
        <v>1.9049248958942838E-16</v>
      </c>
      <c r="AX141" s="23">
        <f t="shared" si="114"/>
        <v>0.23243685386318264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368.99999999999966</v>
      </c>
      <c r="BE141" s="14">
        <f>BD141*VLOOKUP('Données projet'!$B$11,Paramètres!$A$1:$I$89,3,0)*VLOOKUP('Données projet'!$B$11,Paramètres!$A$1:$I$89,5,0)</f>
        <v>270.55079999999975</v>
      </c>
      <c r="BF141" s="14">
        <f t="shared" si="145"/>
        <v>64.966149081071777</v>
      </c>
      <c r="BG141" s="22">
        <f t="shared" si="115"/>
        <v>584.35868631619962</v>
      </c>
      <c r="BH141" s="62">
        <f t="shared" si="116"/>
        <v>869.50001358170562</v>
      </c>
      <c r="BI141" s="62">
        <f ca="1">AVERAGE(OFFSET($BH$3,0,0,'Données projet'!$E$11+1,1))-AVERAGE(OFFSET($H$3,0,0,'Données projet'!$E$11+1,1))</f>
        <v>400.4480038202409</v>
      </c>
      <c r="BJ141" s="62">
        <f t="shared" si="146"/>
        <v>384.86917865380076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1.4097345254737912</v>
      </c>
      <c r="BR141" s="23">
        <f>EXP(-LN(2)/2)*BR140+(1-EXP(-LN(2)/2))/(LN(2)/2)*BL141*BO141*VLOOKUP('Données projet'!$B$11,Paramètres!$A$1:$I$89,3,0)*0.475*44/12</f>
        <v>6.2757417647457548E-16</v>
      </c>
      <c r="BS141" s="24">
        <f t="shared" si="117"/>
        <v>1.4097345254737919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419.0448820879102</v>
      </c>
      <c r="T142" s="62">
        <f t="shared" si="142"/>
        <v>553.33038335026379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0.32037074379437575</v>
      </c>
      <c r="AB142" s="23">
        <f>EXP(-LN(2)/2)*AB141+(1-EXP(-LN(2)/2))/(LN(2)/2)*V142*Y142*VLOOKUP('Données projet'!$B$9,Paramètres!$A$1:$I$89,3,0)*0.475*44/12</f>
        <v>1.7978937792487061E-15</v>
      </c>
      <c r="AC142" s="24">
        <f t="shared" si="111"/>
        <v>0.32037074379437752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3.1036506698001178E-14</v>
      </c>
      <c r="AK142" s="14">
        <f t="shared" si="143"/>
        <v>5.3428243983771088E-13</v>
      </c>
      <c r="AL142" s="22">
        <f t="shared" si="112"/>
        <v>9.8459716521636505E-13</v>
      </c>
      <c r="AM142" s="62">
        <f t="shared" si="113"/>
        <v>285.28344025620186</v>
      </c>
      <c r="AN142" s="62">
        <f ca="1">AVERAGE(OFFSET($AM$3,0,0,'Données projet'!$E$10+1,1))-AVERAGE(OFFSET($H$3,0,0,'Données projet'!$E$10+1,1))</f>
        <v>221.57008282490327</v>
      </c>
      <c r="AO142" s="62">
        <f t="shared" si="144"/>
        <v>320.19912501885199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0.22608085587097082</v>
      </c>
      <c r="AW142" s="23">
        <f>EXP(-LN(2)/2)*AW141+(1-EXP(-LN(2)/2))/(LN(2)/2)*AQ142*AT142*VLOOKUP('Données projet'!$B$10,Paramètres!$A$1:$I$89,3,0)*0.475*44/12</f>
        <v>1.3469853115379261E-16</v>
      </c>
      <c r="AX142" s="23">
        <f t="shared" si="114"/>
        <v>0.22608085587097096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368.99999999999966</v>
      </c>
      <c r="BE142" s="14">
        <f>BD142*VLOOKUP('Données projet'!$B$11,Paramètres!$A$1:$I$89,3,0)*VLOOKUP('Données projet'!$B$11,Paramètres!$A$1:$I$89,5,0)</f>
        <v>270.55079999999975</v>
      </c>
      <c r="BF142" s="14">
        <f t="shared" si="145"/>
        <v>64.966149081071777</v>
      </c>
      <c r="BG142" s="22">
        <f t="shared" si="115"/>
        <v>584.35868631619962</v>
      </c>
      <c r="BH142" s="62">
        <f t="shared" si="116"/>
        <v>869.64212657240046</v>
      </c>
      <c r="BI142" s="62">
        <f ca="1">AVERAGE(OFFSET($BH$3,0,0,'Données projet'!$E$11+1,1))-AVERAGE(OFFSET($H$3,0,0,'Données projet'!$E$11+1,1))</f>
        <v>400.4480038202409</v>
      </c>
      <c r="BJ142" s="62">
        <f t="shared" si="146"/>
        <v>384.86917865380076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1.3711852607399937</v>
      </c>
      <c r="BR142" s="23">
        <f>EXP(-LN(2)/2)*BR141+(1-EXP(-LN(2)/2))/(LN(2)/2)*BL142*BO142*VLOOKUP('Données projet'!$B$11,Paramètres!$A$1:$I$89,3,0)*0.475*44/12</f>
        <v>4.4376195588273543E-16</v>
      </c>
      <c r="BS142" s="24">
        <f t="shared" si="117"/>
        <v>1.3711852607399941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419.0448820879102</v>
      </c>
      <c r="T143" s="62">
        <f t="shared" si="142"/>
        <v>553.33038335026379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0.31161018895775333</v>
      </c>
      <c r="AB143" s="23">
        <f>EXP(-LN(2)/2)*AB142+(1-EXP(-LN(2)/2))/(LN(2)/2)*V143*Y143*VLOOKUP('Données projet'!$B$9,Paramètres!$A$1:$I$89,3,0)*0.475*44/12</f>
        <v>1.2713028831598698E-15</v>
      </c>
      <c r="AC143" s="24">
        <f t="shared" si="111"/>
        <v>0.31161018895775461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3.1036506698001178E-14</v>
      </c>
      <c r="AK143" s="14">
        <f t="shared" si="143"/>
        <v>5.3428243983771088E-13</v>
      </c>
      <c r="AL143" s="22">
        <f t="shared" si="112"/>
        <v>9.8459716521636505E-13</v>
      </c>
      <c r="AM143" s="62">
        <f t="shared" si="113"/>
        <v>285.42308790422533</v>
      </c>
      <c r="AN143" s="62">
        <f ca="1">AVERAGE(OFFSET($AM$3,0,0,'Données projet'!$E$10+1,1))-AVERAGE(OFFSET($H$3,0,0,'Données projet'!$E$10+1,1))</f>
        <v>221.57008282490327</v>
      </c>
      <c r="AO143" s="62">
        <f t="shared" si="144"/>
        <v>320.19912501885199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0.21989866297810362</v>
      </c>
      <c r="AW143" s="23">
        <f>EXP(-LN(2)/2)*AW142+(1-EXP(-LN(2)/2))/(LN(2)/2)*AQ143*AT143*VLOOKUP('Données projet'!$B$10,Paramètres!$A$1:$I$89,3,0)*0.475*44/12</f>
        <v>9.5246244794714189E-17</v>
      </c>
      <c r="AX143" s="23">
        <f t="shared" si="114"/>
        <v>0.2198986629781037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368.99999999999966</v>
      </c>
      <c r="BE143" s="14">
        <f>BD143*VLOOKUP('Données projet'!$B$11,Paramètres!$A$1:$I$89,3,0)*VLOOKUP('Données projet'!$B$11,Paramètres!$A$1:$I$89,5,0)</f>
        <v>270.55079999999975</v>
      </c>
      <c r="BF143" s="14">
        <f t="shared" si="145"/>
        <v>64.966149081071777</v>
      </c>
      <c r="BG143" s="22">
        <f t="shared" si="115"/>
        <v>584.35868631619962</v>
      </c>
      <c r="BH143" s="62">
        <f t="shared" si="116"/>
        <v>869.78177422042404</v>
      </c>
      <c r="BI143" s="62">
        <f ca="1">AVERAGE(OFFSET($BH$3,0,0,'Données projet'!$E$11+1,1))-AVERAGE(OFFSET($H$3,0,0,'Données projet'!$E$11+1,1))</f>
        <v>400.4480038202409</v>
      </c>
      <c r="BJ143" s="62">
        <f t="shared" si="146"/>
        <v>384.86917865380076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1.3336901276775597</v>
      </c>
      <c r="BR143" s="23">
        <f>EXP(-LN(2)/2)*BR142+(1-EXP(-LN(2)/2))/(LN(2)/2)*BL143*BO143*VLOOKUP('Données projet'!$B$11,Paramètres!$A$1:$I$89,3,0)*0.475*44/12</f>
        <v>3.1378708823728779E-16</v>
      </c>
      <c r="BS143" s="24">
        <f t="shared" si="117"/>
        <v>1.3336901276775599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419.0448820879102</v>
      </c>
      <c r="T144" s="62">
        <f t="shared" si="142"/>
        <v>553.33038335026379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0.30308919195383593</v>
      </c>
      <c r="AB144" s="23">
        <f>EXP(-LN(2)/2)*AB143+(1-EXP(-LN(2)/2))/(LN(2)/2)*V144*Y144*VLOOKUP('Données projet'!$B$9,Paramètres!$A$1:$I$89,3,0)*0.475*44/12</f>
        <v>8.9894688962435303E-16</v>
      </c>
      <c r="AC144" s="24">
        <f t="shared" si="111"/>
        <v>0.30308919195383682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3.1036506698001178E-14</v>
      </c>
      <c r="AK144" s="14">
        <f t="shared" si="143"/>
        <v>5.3428243983771088E-13</v>
      </c>
      <c r="AL144" s="22">
        <f t="shared" si="112"/>
        <v>9.8459716521636505E-13</v>
      </c>
      <c r="AM144" s="62">
        <f t="shared" si="113"/>
        <v>285.56031297776099</v>
      </c>
      <c r="AN144" s="62">
        <f ca="1">AVERAGE(OFFSET($AM$3,0,0,'Données projet'!$E$10+1,1))-AVERAGE(OFFSET($H$3,0,0,'Données projet'!$E$10+1,1))</f>
        <v>221.57008282490327</v>
      </c>
      <c r="AO144" s="62">
        <f t="shared" si="144"/>
        <v>320.19912501885199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0.21388552247499928</v>
      </c>
      <c r="AW144" s="23">
        <f>EXP(-LN(2)/2)*AW143+(1-EXP(-LN(2)/2))/(LN(2)/2)*AQ144*AT144*VLOOKUP('Données projet'!$B$10,Paramètres!$A$1:$I$89,3,0)*0.475*44/12</f>
        <v>6.7349265576896306E-17</v>
      </c>
      <c r="AX144" s="23">
        <f t="shared" si="114"/>
        <v>0.21388552247499934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368.99999999999966</v>
      </c>
      <c r="BE144" s="14">
        <f>BD144*VLOOKUP('Données projet'!$B$11,Paramètres!$A$1:$I$89,3,0)*VLOOKUP('Données projet'!$B$11,Paramètres!$A$1:$I$89,5,0)</f>
        <v>270.55079999999975</v>
      </c>
      <c r="BF144" s="14">
        <f t="shared" si="145"/>
        <v>64.966149081071777</v>
      </c>
      <c r="BG144" s="22">
        <f t="shared" si="115"/>
        <v>584.35868631619962</v>
      </c>
      <c r="BH144" s="62">
        <f t="shared" si="116"/>
        <v>869.91899929395959</v>
      </c>
      <c r="BI144" s="62">
        <f ca="1">AVERAGE(OFFSET($BH$3,0,0,'Données projet'!$E$11+1,1))-AVERAGE(OFFSET($H$3,0,0,'Données projet'!$E$11+1,1))</f>
        <v>400.4480038202409</v>
      </c>
      <c r="BJ144" s="62">
        <f t="shared" si="146"/>
        <v>384.86917865380076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1.2972203010005012</v>
      </c>
      <c r="BR144" s="23">
        <f>EXP(-LN(2)/2)*BR143+(1-EXP(-LN(2)/2))/(LN(2)/2)*BL144*BO144*VLOOKUP('Données projet'!$B$11,Paramètres!$A$1:$I$89,3,0)*0.475*44/12</f>
        <v>2.2188097794136777E-16</v>
      </c>
      <c r="BS144" s="24">
        <f t="shared" si="117"/>
        <v>1.2972203010005015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419.0448820879102</v>
      </c>
      <c r="T145" s="62">
        <f t="shared" si="142"/>
        <v>553.33038335026379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0.29480120206109039</v>
      </c>
      <c r="AB145" s="23">
        <f>EXP(-LN(2)/2)*AB144+(1-EXP(-LN(2)/2))/(LN(2)/2)*V145*Y145*VLOOKUP('Données projet'!$B$9,Paramètres!$A$1:$I$89,3,0)*0.475*44/12</f>
        <v>6.3565144157993488E-16</v>
      </c>
      <c r="AC145" s="24">
        <f t="shared" si="111"/>
        <v>0.29480120206109101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3.1036506698001178E-14</v>
      </c>
      <c r="AK145" s="14">
        <f t="shared" si="143"/>
        <v>5.3428243983771088E-13</v>
      </c>
      <c r="AL145" s="22">
        <f t="shared" si="112"/>
        <v>9.8459716521636505E-13</v>
      </c>
      <c r="AM145" s="62">
        <f t="shared" si="113"/>
        <v>285.69515750306005</v>
      </c>
      <c r="AN145" s="62">
        <f ca="1">AVERAGE(OFFSET($AM$3,0,0,'Données projet'!$E$10+1,1))-AVERAGE(OFFSET($H$3,0,0,'Données projet'!$E$10+1,1))</f>
        <v>221.57008282490327</v>
      </c>
      <c r="AO145" s="62">
        <f t="shared" si="144"/>
        <v>320.19912501885199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0.20803681161516965</v>
      </c>
      <c r="AW145" s="23">
        <f>EXP(-LN(2)/2)*AW144+(1-EXP(-LN(2)/2))/(LN(2)/2)*AQ145*AT145*VLOOKUP('Données projet'!$B$10,Paramètres!$A$1:$I$89,3,0)*0.475*44/12</f>
        <v>4.7623122397357095E-17</v>
      </c>
      <c r="AX145" s="23">
        <f t="shared" si="114"/>
        <v>0.20803681161516971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368.99999999999966</v>
      </c>
      <c r="BE145" s="14">
        <f>BD145*VLOOKUP('Données projet'!$B$11,Paramètres!$A$1:$I$89,3,0)*VLOOKUP('Données projet'!$B$11,Paramètres!$A$1:$I$89,5,0)</f>
        <v>270.55079999999975</v>
      </c>
      <c r="BF145" s="14">
        <f t="shared" si="145"/>
        <v>64.966149081071777</v>
      </c>
      <c r="BG145" s="22">
        <f t="shared" si="115"/>
        <v>584.35868631619962</v>
      </c>
      <c r="BH145" s="62">
        <f t="shared" si="116"/>
        <v>870.05384381925865</v>
      </c>
      <c r="BI145" s="62">
        <f ca="1">AVERAGE(OFFSET($BH$3,0,0,'Données projet'!$E$11+1,1))-AVERAGE(OFFSET($H$3,0,0,'Données projet'!$E$11+1,1))</f>
        <v>400.4480038202409</v>
      </c>
      <c r="BJ145" s="62">
        <f t="shared" si="146"/>
        <v>384.86917865380076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1.2617477436517917</v>
      </c>
      <c r="BR145" s="23">
        <f>EXP(-LN(2)/2)*BR144+(1-EXP(-LN(2)/2))/(LN(2)/2)*BL145*BO145*VLOOKUP('Données projet'!$B$11,Paramètres!$A$1:$I$89,3,0)*0.475*44/12</f>
        <v>1.5689354411864392E-16</v>
      </c>
      <c r="BS145" s="24">
        <f t="shared" si="117"/>
        <v>1.2617477436517919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419.0448820879102</v>
      </c>
      <c r="T146" s="62">
        <f t="shared" si="142"/>
        <v>553.33038335026379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0.28673984768780841</v>
      </c>
      <c r="AB146" s="23">
        <f>EXP(-LN(2)/2)*AB145+(1-EXP(-LN(2)/2))/(LN(2)/2)*V146*Y146*VLOOKUP('Données projet'!$B$9,Paramètres!$A$1:$I$89,3,0)*0.475*44/12</f>
        <v>4.4947344481217651E-16</v>
      </c>
      <c r="AC146" s="24">
        <f t="shared" si="111"/>
        <v>0.28673984768780886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3.1036506698001178E-14</v>
      </c>
      <c r="AK146" s="14">
        <f t="shared" si="143"/>
        <v>5.3428243983771088E-13</v>
      </c>
      <c r="AL146" s="22">
        <f t="shared" si="112"/>
        <v>9.8459716521636505E-13</v>
      </c>
      <c r="AM146" s="62">
        <f t="shared" si="113"/>
        <v>285.82766277731241</v>
      </c>
      <c r="AN146" s="62">
        <f ca="1">AVERAGE(OFFSET($AM$3,0,0,'Données projet'!$E$10+1,1))-AVERAGE(OFFSET($H$3,0,0,'Données projet'!$E$10+1,1))</f>
        <v>221.57008282490327</v>
      </c>
      <c r="AO146" s="62">
        <f t="shared" si="144"/>
        <v>320.19912501885199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0.20234803406137239</v>
      </c>
      <c r="AW146" s="23">
        <f>EXP(-LN(2)/2)*AW145+(1-EXP(-LN(2)/2))/(LN(2)/2)*AQ146*AT146*VLOOKUP('Données projet'!$B$10,Paramètres!$A$1:$I$89,3,0)*0.475*44/12</f>
        <v>3.3674632788448153E-17</v>
      </c>
      <c r="AX146" s="23">
        <f t="shared" si="114"/>
        <v>0.20234803406137242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368.99999999999966</v>
      </c>
      <c r="BE146" s="14">
        <f>BD146*VLOOKUP('Données projet'!$B$11,Paramètres!$A$1:$I$89,3,0)*VLOOKUP('Données projet'!$B$11,Paramètres!$A$1:$I$89,5,0)</f>
        <v>270.55079999999975</v>
      </c>
      <c r="BF146" s="14">
        <f t="shared" si="145"/>
        <v>64.966149081071777</v>
      </c>
      <c r="BG146" s="22">
        <f t="shared" si="115"/>
        <v>584.35868631619962</v>
      </c>
      <c r="BH146" s="62">
        <f t="shared" si="116"/>
        <v>870.18634909351113</v>
      </c>
      <c r="BI146" s="62">
        <f ca="1">AVERAGE(OFFSET($BH$3,0,0,'Données projet'!$E$11+1,1))-AVERAGE(OFFSET($H$3,0,0,'Données projet'!$E$11+1,1))</f>
        <v>400.4480038202409</v>
      </c>
      <c r="BJ146" s="62">
        <f t="shared" si="146"/>
        <v>384.86917865380076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1.2272451852492032</v>
      </c>
      <c r="BR146" s="23">
        <f>EXP(-LN(2)/2)*BR145+(1-EXP(-LN(2)/2))/(LN(2)/2)*BL146*BO146*VLOOKUP('Données projet'!$B$11,Paramètres!$A$1:$I$89,3,0)*0.475*44/12</f>
        <v>1.1094048897068389E-16</v>
      </c>
      <c r="BS146" s="24">
        <f t="shared" si="117"/>
        <v>1.2272451852492032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419.0448820879102</v>
      </c>
      <c r="T147" s="62">
        <f t="shared" si="142"/>
        <v>553.33038335026379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0.27889893147379208</v>
      </c>
      <c r="AB147" s="23">
        <f>EXP(-LN(2)/2)*AB146+(1-EXP(-LN(2)/2))/(LN(2)/2)*V147*Y147*VLOOKUP('Données projet'!$B$9,Paramètres!$A$1:$I$89,3,0)*0.475*44/12</f>
        <v>3.1782572078996744E-16</v>
      </c>
      <c r="AC147" s="24">
        <f t="shared" si="111"/>
        <v>0.27889893147379241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3.1036506698001178E-14</v>
      </c>
      <c r="AK147" s="14">
        <f t="shared" si="143"/>
        <v>5.3428243983771088E-13</v>
      </c>
      <c r="AL147" s="22">
        <f t="shared" si="112"/>
        <v>9.8459716521636505E-13</v>
      </c>
      <c r="AM147" s="62">
        <f t="shared" si="113"/>
        <v>285.95786938129385</v>
      </c>
      <c r="AN147" s="62">
        <f ca="1">AVERAGE(OFFSET($AM$3,0,0,'Données projet'!$E$10+1,1))-AVERAGE(OFFSET($H$3,0,0,'Données projet'!$E$10+1,1))</f>
        <v>221.57008282490327</v>
      </c>
      <c r="AO147" s="62">
        <f t="shared" si="144"/>
        <v>320.19912501885199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0.19681481642894352</v>
      </c>
      <c r="AW147" s="23">
        <f>EXP(-LN(2)/2)*AW146+(1-EXP(-LN(2)/2))/(LN(2)/2)*AQ147*AT147*VLOOKUP('Données projet'!$B$10,Paramètres!$A$1:$I$89,3,0)*0.475*44/12</f>
        <v>2.3811561198678547E-17</v>
      </c>
      <c r="AX147" s="23">
        <f t="shared" si="114"/>
        <v>0.19681481642894355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368.99999999999966</v>
      </c>
      <c r="BE147" s="14">
        <f>BD147*VLOOKUP('Données projet'!$B$11,Paramètres!$A$1:$I$89,3,0)*VLOOKUP('Données projet'!$B$11,Paramètres!$A$1:$I$89,5,0)</f>
        <v>270.55079999999975</v>
      </c>
      <c r="BF147" s="14">
        <f t="shared" si="145"/>
        <v>64.966149081071777</v>
      </c>
      <c r="BG147" s="22">
        <f t="shared" si="115"/>
        <v>584.35868631619962</v>
      </c>
      <c r="BH147" s="62">
        <f t="shared" si="116"/>
        <v>870.3165556974925</v>
      </c>
      <c r="BI147" s="62">
        <f ca="1">AVERAGE(OFFSET($BH$3,0,0,'Données projet'!$E$11+1,1))-AVERAGE(OFFSET($H$3,0,0,'Données projet'!$E$11+1,1))</f>
        <v>400.4480038202409</v>
      </c>
      <c r="BJ147" s="62">
        <f t="shared" si="146"/>
        <v>384.86917865380076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1.1936861011205444</v>
      </c>
      <c r="BR147" s="23">
        <f>EXP(-LN(2)/2)*BR146+(1-EXP(-LN(2)/2))/(LN(2)/2)*BL147*BO147*VLOOKUP('Données projet'!$B$11,Paramètres!$A$1:$I$89,3,0)*0.475*44/12</f>
        <v>7.8446772059321972E-17</v>
      </c>
      <c r="BS147" s="24">
        <f t="shared" si="117"/>
        <v>1.1936861011205444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419.0448820879102</v>
      </c>
      <c r="T148" s="62">
        <f t="shared" si="142"/>
        <v>553.33038335026379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0.27127242552598385</v>
      </c>
      <c r="AB148" s="23">
        <f>EXP(-LN(2)/2)*AB147+(1-EXP(-LN(2)/2))/(LN(2)/2)*V148*Y148*VLOOKUP('Données projet'!$B$9,Paramètres!$A$1:$I$89,3,0)*0.475*44/12</f>
        <v>2.2473672240608826E-16</v>
      </c>
      <c r="AC148" s="24">
        <f t="shared" si="111"/>
        <v>0.27127242552598407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3.1036506698001178E-14</v>
      </c>
      <c r="AK148" s="14">
        <f t="shared" si="143"/>
        <v>5.3428243983771088E-13</v>
      </c>
      <c r="AL148" s="22">
        <f t="shared" si="112"/>
        <v>9.8459716521636505E-13</v>
      </c>
      <c r="AM148" s="62">
        <f t="shared" si="113"/>
        <v>286.08581719179455</v>
      </c>
      <c r="AN148" s="62">
        <f ca="1">AVERAGE(OFFSET($AM$3,0,0,'Données projet'!$E$10+1,1))-AVERAGE(OFFSET($H$3,0,0,'Données projet'!$E$10+1,1))</f>
        <v>221.57008282490327</v>
      </c>
      <c r="AO148" s="62">
        <f t="shared" si="144"/>
        <v>320.19912501885199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0.1914329049236527</v>
      </c>
      <c r="AW148" s="23">
        <f>EXP(-LN(2)/2)*AW147+(1-EXP(-LN(2)/2))/(LN(2)/2)*AQ148*AT148*VLOOKUP('Données projet'!$B$10,Paramètres!$A$1:$I$89,3,0)*0.475*44/12</f>
        <v>1.6837316394224077E-17</v>
      </c>
      <c r="AX148" s="23">
        <f t="shared" si="114"/>
        <v>0.19143290492365272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368.99999999999966</v>
      </c>
      <c r="BE148" s="14">
        <f>BD148*VLOOKUP('Données projet'!$B$11,Paramètres!$A$1:$I$89,3,0)*VLOOKUP('Données projet'!$B$11,Paramètres!$A$1:$I$89,5,0)</f>
        <v>270.55079999999975</v>
      </c>
      <c r="BF148" s="14">
        <f t="shared" si="145"/>
        <v>64.966149081071777</v>
      </c>
      <c r="BG148" s="22">
        <f t="shared" si="115"/>
        <v>584.35868631619962</v>
      </c>
      <c r="BH148" s="62">
        <f t="shared" si="116"/>
        <v>870.4445035079932</v>
      </c>
      <c r="BI148" s="62">
        <f ca="1">AVERAGE(OFFSET($BH$3,0,0,'Données projet'!$E$11+1,1))-AVERAGE(OFFSET($H$3,0,0,'Données projet'!$E$11+1,1))</f>
        <v>400.4480038202409</v>
      </c>
      <c r="BJ148" s="62">
        <f t="shared" si="146"/>
        <v>384.86917865380076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1.1610446919121793</v>
      </c>
      <c r="BR148" s="23">
        <f>EXP(-LN(2)/2)*BR147+(1-EXP(-LN(2)/2))/(LN(2)/2)*BL148*BO148*VLOOKUP('Données projet'!$B$11,Paramètres!$A$1:$I$89,3,0)*0.475*44/12</f>
        <v>5.5470244485341954E-17</v>
      </c>
      <c r="BS148" s="24">
        <f t="shared" si="117"/>
        <v>1.1610446919121793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419.0448820879102</v>
      </c>
      <c r="T149" s="62">
        <f t="shared" si="142"/>
        <v>553.33038335026379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0.26385446678437896</v>
      </c>
      <c r="AB149" s="23">
        <f>EXP(-LN(2)/2)*AB148+(1-EXP(-LN(2)/2))/(LN(2)/2)*V149*Y149*VLOOKUP('Données projet'!$B$9,Paramètres!$A$1:$I$89,3,0)*0.475*44/12</f>
        <v>1.5891286039498372E-16</v>
      </c>
      <c r="AC149" s="24">
        <f t="shared" si="111"/>
        <v>0.26385446678437913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3.1036506698001178E-14</v>
      </c>
      <c r="AK149" s="14">
        <f t="shared" si="143"/>
        <v>5.3428243983771088E-13</v>
      </c>
      <c r="AL149" s="22">
        <f t="shared" si="112"/>
        <v>9.8459716521636505E-13</v>
      </c>
      <c r="AM149" s="62">
        <f t="shared" si="113"/>
        <v>286.21154539383161</v>
      </c>
      <c r="AN149" s="62">
        <f ca="1">AVERAGE(OFFSET($AM$3,0,0,'Données projet'!$E$10+1,1))-AVERAGE(OFFSET($H$3,0,0,'Données projet'!$E$10+1,1))</f>
        <v>221.57008282490327</v>
      </c>
      <c r="AO149" s="62">
        <f t="shared" si="144"/>
        <v>320.19912501885199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0.18619816207149648</v>
      </c>
      <c r="AW149" s="23">
        <f>EXP(-LN(2)/2)*AW148+(1-EXP(-LN(2)/2))/(LN(2)/2)*AQ149*AT149*VLOOKUP('Données projet'!$B$10,Paramètres!$A$1:$I$89,3,0)*0.475*44/12</f>
        <v>1.1905780599339274E-17</v>
      </c>
      <c r="AX149" s="23">
        <f t="shared" si="114"/>
        <v>0.18619816207149648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368.99999999999966</v>
      </c>
      <c r="BE149" s="14">
        <f>BD149*VLOOKUP('Données projet'!$B$11,Paramètres!$A$1:$I$89,3,0)*VLOOKUP('Données projet'!$B$11,Paramètres!$A$1:$I$89,5,0)</f>
        <v>270.55079999999975</v>
      </c>
      <c r="BF149" s="14">
        <f t="shared" si="145"/>
        <v>64.966149081071777</v>
      </c>
      <c r="BG149" s="22">
        <f t="shared" si="115"/>
        <v>584.35868631619962</v>
      </c>
      <c r="BH149" s="62">
        <f t="shared" si="116"/>
        <v>870.57023171003027</v>
      </c>
      <c r="BI149" s="62">
        <f ca="1">AVERAGE(OFFSET($BH$3,0,0,'Données projet'!$E$11+1,1))-AVERAGE(OFFSET($H$3,0,0,'Données projet'!$E$11+1,1))</f>
        <v>400.4480038202409</v>
      </c>
      <c r="BJ149" s="62">
        <f t="shared" si="146"/>
        <v>384.86917865380076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1.129295863755154</v>
      </c>
      <c r="BR149" s="23">
        <f>EXP(-LN(2)/2)*BR148+(1-EXP(-LN(2)/2))/(LN(2)/2)*BL149*BO149*VLOOKUP('Données projet'!$B$11,Paramètres!$A$1:$I$89,3,0)*0.475*44/12</f>
        <v>3.9223386029660992E-17</v>
      </c>
      <c r="BS149" s="24">
        <f t="shared" si="117"/>
        <v>1.129295863755154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419.0448820879102</v>
      </c>
      <c r="T150" s="62">
        <f t="shared" si="142"/>
        <v>553.33038335026379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0.25663935251465675</v>
      </c>
      <c r="AB150" s="23">
        <f>EXP(-LN(2)/2)*AB149+(1-EXP(-LN(2)/2))/(LN(2)/2)*V150*Y150*VLOOKUP('Données projet'!$B$9,Paramètres!$A$1:$I$89,3,0)*0.475*44/12</f>
        <v>1.1236836120304413E-16</v>
      </c>
      <c r="AC150" s="24">
        <f t="shared" si="111"/>
        <v>0.25663935251465686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3.1036506698001178E-14</v>
      </c>
      <c r="AK150" s="14">
        <f t="shared" si="143"/>
        <v>5.3428243983771088E-13</v>
      </c>
      <c r="AL150" s="22">
        <f t="shared" si="112"/>
        <v>9.8459716521636505E-13</v>
      </c>
      <c r="AM150" s="62">
        <f t="shared" si="113"/>
        <v>286.33509249264938</v>
      </c>
      <c r="AN150" s="62">
        <f ca="1">AVERAGE(OFFSET($AM$3,0,0,'Données projet'!$E$10+1,1))-AVERAGE(OFFSET($H$3,0,0,'Données projet'!$E$10+1,1))</f>
        <v>221.57008282490327</v>
      </c>
      <c r="AO150" s="62">
        <f t="shared" si="144"/>
        <v>320.19912501885199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0.18110656353791563</v>
      </c>
      <c r="AW150" s="23">
        <f>EXP(-LN(2)/2)*AW149+(1-EXP(-LN(2)/2))/(LN(2)/2)*AQ150*AT150*VLOOKUP('Données projet'!$B$10,Paramètres!$A$1:$I$89,3,0)*0.475*44/12</f>
        <v>8.4186581971120383E-18</v>
      </c>
      <c r="AX150" s="23">
        <f t="shared" si="114"/>
        <v>0.18110656353791563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368.99999999999966</v>
      </c>
      <c r="BE150" s="14">
        <f>BD150*VLOOKUP('Données projet'!$B$11,Paramètres!$A$1:$I$89,3,0)*VLOOKUP('Données projet'!$B$11,Paramètres!$A$1:$I$89,5,0)</f>
        <v>270.55079999999975</v>
      </c>
      <c r="BF150" s="14">
        <f t="shared" si="145"/>
        <v>64.966149081071777</v>
      </c>
      <c r="BG150" s="22">
        <f t="shared" si="115"/>
        <v>584.35868631619962</v>
      </c>
      <c r="BH150" s="62">
        <f t="shared" si="116"/>
        <v>870.69377880884804</v>
      </c>
      <c r="BI150" s="62">
        <f ca="1">AVERAGE(OFFSET($BH$3,0,0,'Données projet'!$E$11+1,1))-AVERAGE(OFFSET($H$3,0,0,'Données projet'!$E$11+1,1))</f>
        <v>400.4480038202409</v>
      </c>
      <c r="BJ150" s="62">
        <f t="shared" si="146"/>
        <v>384.86917865380076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1.0984152089736809</v>
      </c>
      <c r="BR150" s="23">
        <f>EXP(-LN(2)/2)*BR149+(1-EXP(-LN(2)/2))/(LN(2)/2)*BL150*BO150*VLOOKUP('Données projet'!$B$11,Paramètres!$A$1:$I$89,3,0)*0.475*44/12</f>
        <v>2.7735122242670983E-17</v>
      </c>
      <c r="BS150" s="24">
        <f t="shared" si="117"/>
        <v>1.0984152089736809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419.0448820879102</v>
      </c>
      <c r="T151" s="62">
        <f t="shared" si="142"/>
        <v>553.33038335026379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0.24962153592406647</v>
      </c>
      <c r="AB151" s="23">
        <f>EXP(-LN(2)/2)*AB150+(1-EXP(-LN(2)/2))/(LN(2)/2)*V151*Y151*VLOOKUP('Données projet'!$B$9,Paramètres!$A$1:$I$89,3,0)*0.475*44/12</f>
        <v>7.945643019749186E-17</v>
      </c>
      <c r="AC151" s="24">
        <f t="shared" si="111"/>
        <v>0.24962153592406655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3.1036506698001178E-14</v>
      </c>
      <c r="AK151" s="14">
        <f t="shared" si="143"/>
        <v>5.3428243983771088E-13</v>
      </c>
      <c r="AL151" s="22">
        <f t="shared" si="112"/>
        <v>9.8459716521636505E-13</v>
      </c>
      <c r="AM151" s="62">
        <f t="shared" si="113"/>
        <v>286.45649632551266</v>
      </c>
      <c r="AN151" s="62">
        <f ca="1">AVERAGE(OFFSET($AM$3,0,0,'Données projet'!$E$10+1,1))-AVERAGE(OFFSET($H$3,0,0,'Données projet'!$E$10+1,1))</f>
        <v>221.57008282490327</v>
      </c>
      <c r="AO151" s="62">
        <f t="shared" si="144"/>
        <v>320.19912501885199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0.17615419503399107</v>
      </c>
      <c r="AW151" s="23">
        <f>EXP(-LN(2)/2)*AW150+(1-EXP(-LN(2)/2))/(LN(2)/2)*AQ151*AT151*VLOOKUP('Données projet'!$B$10,Paramètres!$A$1:$I$89,3,0)*0.475*44/12</f>
        <v>5.9528902996696368E-18</v>
      </c>
      <c r="AX151" s="23">
        <f t="shared" si="114"/>
        <v>0.17615419503399107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368.99999999999966</v>
      </c>
      <c r="BE151" s="14">
        <f>BD151*VLOOKUP('Données projet'!$B$11,Paramètres!$A$1:$I$89,3,0)*VLOOKUP('Données projet'!$B$11,Paramètres!$A$1:$I$89,5,0)</f>
        <v>270.55079999999975</v>
      </c>
      <c r="BF151" s="14">
        <f t="shared" si="145"/>
        <v>64.966149081071777</v>
      </c>
      <c r="BG151" s="22">
        <f t="shared" si="115"/>
        <v>584.35868631619962</v>
      </c>
      <c r="BH151" s="62">
        <f t="shared" si="116"/>
        <v>870.81518264171132</v>
      </c>
      <c r="BI151" s="62">
        <f ca="1">AVERAGE(OFFSET($BH$3,0,0,'Données projet'!$E$11+1,1))-AVERAGE(OFFSET($H$3,0,0,'Données projet'!$E$11+1,1))</f>
        <v>400.4480038202409</v>
      </c>
      <c r="BJ151" s="62">
        <f t="shared" si="146"/>
        <v>384.86917865380076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1.0683789873211502</v>
      </c>
      <c r="BR151" s="23">
        <f>EXP(-LN(2)/2)*BR150+(1-EXP(-LN(2)/2))/(LN(2)/2)*BL151*BO151*VLOOKUP('Données projet'!$B$11,Paramètres!$A$1:$I$89,3,0)*0.475*44/12</f>
        <v>1.9611693014830499E-17</v>
      </c>
      <c r="BS151" s="24">
        <f t="shared" si="117"/>
        <v>1.0683789873211502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419.0448820879102</v>
      </c>
      <c r="T152" s="62">
        <f t="shared" si="142"/>
        <v>553.33038335026379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0.24279562189719681</v>
      </c>
      <c r="AB152" s="23">
        <f>EXP(-LN(2)/2)*AB151+(1-EXP(-LN(2)/2))/(LN(2)/2)*V152*Y152*VLOOKUP('Données projet'!$B$9,Paramètres!$A$1:$I$89,3,0)*0.475*44/12</f>
        <v>5.6184180601522064E-17</v>
      </c>
      <c r="AC152" s="24">
        <f t="shared" si="111"/>
        <v>0.24279562189719686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3.1036506698001178E-14</v>
      </c>
      <c r="AK152" s="14">
        <f t="shared" si="143"/>
        <v>5.3428243983771088E-13</v>
      </c>
      <c r="AL152" s="22">
        <f t="shared" si="112"/>
        <v>9.8459716521636505E-13</v>
      </c>
      <c r="AM152" s="62">
        <f t="shared" si="113"/>
        <v>286.57579407329405</v>
      </c>
      <c r="AN152" s="62">
        <f ca="1">AVERAGE(OFFSET($AM$3,0,0,'Données projet'!$E$10+1,1))-AVERAGE(OFFSET($H$3,0,0,'Données projet'!$E$10+1,1))</f>
        <v>221.57008282490327</v>
      </c>
      <c r="AO152" s="62">
        <f t="shared" si="144"/>
        <v>320.19912501885199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0.17133724930724006</v>
      </c>
      <c r="AW152" s="23">
        <f>EXP(-LN(2)/2)*AW151+(1-EXP(-LN(2)/2))/(LN(2)/2)*AQ152*AT152*VLOOKUP('Données projet'!$B$10,Paramètres!$A$1:$I$89,3,0)*0.475*44/12</f>
        <v>4.2093290985560191E-18</v>
      </c>
      <c r="AX152" s="23">
        <f t="shared" si="114"/>
        <v>0.17133724930724006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368.99999999999966</v>
      </c>
      <c r="BE152" s="14">
        <f>BD152*VLOOKUP('Données projet'!$B$11,Paramètres!$A$1:$I$89,3,0)*VLOOKUP('Données projet'!$B$11,Paramètres!$A$1:$I$89,5,0)</f>
        <v>270.55079999999975</v>
      </c>
      <c r="BF152" s="14">
        <f t="shared" si="145"/>
        <v>64.966149081071777</v>
      </c>
      <c r="BG152" s="22">
        <f t="shared" si="115"/>
        <v>584.35868631619962</v>
      </c>
      <c r="BH152" s="62">
        <f t="shared" si="116"/>
        <v>870.93448038949271</v>
      </c>
      <c r="BI152" s="62">
        <f ca="1">AVERAGE(OFFSET($BH$3,0,0,'Données projet'!$E$11+1,1))-AVERAGE(OFFSET($H$3,0,0,'Données projet'!$E$11+1,1))</f>
        <v>400.4480038202409</v>
      </c>
      <c r="BJ152" s="62">
        <f t="shared" si="146"/>
        <v>384.86917865380076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1.0391641077292442</v>
      </c>
      <c r="BR152" s="23">
        <f>EXP(-LN(2)/2)*BR151+(1-EXP(-LN(2)/2))/(LN(2)/2)*BL152*BO152*VLOOKUP('Données projet'!$B$11,Paramètres!$A$1:$I$89,3,0)*0.475*44/12</f>
        <v>1.3867561121335493E-17</v>
      </c>
      <c r="BS152" s="24">
        <f t="shared" si="117"/>
        <v>1.0391641077292442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419.0448820879102</v>
      </c>
      <c r="T153" s="62">
        <f t="shared" si="142"/>
        <v>553.33038335026379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0.23615636284835112</v>
      </c>
      <c r="AB153" s="23">
        <f>EXP(-LN(2)/2)*AB152+(1-EXP(-LN(2)/2))/(LN(2)/2)*V153*Y153*VLOOKUP('Données projet'!$B$9,Paramètres!$A$1:$I$89,3,0)*0.475*44/12</f>
        <v>3.972821509874593E-17</v>
      </c>
      <c r="AC153" s="24">
        <f t="shared" si="111"/>
        <v>0.23615636284835115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3.1036506698001178E-14</v>
      </c>
      <c r="AK153" s="14">
        <f t="shared" si="143"/>
        <v>5.3428243983771088E-13</v>
      </c>
      <c r="AL153" s="22">
        <f t="shared" si="112"/>
        <v>9.8459716521636505E-13</v>
      </c>
      <c r="AM153" s="62">
        <f t="shared" si="113"/>
        <v>286.69302227186131</v>
      </c>
      <c r="AN153" s="62">
        <f ca="1">AVERAGE(OFFSET($AM$3,0,0,'Données projet'!$E$10+1,1))-AVERAGE(OFFSET($H$3,0,0,'Données projet'!$E$10+1,1))</f>
        <v>221.57008282490327</v>
      </c>
      <c r="AO153" s="62">
        <f t="shared" si="144"/>
        <v>320.19912501885199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0.16665202321469924</v>
      </c>
      <c r="AW153" s="23">
        <f>EXP(-LN(2)/2)*AW152+(1-EXP(-LN(2)/2))/(LN(2)/2)*AQ153*AT153*VLOOKUP('Données projet'!$B$10,Paramètres!$A$1:$I$89,3,0)*0.475*44/12</f>
        <v>2.9764451498348184E-18</v>
      </c>
      <c r="AX153" s="23">
        <f t="shared" si="114"/>
        <v>0.16665202321469924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368.99999999999966</v>
      </c>
      <c r="BE153" s="14">
        <f>BD153*VLOOKUP('Données projet'!$B$11,Paramètres!$A$1:$I$89,3,0)*VLOOKUP('Données projet'!$B$11,Paramètres!$A$1:$I$89,5,0)</f>
        <v>270.55079999999975</v>
      </c>
      <c r="BF153" s="14">
        <f t="shared" si="145"/>
        <v>64.966149081071777</v>
      </c>
      <c r="BG153" s="22">
        <f t="shared" si="115"/>
        <v>584.35868631619962</v>
      </c>
      <c r="BH153" s="62">
        <f t="shared" si="116"/>
        <v>871.05170858805991</v>
      </c>
      <c r="BI153" s="62">
        <f ca="1">AVERAGE(OFFSET($BH$3,0,0,'Données projet'!$E$11+1,1))-AVERAGE(OFFSET($H$3,0,0,'Données projet'!$E$11+1,1))</f>
        <v>400.4480038202409</v>
      </c>
      <c r="BJ153" s="62">
        <f t="shared" si="146"/>
        <v>384.86917865380076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1.0107481105561227</v>
      </c>
      <c r="BR153" s="23">
        <f>EXP(-LN(2)/2)*BR152+(1-EXP(-LN(2)/2))/(LN(2)/2)*BL153*BO153*VLOOKUP('Données projet'!$B$11,Paramètres!$A$1:$I$89,3,0)*0.475*44/12</f>
        <v>9.8058465074152512E-18</v>
      </c>
      <c r="BS153" s="24">
        <f t="shared" si="117"/>
        <v>1.0107481105561227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419.0448820879102</v>
      </c>
      <c r="T154" s="62">
        <f t="shared" si="142"/>
        <v>553.33038335026379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0.22969865468733958</v>
      </c>
      <c r="AB154" s="23">
        <f>EXP(-LN(2)/2)*AB153+(1-EXP(-LN(2)/2))/(LN(2)/2)*V154*Y154*VLOOKUP('Données projet'!$B$9,Paramètres!$A$1:$I$89,3,0)*0.475*44/12</f>
        <v>2.8092090300761032E-17</v>
      </c>
      <c r="AC154" s="24">
        <f t="shared" ref="AC154:AC203" si="163">SUM(Z154:AB154)</f>
        <v>0.2296986546873396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3.1036506698001178E-14</v>
      </c>
      <c r="AK154" s="14">
        <f t="shared" ref="AK154:AK203" si="164">EXP(-1.0587+0.8836*LN(AJ154)+0.284)</f>
        <v>5.3428243983771088E-13</v>
      </c>
      <c r="AL154" s="22">
        <f t="shared" ref="AL154:AL203" si="165">(AJ154+AK154)*0.475*44/12</f>
        <v>9.8459716521636505E-13</v>
      </c>
      <c r="AM154" s="62">
        <f t="shared" si="113"/>
        <v>286.80821682326632</v>
      </c>
      <c r="AN154" s="62">
        <f ca="1">AVERAGE(OFFSET($AM$3,0,0,'Données projet'!$E$10+1,1))-AVERAGE(OFFSET($H$3,0,0,'Données projet'!$E$10+1,1))</f>
        <v>221.57008282490327</v>
      </c>
      <c r="AO154" s="62">
        <f t="shared" si="144"/>
        <v>320.19912501885199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0.16209491487604427</v>
      </c>
      <c r="AW154" s="23">
        <f>EXP(-LN(2)/2)*AW153+(1-EXP(-LN(2)/2))/(LN(2)/2)*AQ154*AT154*VLOOKUP('Données projet'!$B$10,Paramètres!$A$1:$I$89,3,0)*0.475*44/12</f>
        <v>2.1046645492780096E-18</v>
      </c>
      <c r="AX154" s="23">
        <f t="shared" ref="AX154:AX203" si="166">SUM(AU154:AW154)</f>
        <v>0.16209491487604427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368.99999999999966</v>
      </c>
      <c r="BE154" s="14">
        <f>BD154*VLOOKUP('Données projet'!$B$11,Paramètres!$A$1:$I$89,3,0)*VLOOKUP('Données projet'!$B$11,Paramètres!$A$1:$I$89,5,0)</f>
        <v>270.55079999999975</v>
      </c>
      <c r="BF154" s="14">
        <f t="shared" ref="BF154:BF203" si="167">EXP(-1.0587+0.8836*LN(BE154)+0.284)</f>
        <v>64.966149081071777</v>
      </c>
      <c r="BG154" s="22">
        <f t="shared" ref="BG154:BG203" si="168">(BE154+BF154)*0.475*44/12</f>
        <v>584.35868631619962</v>
      </c>
      <c r="BH154" s="62">
        <f t="shared" si="116"/>
        <v>871.16690313946492</v>
      </c>
      <c r="BI154" s="62">
        <f ca="1">AVERAGE(OFFSET($BH$3,0,0,'Données projet'!$E$11+1,1))-AVERAGE(OFFSET($H$3,0,0,'Données projet'!$E$11+1,1))</f>
        <v>400.4480038202409</v>
      </c>
      <c r="BJ154" s="62">
        <f t="shared" si="146"/>
        <v>384.86917865380076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0.98310915032003243</v>
      </c>
      <c r="BR154" s="23">
        <f>EXP(-LN(2)/2)*BR153+(1-EXP(-LN(2)/2))/(LN(2)/2)*BL154*BO154*VLOOKUP('Données projet'!$B$11,Paramètres!$A$1:$I$89,3,0)*0.475*44/12</f>
        <v>6.9337805606677481E-18</v>
      </c>
      <c r="BS154" s="24">
        <f t="shared" ref="BS154:BS203" si="169">SUM(BP154:BR154)</f>
        <v>0.98310915032003243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419.0448820879102</v>
      </c>
      <c r="T155" s="62">
        <f t="shared" si="142"/>
        <v>553.33038335026379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0.223417532895587</v>
      </c>
      <c r="AB155" s="23">
        <f>EXP(-LN(2)/2)*AB154+(1-EXP(-LN(2)/2))/(LN(2)/2)*V155*Y155*VLOOKUP('Données projet'!$B$9,Paramètres!$A$1:$I$89,3,0)*0.475*44/12</f>
        <v>1.9864107549372965E-17</v>
      </c>
      <c r="AC155" s="24">
        <f t="shared" si="163"/>
        <v>0.22341753289558702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3.1036506698001178E-14</v>
      </c>
      <c r="AK155" s="14">
        <f t="shared" si="164"/>
        <v>5.3428243983771088E-13</v>
      </c>
      <c r="AL155" s="22">
        <f t="shared" si="165"/>
        <v>9.8459716521636505E-13</v>
      </c>
      <c r="AM155" s="62">
        <f t="shared" si="113"/>
        <v>286.92141300674086</v>
      </c>
      <c r="AN155" s="62">
        <f ca="1">AVERAGE(OFFSET($AM$3,0,0,'Données projet'!$E$10+1,1))-AVERAGE(OFFSET($H$3,0,0,'Données projet'!$E$10+1,1))</f>
        <v>221.57008282490327</v>
      </c>
      <c r="AO155" s="62">
        <f t="shared" si="144"/>
        <v>320.19912501885199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0.15766242090455773</v>
      </c>
      <c r="AW155" s="23">
        <f>EXP(-LN(2)/2)*AW154+(1-EXP(-LN(2)/2))/(LN(2)/2)*AQ155*AT155*VLOOKUP('Données projet'!$B$10,Paramètres!$A$1:$I$89,3,0)*0.475*44/12</f>
        <v>1.4882225749174092E-18</v>
      </c>
      <c r="AX155" s="23">
        <f t="shared" si="166"/>
        <v>0.15766242090455773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368.99999999999966</v>
      </c>
      <c r="BE155" s="14">
        <f>BD155*VLOOKUP('Données projet'!$B$11,Paramètres!$A$1:$I$89,3,0)*VLOOKUP('Données projet'!$B$11,Paramètres!$A$1:$I$89,5,0)</f>
        <v>270.55079999999975</v>
      </c>
      <c r="BF155" s="14">
        <f t="shared" si="167"/>
        <v>64.966149081071777</v>
      </c>
      <c r="BG155" s="22">
        <f t="shared" si="168"/>
        <v>584.35868631619962</v>
      </c>
      <c r="BH155" s="62">
        <f t="shared" si="116"/>
        <v>871.28009932293958</v>
      </c>
      <c r="BI155" s="62">
        <f ca="1">AVERAGE(OFFSET($BH$3,0,0,'Données projet'!$E$11+1,1))-AVERAGE(OFFSET($H$3,0,0,'Données projet'!$E$11+1,1))</f>
        <v>400.4480038202409</v>
      </c>
      <c r="BJ155" s="62">
        <f t="shared" si="146"/>
        <v>384.86917865380076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0.95622597890506789</v>
      </c>
      <c r="BR155" s="23">
        <f>EXP(-LN(2)/2)*BR154+(1-EXP(-LN(2)/2))/(LN(2)/2)*BL155*BO155*VLOOKUP('Données projet'!$B$11,Paramètres!$A$1:$I$89,3,0)*0.475*44/12</f>
        <v>4.9029232537076264E-18</v>
      </c>
      <c r="BS155" s="24">
        <f t="shared" si="169"/>
        <v>0.95622597890506789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419.0448820879102</v>
      </c>
      <c r="T156" s="62">
        <f t="shared" si="142"/>
        <v>553.33038335026379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0.21730816870953973</v>
      </c>
      <c r="AB156" s="23">
        <f>EXP(-LN(2)/2)*AB155+(1-EXP(-LN(2)/2))/(LN(2)/2)*V156*Y156*VLOOKUP('Données projet'!$B$9,Paramètres!$A$1:$I$89,3,0)*0.475*44/12</f>
        <v>1.4046045150380516E-17</v>
      </c>
      <c r="AC156" s="24">
        <f t="shared" si="163"/>
        <v>0.21730816870953976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3.1036506698001178E-14</v>
      </c>
      <c r="AK156" s="14">
        <f t="shared" si="164"/>
        <v>5.3428243983771088E-13</v>
      </c>
      <c r="AL156" s="22">
        <f t="shared" si="165"/>
        <v>9.8459716521636505E-13</v>
      </c>
      <c r="AM156" s="62">
        <f t="shared" si="113"/>
        <v>287.03264548950096</v>
      </c>
      <c r="AN156" s="62">
        <f ca="1">AVERAGE(OFFSET($AM$3,0,0,'Données projet'!$E$10+1,1))-AVERAGE(OFFSET($H$3,0,0,'Données projet'!$E$10+1,1))</f>
        <v>221.57008282490327</v>
      </c>
      <c r="AO156" s="62">
        <f t="shared" si="144"/>
        <v>320.19912501885199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0.15335113371381623</v>
      </c>
      <c r="AW156" s="23">
        <f>EXP(-LN(2)/2)*AW155+(1-EXP(-LN(2)/2))/(LN(2)/2)*AQ156*AT156*VLOOKUP('Données projet'!$B$10,Paramètres!$A$1:$I$89,3,0)*0.475*44/12</f>
        <v>1.0523322746390048E-18</v>
      </c>
      <c r="AX156" s="23">
        <f t="shared" si="166"/>
        <v>0.15335113371381623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368.99999999999966</v>
      </c>
      <c r="BE156" s="14">
        <f>BD156*VLOOKUP('Données projet'!$B$11,Paramètres!$A$1:$I$89,3,0)*VLOOKUP('Données projet'!$B$11,Paramètres!$A$1:$I$89,5,0)</f>
        <v>270.55079999999975</v>
      </c>
      <c r="BF156" s="14">
        <f t="shared" si="167"/>
        <v>64.966149081071777</v>
      </c>
      <c r="BG156" s="22">
        <f t="shared" si="168"/>
        <v>584.35868631619962</v>
      </c>
      <c r="BH156" s="62">
        <f t="shared" si="116"/>
        <v>871.39133180569956</v>
      </c>
      <c r="BI156" s="62">
        <f ca="1">AVERAGE(OFFSET($BH$3,0,0,'Données projet'!$E$11+1,1))-AVERAGE(OFFSET($H$3,0,0,'Données projet'!$E$11+1,1))</f>
        <v>400.4480038202409</v>
      </c>
      <c r="BJ156" s="62">
        <f t="shared" si="146"/>
        <v>384.86917865380076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0.93007792922617005</v>
      </c>
      <c r="BR156" s="23">
        <f>EXP(-LN(2)/2)*BR155+(1-EXP(-LN(2)/2))/(LN(2)/2)*BL156*BO156*VLOOKUP('Données projet'!$B$11,Paramètres!$A$1:$I$89,3,0)*0.475*44/12</f>
        <v>3.4668902803338744E-18</v>
      </c>
      <c r="BS156" s="24">
        <f t="shared" si="169"/>
        <v>0.93007792922617005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419.0448820879102</v>
      </c>
      <c r="T157" s="62">
        <f t="shared" si="142"/>
        <v>553.33038335026379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0.21136586540843744</v>
      </c>
      <c r="AB157" s="23">
        <f>EXP(-LN(2)/2)*AB156+(1-EXP(-LN(2)/2))/(LN(2)/2)*V157*Y157*VLOOKUP('Données projet'!$B$9,Paramètres!$A$1:$I$89,3,0)*0.475*44/12</f>
        <v>9.9320537746864825E-18</v>
      </c>
      <c r="AC157" s="24">
        <f t="shared" si="163"/>
        <v>0.21136586540843744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3.1036506698001178E-14</v>
      </c>
      <c r="AK157" s="14">
        <f t="shared" si="164"/>
        <v>5.3428243983771088E-13</v>
      </c>
      <c r="AL157" s="22">
        <f t="shared" si="165"/>
        <v>9.8459716521636505E-13</v>
      </c>
      <c r="AM157" s="62">
        <f t="shared" si="113"/>
        <v>287.14194833736371</v>
      </c>
      <c r="AN157" s="62">
        <f ca="1">AVERAGE(OFFSET($AM$3,0,0,'Données projet'!$E$10+1,1))-AVERAGE(OFFSET($H$3,0,0,'Données projet'!$E$10+1,1))</f>
        <v>221.57008282490327</v>
      </c>
      <c r="AO157" s="62">
        <f t="shared" si="144"/>
        <v>320.19912501885199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0.1491577388980263</v>
      </c>
      <c r="AW157" s="23">
        <f>EXP(-LN(2)/2)*AW156+(1-EXP(-LN(2)/2))/(LN(2)/2)*AQ157*AT157*VLOOKUP('Données projet'!$B$10,Paramètres!$A$1:$I$89,3,0)*0.475*44/12</f>
        <v>7.441112874587046E-19</v>
      </c>
      <c r="AX157" s="23">
        <f t="shared" si="166"/>
        <v>0.1491577388980263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368.99999999999966</v>
      </c>
      <c r="BE157" s="14">
        <f>BD157*VLOOKUP('Données projet'!$B$11,Paramètres!$A$1:$I$89,3,0)*VLOOKUP('Données projet'!$B$11,Paramètres!$A$1:$I$89,5,0)</f>
        <v>270.55079999999975</v>
      </c>
      <c r="BF157" s="14">
        <f t="shared" si="167"/>
        <v>64.966149081071777</v>
      </c>
      <c r="BG157" s="22">
        <f t="shared" si="168"/>
        <v>584.35868631619962</v>
      </c>
      <c r="BH157" s="62">
        <f t="shared" si="116"/>
        <v>871.50063465356243</v>
      </c>
      <c r="BI157" s="62">
        <f ca="1">AVERAGE(OFFSET($BH$3,0,0,'Données projet'!$E$11+1,1))-AVERAGE(OFFSET($H$3,0,0,'Données projet'!$E$11+1,1))</f>
        <v>400.4480038202409</v>
      </c>
      <c r="BJ157" s="62">
        <f t="shared" si="146"/>
        <v>384.86917865380076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0.90464489934080783</v>
      </c>
      <c r="BR157" s="23">
        <f>EXP(-LN(2)/2)*BR156+(1-EXP(-LN(2)/2))/(LN(2)/2)*BL157*BO157*VLOOKUP('Données projet'!$B$11,Paramètres!$A$1:$I$89,3,0)*0.475*44/12</f>
        <v>2.4514616268538136E-18</v>
      </c>
      <c r="BS157" s="24">
        <f t="shared" si="169"/>
        <v>0.90464489934080783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419.0448820879102</v>
      </c>
      <c r="T158" s="62">
        <f t="shared" si="142"/>
        <v>553.33038335026379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0.20558605470359595</v>
      </c>
      <c r="AB158" s="23">
        <f>EXP(-LN(2)/2)*AB157+(1-EXP(-LN(2)/2))/(LN(2)/2)*V158*Y158*VLOOKUP('Données projet'!$B$9,Paramètres!$A$1:$I$89,3,0)*0.475*44/12</f>
        <v>7.023022575190258E-18</v>
      </c>
      <c r="AC158" s="24">
        <f t="shared" si="163"/>
        <v>0.20558605470359595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3.1036506698001178E-14</v>
      </c>
      <c r="AK158" s="14">
        <f t="shared" si="164"/>
        <v>5.3428243983771088E-13</v>
      </c>
      <c r="AL158" s="22">
        <f t="shared" si="165"/>
        <v>9.8459716521636505E-13</v>
      </c>
      <c r="AM158" s="62">
        <f t="shared" si="113"/>
        <v>287.24935502518065</v>
      </c>
      <c r="AN158" s="62">
        <f ca="1">AVERAGE(OFFSET($AM$3,0,0,'Données projet'!$E$10+1,1))-AVERAGE(OFFSET($H$3,0,0,'Données projet'!$E$10+1,1))</f>
        <v>221.57008282490327</v>
      </c>
      <c r="AO158" s="62">
        <f t="shared" si="144"/>
        <v>320.19912501885199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0.1450790126839952</v>
      </c>
      <c r="AW158" s="23">
        <f>EXP(-LN(2)/2)*AW157+(1-EXP(-LN(2)/2))/(LN(2)/2)*AQ158*AT158*VLOOKUP('Données projet'!$B$10,Paramètres!$A$1:$I$89,3,0)*0.475*44/12</f>
        <v>5.2616613731950239E-19</v>
      </c>
      <c r="AX158" s="23">
        <f t="shared" si="166"/>
        <v>0.1450790126839952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368.99999999999966</v>
      </c>
      <c r="BE158" s="14">
        <f>BD158*VLOOKUP('Données projet'!$B$11,Paramètres!$A$1:$I$89,3,0)*VLOOKUP('Données projet'!$B$11,Paramètres!$A$1:$I$89,5,0)</f>
        <v>270.55079999999975</v>
      </c>
      <c r="BF158" s="14">
        <f t="shared" si="167"/>
        <v>64.966149081071777</v>
      </c>
      <c r="BG158" s="22">
        <f t="shared" si="168"/>
        <v>584.35868631619962</v>
      </c>
      <c r="BH158" s="62">
        <f t="shared" si="116"/>
        <v>871.60804134137925</v>
      </c>
      <c r="BI158" s="62">
        <f ca="1">AVERAGE(OFFSET($BH$3,0,0,'Données projet'!$E$11+1,1))-AVERAGE(OFFSET($H$3,0,0,'Données projet'!$E$11+1,1))</f>
        <v>400.4480038202409</v>
      </c>
      <c r="BJ158" s="62">
        <f t="shared" si="146"/>
        <v>384.86917865380076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0.8799073369951258</v>
      </c>
      <c r="BR158" s="23">
        <f>EXP(-LN(2)/2)*BR157+(1-EXP(-LN(2)/2))/(LN(2)/2)*BL158*BO158*VLOOKUP('Données projet'!$B$11,Paramètres!$A$1:$I$89,3,0)*0.475*44/12</f>
        <v>1.7334451401669374E-18</v>
      </c>
      <c r="BS158" s="24">
        <f t="shared" si="169"/>
        <v>0.8799073369951258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419.0448820879102</v>
      </c>
      <c r="T159" s="62">
        <f t="shared" si="142"/>
        <v>553.33038335026379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0.19996429322642537</v>
      </c>
      <c r="AB159" s="23">
        <f>EXP(-LN(2)/2)*AB158+(1-EXP(-LN(2)/2))/(LN(2)/2)*V159*Y159*VLOOKUP('Données projet'!$B$9,Paramètres!$A$1:$I$89,3,0)*0.475*44/12</f>
        <v>4.9660268873432413E-18</v>
      </c>
      <c r="AC159" s="24">
        <f t="shared" si="163"/>
        <v>0.19996429322642537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3.1036506698001178E-14</v>
      </c>
      <c r="AK159" s="14">
        <f t="shared" si="164"/>
        <v>5.3428243983771088E-13</v>
      </c>
      <c r="AL159" s="22">
        <f t="shared" si="165"/>
        <v>9.8459716521636505E-13</v>
      </c>
      <c r="AM159" s="62">
        <f t="shared" si="113"/>
        <v>287.35489844708928</v>
      </c>
      <c r="AN159" s="62">
        <f ca="1">AVERAGE(OFFSET($AM$3,0,0,'Données projet'!$E$10+1,1))-AVERAGE(OFFSET($H$3,0,0,'Données projet'!$E$10+1,1))</f>
        <v>221.57008282490327</v>
      </c>
      <c r="AO159" s="62">
        <f t="shared" si="144"/>
        <v>320.19912501885199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0.14111181945277765</v>
      </c>
      <c r="AW159" s="23">
        <f>EXP(-LN(2)/2)*AW158+(1-EXP(-LN(2)/2))/(LN(2)/2)*AQ159*AT159*VLOOKUP('Données projet'!$B$10,Paramètres!$A$1:$I$89,3,0)*0.475*44/12</f>
        <v>3.720556437293523E-19</v>
      </c>
      <c r="AX159" s="23">
        <f t="shared" si="166"/>
        <v>0.14111181945277765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368.99999999999966</v>
      </c>
      <c r="BE159" s="14">
        <f>BD159*VLOOKUP('Données projet'!$B$11,Paramètres!$A$1:$I$89,3,0)*VLOOKUP('Données projet'!$B$11,Paramètres!$A$1:$I$89,5,0)</f>
        <v>270.55079999999975</v>
      </c>
      <c r="BF159" s="14">
        <f t="shared" si="167"/>
        <v>64.966149081071777</v>
      </c>
      <c r="BG159" s="22">
        <f t="shared" si="168"/>
        <v>584.35868631619962</v>
      </c>
      <c r="BH159" s="62">
        <f t="shared" si="116"/>
        <v>871.71358476328794</v>
      </c>
      <c r="BI159" s="62">
        <f ca="1">AVERAGE(OFFSET($BH$3,0,0,'Données projet'!$E$11+1,1))-AVERAGE(OFFSET($H$3,0,0,'Données projet'!$E$11+1,1))</f>
        <v>400.4480038202409</v>
      </c>
      <c r="BJ159" s="62">
        <f t="shared" si="146"/>
        <v>384.86917865380076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0.85584622459267834</v>
      </c>
      <c r="BR159" s="23">
        <f>EXP(-LN(2)/2)*BR158+(1-EXP(-LN(2)/2))/(LN(2)/2)*BL159*BO159*VLOOKUP('Données projet'!$B$11,Paramètres!$A$1:$I$89,3,0)*0.475*44/12</f>
        <v>1.225730813426907E-18</v>
      </c>
      <c r="BS159" s="24">
        <f t="shared" si="169"/>
        <v>0.85584622459267834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419.0448820879102</v>
      </c>
      <c r="T160" s="62">
        <f t="shared" si="142"/>
        <v>553.33038335026379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0.19449625911248361</v>
      </c>
      <c r="AB160" s="23">
        <f>EXP(-LN(2)/2)*AB159+(1-EXP(-LN(2)/2))/(LN(2)/2)*V160*Y160*VLOOKUP('Données projet'!$B$9,Paramètres!$A$1:$I$89,3,0)*0.475*44/12</f>
        <v>3.511511287595129E-18</v>
      </c>
      <c r="AC160" s="24">
        <f t="shared" si="163"/>
        <v>0.19449625911248361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3.1036506698001178E-14</v>
      </c>
      <c r="AK160" s="14">
        <f t="shared" si="164"/>
        <v>5.3428243983771088E-13</v>
      </c>
      <c r="AL160" s="22">
        <f t="shared" si="165"/>
        <v>9.8459716521636505E-13</v>
      </c>
      <c r="AM160" s="62">
        <f t="shared" si="113"/>
        <v>287.45861092658754</v>
      </c>
      <c r="AN160" s="62">
        <f ca="1">AVERAGE(OFFSET($AM$3,0,0,'Données projet'!$E$10+1,1))-AVERAGE(OFFSET($H$3,0,0,'Données projet'!$E$10+1,1))</f>
        <v>221.57008282490327</v>
      </c>
      <c r="AO160" s="62">
        <f t="shared" si="144"/>
        <v>320.19912501885199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0.13725310932909338</v>
      </c>
      <c r="AW160" s="23">
        <f>EXP(-LN(2)/2)*AW159+(1-EXP(-LN(2)/2))/(LN(2)/2)*AQ160*AT160*VLOOKUP('Données projet'!$B$10,Paramètres!$A$1:$I$89,3,0)*0.475*44/12</f>
        <v>2.630830686597512E-19</v>
      </c>
      <c r="AX160" s="23">
        <f t="shared" si="166"/>
        <v>0.13725310932909338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368.99999999999966</v>
      </c>
      <c r="BE160" s="14">
        <f>BD160*VLOOKUP('Données projet'!$B$11,Paramètres!$A$1:$I$89,3,0)*VLOOKUP('Données projet'!$B$11,Paramètres!$A$1:$I$89,5,0)</f>
        <v>270.55079999999975</v>
      </c>
      <c r="BF160" s="14">
        <f t="shared" si="167"/>
        <v>64.966149081071777</v>
      </c>
      <c r="BG160" s="22">
        <f t="shared" si="168"/>
        <v>584.35868631619962</v>
      </c>
      <c r="BH160" s="62">
        <f t="shared" si="116"/>
        <v>871.81729724278625</v>
      </c>
      <c r="BI160" s="62">
        <f ca="1">AVERAGE(OFFSET($BH$3,0,0,'Données projet'!$E$11+1,1))-AVERAGE(OFFSET($H$3,0,0,'Données projet'!$E$11+1,1))</f>
        <v>400.4480038202409</v>
      </c>
      <c r="BJ160" s="62">
        <f t="shared" si="146"/>
        <v>384.86917865380076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0.8324430645741947</v>
      </c>
      <c r="BR160" s="23">
        <f>EXP(-LN(2)/2)*BR159+(1-EXP(-LN(2)/2))/(LN(2)/2)*BL160*BO160*VLOOKUP('Données projet'!$B$11,Paramètres!$A$1:$I$89,3,0)*0.475*44/12</f>
        <v>8.6672257008346889E-19</v>
      </c>
      <c r="BS160" s="24">
        <f t="shared" si="169"/>
        <v>0.8324430645741947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419.0448820879102</v>
      </c>
      <c r="T161" s="62">
        <f t="shared" si="142"/>
        <v>553.33038335026379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0.189177748678939</v>
      </c>
      <c r="AB161" s="23">
        <f>EXP(-LN(2)/2)*AB160+(1-EXP(-LN(2)/2))/(LN(2)/2)*V161*Y161*VLOOKUP('Données projet'!$B$9,Paramètres!$A$1:$I$89,3,0)*0.475*44/12</f>
        <v>2.4830134436716206E-18</v>
      </c>
      <c r="AC161" s="24">
        <f t="shared" si="163"/>
        <v>0.189177748678939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3.1036506698001178E-14</v>
      </c>
      <c r="AK161" s="14">
        <f t="shared" si="164"/>
        <v>5.3428243983771088E-13</v>
      </c>
      <c r="AL161" s="22">
        <f t="shared" si="165"/>
        <v>9.8459716521636505E-13</v>
      </c>
      <c r="AM161" s="62">
        <f t="shared" si="113"/>
        <v>287.56052422643296</v>
      </c>
      <c r="AN161" s="62">
        <f ca="1">AVERAGE(OFFSET($AM$3,0,0,'Données projet'!$E$10+1,1))-AVERAGE(OFFSET($H$3,0,0,'Données projet'!$E$10+1,1))</f>
        <v>221.57008282490327</v>
      </c>
      <c r="AO161" s="62">
        <f t="shared" si="144"/>
        <v>320.19912501885199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0.13349991583666199</v>
      </c>
      <c r="AW161" s="23">
        <f>EXP(-LN(2)/2)*AW160+(1-EXP(-LN(2)/2))/(LN(2)/2)*AQ161*AT161*VLOOKUP('Données projet'!$B$10,Paramètres!$A$1:$I$89,3,0)*0.475*44/12</f>
        <v>1.8602782186467615E-19</v>
      </c>
      <c r="AX161" s="23">
        <f t="shared" si="166"/>
        <v>0.13349991583666199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368.99999999999966</v>
      </c>
      <c r="BE161" s="14">
        <f>BD161*VLOOKUP('Données projet'!$B$11,Paramètres!$A$1:$I$89,3,0)*VLOOKUP('Données projet'!$B$11,Paramètres!$A$1:$I$89,5,0)</f>
        <v>270.55079999999975</v>
      </c>
      <c r="BF161" s="14">
        <f t="shared" si="167"/>
        <v>64.966149081071777</v>
      </c>
      <c r="BG161" s="22">
        <f t="shared" si="168"/>
        <v>584.35868631619962</v>
      </c>
      <c r="BH161" s="62">
        <f t="shared" si="116"/>
        <v>871.91921054263162</v>
      </c>
      <c r="BI161" s="62">
        <f ca="1">AVERAGE(OFFSET($BH$3,0,0,'Données projet'!$E$11+1,1))-AVERAGE(OFFSET($H$3,0,0,'Données projet'!$E$11+1,1))</f>
        <v>400.4480038202409</v>
      </c>
      <c r="BJ161" s="62">
        <f t="shared" si="146"/>
        <v>384.86917865380076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0.8096798651971352</v>
      </c>
      <c r="BR161" s="23">
        <f>EXP(-LN(2)/2)*BR160+(1-EXP(-LN(2)/2))/(LN(2)/2)*BL161*BO161*VLOOKUP('Données projet'!$B$11,Paramètres!$A$1:$I$89,3,0)*0.475*44/12</f>
        <v>6.1286540671345358E-19</v>
      </c>
      <c r="BS161" s="24">
        <f t="shared" si="169"/>
        <v>0.8096798651971352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419.0448820879102</v>
      </c>
      <c r="T162" s="62">
        <f t="shared" si="142"/>
        <v>553.33038335026379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0.18400467319288796</v>
      </c>
      <c r="AB162" s="23">
        <f>EXP(-LN(2)/2)*AB161+(1-EXP(-LN(2)/2))/(LN(2)/2)*V162*Y162*VLOOKUP('Données projet'!$B$9,Paramètres!$A$1:$I$89,3,0)*0.475*44/12</f>
        <v>1.7557556437975645E-18</v>
      </c>
      <c r="AC162" s="24">
        <f t="shared" si="163"/>
        <v>0.18400467319288796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3.1036506698001178E-14</v>
      </c>
      <c r="AK162" s="14">
        <f t="shared" si="164"/>
        <v>5.3428243983771088E-13</v>
      </c>
      <c r="AL162" s="22">
        <f t="shared" si="165"/>
        <v>9.8459716521636505E-13</v>
      </c>
      <c r="AM162" s="62">
        <f t="shared" si="113"/>
        <v>287.66066955836993</v>
      </c>
      <c r="AN162" s="62">
        <f ca="1">AVERAGE(OFFSET($AM$3,0,0,'Données projet'!$E$10+1,1))-AVERAGE(OFFSET($H$3,0,0,'Données projet'!$E$10+1,1))</f>
        <v>221.57008282490327</v>
      </c>
      <c r="AO162" s="62">
        <f t="shared" si="144"/>
        <v>320.19912501885199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0.12984935361765301</v>
      </c>
      <c r="AW162" s="23">
        <f>EXP(-LN(2)/2)*AW161+(1-EXP(-LN(2)/2))/(LN(2)/2)*AQ162*AT162*VLOOKUP('Données projet'!$B$10,Paramètres!$A$1:$I$89,3,0)*0.475*44/12</f>
        <v>1.315415343298756E-19</v>
      </c>
      <c r="AX162" s="23">
        <f t="shared" si="166"/>
        <v>0.12984935361765301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368.99999999999966</v>
      </c>
      <c r="BE162" s="14">
        <f>BD162*VLOOKUP('Données projet'!$B$11,Paramètres!$A$1:$I$89,3,0)*VLOOKUP('Données projet'!$B$11,Paramètres!$A$1:$I$89,5,0)</f>
        <v>270.55079999999975</v>
      </c>
      <c r="BF162" s="14">
        <f t="shared" si="167"/>
        <v>64.966149081071777</v>
      </c>
      <c r="BG162" s="22">
        <f t="shared" si="168"/>
        <v>584.35868631619962</v>
      </c>
      <c r="BH162" s="62">
        <f t="shared" si="116"/>
        <v>872.01935587456865</v>
      </c>
      <c r="BI162" s="62">
        <f ca="1">AVERAGE(OFFSET($BH$3,0,0,'Données projet'!$E$11+1,1))-AVERAGE(OFFSET($H$3,0,0,'Données projet'!$E$11+1,1))</f>
        <v>400.4480038202409</v>
      </c>
      <c r="BJ162" s="62">
        <f t="shared" si="146"/>
        <v>384.86917865380076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0.78753912670410597</v>
      </c>
      <c r="BR162" s="23">
        <f>EXP(-LN(2)/2)*BR161+(1-EXP(-LN(2)/2))/(LN(2)/2)*BL162*BO162*VLOOKUP('Données projet'!$B$11,Paramètres!$A$1:$I$89,3,0)*0.475*44/12</f>
        <v>4.3336128504173449E-19</v>
      </c>
      <c r="BS162" s="24">
        <f t="shared" si="169"/>
        <v>0.78753912670410597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419.0448820879102</v>
      </c>
      <c r="T163" s="62">
        <f t="shared" si="142"/>
        <v>553.33038335026379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0.17897305572804323</v>
      </c>
      <c r="AB163" s="23">
        <f>EXP(-LN(2)/2)*AB162+(1-EXP(-LN(2)/2))/(LN(2)/2)*V163*Y163*VLOOKUP('Données projet'!$B$9,Paramètres!$A$1:$I$89,3,0)*0.475*44/12</f>
        <v>1.2415067218358103E-18</v>
      </c>
      <c r="AC163" s="24">
        <f t="shared" si="163"/>
        <v>0.17897305572804323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3.1036506698001178E-14</v>
      </c>
      <c r="AK163" s="14">
        <f t="shared" si="164"/>
        <v>5.3428243983771088E-13</v>
      </c>
      <c r="AL163" s="22">
        <f t="shared" si="165"/>
        <v>9.8459716521636505E-13</v>
      </c>
      <c r="AM163" s="62">
        <f t="shared" si="113"/>
        <v>287.75907759268932</v>
      </c>
      <c r="AN163" s="62">
        <f ca="1">AVERAGE(OFFSET($AM$3,0,0,'Données projet'!$E$10+1,1))-AVERAGE(OFFSET($H$3,0,0,'Données projet'!$E$10+1,1))</f>
        <v>221.57008282490327</v>
      </c>
      <c r="AO163" s="62">
        <f t="shared" si="144"/>
        <v>320.19912501885199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0.12629861621449756</v>
      </c>
      <c r="AW163" s="23">
        <f>EXP(-LN(2)/2)*AW162+(1-EXP(-LN(2)/2))/(LN(2)/2)*AQ163*AT163*VLOOKUP('Données projet'!$B$10,Paramètres!$A$1:$I$89,3,0)*0.475*44/12</f>
        <v>9.3013910932338076E-20</v>
      </c>
      <c r="AX163" s="23">
        <f t="shared" si="166"/>
        <v>0.12629861621449756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368.99999999999966</v>
      </c>
      <c r="BE163" s="14">
        <f>BD163*VLOOKUP('Données projet'!$B$11,Paramètres!$A$1:$I$89,3,0)*VLOOKUP('Données projet'!$B$11,Paramètres!$A$1:$I$89,5,0)</f>
        <v>270.55079999999975</v>
      </c>
      <c r="BF163" s="14">
        <f t="shared" si="167"/>
        <v>64.966149081071777</v>
      </c>
      <c r="BG163" s="22">
        <f t="shared" si="168"/>
        <v>584.35868631619962</v>
      </c>
      <c r="BH163" s="62">
        <f t="shared" si="116"/>
        <v>872.11776390888804</v>
      </c>
      <c r="BI163" s="62">
        <f ca="1">AVERAGE(OFFSET($BH$3,0,0,'Données projet'!$E$11+1,1))-AVERAGE(OFFSET($H$3,0,0,'Données projet'!$E$11+1,1))</f>
        <v>400.4480038202409</v>
      </c>
      <c r="BJ163" s="62">
        <f t="shared" si="146"/>
        <v>384.86917865380076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0.7660038278694995</v>
      </c>
      <c r="BR163" s="23">
        <f>EXP(-LN(2)/2)*BR162+(1-EXP(-LN(2)/2))/(LN(2)/2)*BL163*BO163*VLOOKUP('Données projet'!$B$11,Paramètres!$A$1:$I$89,3,0)*0.475*44/12</f>
        <v>3.0643270335672684E-19</v>
      </c>
      <c r="BS163" s="24">
        <f t="shared" si="169"/>
        <v>0.7660038278694995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419.0448820879102</v>
      </c>
      <c r="T164" s="62">
        <f t="shared" si="142"/>
        <v>553.33038335026379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0.17407902810737594</v>
      </c>
      <c r="AB164" s="23">
        <f>EXP(-LN(2)/2)*AB163+(1-EXP(-LN(2)/2))/(LN(2)/2)*V164*Y164*VLOOKUP('Données projet'!$B$9,Paramètres!$A$1:$I$89,3,0)*0.475*44/12</f>
        <v>8.7787782189878225E-19</v>
      </c>
      <c r="AC164" s="24">
        <f t="shared" si="163"/>
        <v>0.17407902810737594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3.1036506698001178E-14</v>
      </c>
      <c r="AK164" s="14">
        <f t="shared" si="164"/>
        <v>5.3428243983771088E-13</v>
      </c>
      <c r="AL164" s="22">
        <f t="shared" si="165"/>
        <v>9.8459716521636505E-13</v>
      </c>
      <c r="AM164" s="62">
        <f t="shared" si="113"/>
        <v>287.85577846762067</v>
      </c>
      <c r="AN164" s="62">
        <f ca="1">AVERAGE(OFFSET($AM$3,0,0,'Données projet'!$E$10+1,1))-AVERAGE(OFFSET($H$3,0,0,'Données projet'!$E$10+1,1))</f>
        <v>221.57008282490327</v>
      </c>
      <c r="AO164" s="62">
        <f t="shared" si="144"/>
        <v>320.19912501885199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0.12284497391235656</v>
      </c>
      <c r="AW164" s="23">
        <f>EXP(-LN(2)/2)*AW163+(1-EXP(-LN(2)/2))/(LN(2)/2)*AQ164*AT164*VLOOKUP('Données projet'!$B$10,Paramètres!$A$1:$I$89,3,0)*0.475*44/12</f>
        <v>6.5770767164937799E-20</v>
      </c>
      <c r="AX164" s="23">
        <f t="shared" si="166"/>
        <v>0.12284497391235656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368.99999999999966</v>
      </c>
      <c r="BE164" s="14">
        <f>BD164*VLOOKUP('Données projet'!$B$11,Paramètres!$A$1:$I$89,3,0)*VLOOKUP('Données projet'!$B$11,Paramètres!$A$1:$I$89,5,0)</f>
        <v>270.55079999999975</v>
      </c>
      <c r="BF164" s="14">
        <f t="shared" si="167"/>
        <v>64.966149081071777</v>
      </c>
      <c r="BG164" s="22">
        <f t="shared" si="168"/>
        <v>584.35868631619962</v>
      </c>
      <c r="BH164" s="62">
        <f t="shared" si="116"/>
        <v>872.21446478381927</v>
      </c>
      <c r="BI164" s="62">
        <f ca="1">AVERAGE(OFFSET($BH$3,0,0,'Données projet'!$E$11+1,1))-AVERAGE(OFFSET($H$3,0,0,'Données projet'!$E$11+1,1))</f>
        <v>400.4480038202409</v>
      </c>
      <c r="BJ164" s="62">
        <f t="shared" si="146"/>
        <v>384.86917865380076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0.7450574129140175</v>
      </c>
      <c r="BR164" s="23">
        <f>EXP(-LN(2)/2)*BR163+(1-EXP(-LN(2)/2))/(LN(2)/2)*BL164*BO164*VLOOKUP('Données projet'!$B$11,Paramètres!$A$1:$I$89,3,0)*0.475*44/12</f>
        <v>2.166806425208673E-19</v>
      </c>
      <c r="BS164" s="24">
        <f t="shared" si="169"/>
        <v>0.7450574129140175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419.0448820879102</v>
      </c>
      <c r="T165" s="62">
        <f t="shared" si="142"/>
        <v>553.33038335026379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0.16931882792936151</v>
      </c>
      <c r="AB165" s="23">
        <f>EXP(-LN(2)/2)*AB164+(1-EXP(-LN(2)/2))/(LN(2)/2)*V165*Y165*VLOOKUP('Données projet'!$B$9,Paramètres!$A$1:$I$89,3,0)*0.475*44/12</f>
        <v>6.2075336091790516E-19</v>
      </c>
      <c r="AC165" s="24">
        <f t="shared" si="163"/>
        <v>0.16931882792936151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3.1036506698001178E-14</v>
      </c>
      <c r="AK165" s="14">
        <f t="shared" si="164"/>
        <v>5.3428243983771088E-13</v>
      </c>
      <c r="AL165" s="22">
        <f t="shared" si="165"/>
        <v>9.8459716521636505E-13</v>
      </c>
      <c r="AM165" s="62">
        <f t="shared" si="113"/>
        <v>287.95080179856268</v>
      </c>
      <c r="AN165" s="62">
        <f ca="1">AVERAGE(OFFSET($AM$3,0,0,'Données projet'!$E$10+1,1))-AVERAGE(OFFSET($H$3,0,0,'Données projet'!$E$10+1,1))</f>
        <v>221.57008282490327</v>
      </c>
      <c r="AO165" s="62">
        <f t="shared" si="144"/>
        <v>320.19912501885199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0.11948577164058675</v>
      </c>
      <c r="AW165" s="23">
        <f>EXP(-LN(2)/2)*AW164+(1-EXP(-LN(2)/2))/(LN(2)/2)*AQ165*AT165*VLOOKUP('Données projet'!$B$10,Paramètres!$A$1:$I$89,3,0)*0.475*44/12</f>
        <v>4.6506955466169038E-20</v>
      </c>
      <c r="AX165" s="23">
        <f t="shared" si="166"/>
        <v>0.11948577164058675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368.99999999999966</v>
      </c>
      <c r="BE165" s="14">
        <f>BD165*VLOOKUP('Données projet'!$B$11,Paramètres!$A$1:$I$89,3,0)*VLOOKUP('Données projet'!$B$11,Paramètres!$A$1:$I$89,5,0)</f>
        <v>270.55079999999975</v>
      </c>
      <c r="BF165" s="14">
        <f t="shared" si="167"/>
        <v>64.966149081071777</v>
      </c>
      <c r="BG165" s="22">
        <f t="shared" si="168"/>
        <v>584.35868631619962</v>
      </c>
      <c r="BH165" s="62">
        <f t="shared" si="116"/>
        <v>872.30948811476128</v>
      </c>
      <c r="BI165" s="62">
        <f ca="1">AVERAGE(OFFSET($BH$3,0,0,'Données projet'!$E$11+1,1))-AVERAGE(OFFSET($H$3,0,0,'Données projet'!$E$11+1,1))</f>
        <v>400.4480038202409</v>
      </c>
      <c r="BJ165" s="62">
        <f t="shared" si="146"/>
        <v>384.86917865380076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0.72468377877701717</v>
      </c>
      <c r="BR165" s="23">
        <f>EXP(-LN(2)/2)*BR164+(1-EXP(-LN(2)/2))/(LN(2)/2)*BL165*BO165*VLOOKUP('Données projet'!$B$11,Paramètres!$A$1:$I$89,3,0)*0.475*44/12</f>
        <v>1.5321635167836344E-19</v>
      </c>
      <c r="BS165" s="24">
        <f t="shared" si="169"/>
        <v>0.72468377877701717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419.0448820879102</v>
      </c>
      <c r="T166" s="62">
        <f t="shared" si="142"/>
        <v>553.33038335026379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0.16468879567554295</v>
      </c>
      <c r="AB166" s="23">
        <f>EXP(-LN(2)/2)*AB165+(1-EXP(-LN(2)/2))/(LN(2)/2)*V166*Y166*VLOOKUP('Données projet'!$B$9,Paramètres!$A$1:$I$89,3,0)*0.475*44/12</f>
        <v>4.3893891094939113E-19</v>
      </c>
      <c r="AC166" s="24">
        <f t="shared" si="163"/>
        <v>0.16468879567554295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3.1036506698001178E-14</v>
      </c>
      <c r="AK166" s="14">
        <f t="shared" si="164"/>
        <v>5.3428243983771088E-13</v>
      </c>
      <c r="AL166" s="22">
        <f t="shared" si="165"/>
        <v>9.8459716521636505E-13</v>
      </c>
      <c r="AM166" s="62">
        <f t="shared" si="113"/>
        <v>288.0441766871532</v>
      </c>
      <c r="AN166" s="62">
        <f ca="1">AVERAGE(OFFSET($AM$3,0,0,'Données projet'!$E$10+1,1))-AVERAGE(OFFSET($H$3,0,0,'Données projet'!$E$10+1,1))</f>
        <v>221.57008282490327</v>
      </c>
      <c r="AO166" s="62">
        <f t="shared" si="144"/>
        <v>320.19912501885199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0.11621842693159126</v>
      </c>
      <c r="AW166" s="23">
        <f>EXP(-LN(2)/2)*AW165+(1-EXP(-LN(2)/2))/(LN(2)/2)*AQ166*AT166*VLOOKUP('Données projet'!$B$10,Paramètres!$A$1:$I$89,3,0)*0.475*44/12</f>
        <v>3.28853835824689E-20</v>
      </c>
      <c r="AX166" s="23">
        <f t="shared" si="166"/>
        <v>0.11621842693159126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368.99999999999966</v>
      </c>
      <c r="BE166" s="14">
        <f>BD166*VLOOKUP('Données projet'!$B$11,Paramètres!$A$1:$I$89,3,0)*VLOOKUP('Données projet'!$B$11,Paramètres!$A$1:$I$89,5,0)</f>
        <v>270.55079999999975</v>
      </c>
      <c r="BF166" s="14">
        <f t="shared" si="167"/>
        <v>64.966149081071777</v>
      </c>
      <c r="BG166" s="22">
        <f t="shared" si="168"/>
        <v>584.35868631619962</v>
      </c>
      <c r="BH166" s="62">
        <f t="shared" si="116"/>
        <v>872.40286300335185</v>
      </c>
      <c r="BI166" s="62">
        <f ca="1">AVERAGE(OFFSET($BH$3,0,0,'Données projet'!$E$11+1,1))-AVERAGE(OFFSET($H$3,0,0,'Données projet'!$E$11+1,1))</f>
        <v>400.4480038202409</v>
      </c>
      <c r="BJ166" s="62">
        <f t="shared" si="146"/>
        <v>384.86917865380076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0.70486726273689604</v>
      </c>
      <c r="BR166" s="23">
        <f>EXP(-LN(2)/2)*BR165+(1-EXP(-LN(2)/2))/(LN(2)/2)*BL166*BO166*VLOOKUP('Données projet'!$B$11,Paramètres!$A$1:$I$89,3,0)*0.475*44/12</f>
        <v>1.0834032126043366E-19</v>
      </c>
      <c r="BS166" s="24">
        <f t="shared" si="169"/>
        <v>0.70486726273689604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419.0448820879102</v>
      </c>
      <c r="T167" s="62">
        <f t="shared" si="142"/>
        <v>553.33038335026379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0.16018537189718787</v>
      </c>
      <c r="AB167" s="23">
        <f>EXP(-LN(2)/2)*AB166+(1-EXP(-LN(2)/2))/(LN(2)/2)*V167*Y167*VLOOKUP('Données projet'!$B$9,Paramètres!$A$1:$I$89,3,0)*0.475*44/12</f>
        <v>3.1037668045895258E-19</v>
      </c>
      <c r="AC167" s="24">
        <f t="shared" si="163"/>
        <v>0.16018537189718787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3.1036506698001178E-14</v>
      </c>
      <c r="AK167" s="14">
        <f t="shared" si="164"/>
        <v>5.3428243983771088E-13</v>
      </c>
      <c r="AL167" s="22">
        <f t="shared" si="165"/>
        <v>9.8459716521636505E-13</v>
      </c>
      <c r="AM167" s="62">
        <f t="shared" si="113"/>
        <v>288.13593173018165</v>
      </c>
      <c r="AN167" s="62">
        <f ca="1">AVERAGE(OFFSET($AM$3,0,0,'Données projet'!$E$10+1,1))-AVERAGE(OFFSET($H$3,0,0,'Données projet'!$E$10+1,1))</f>
        <v>221.57008282490327</v>
      </c>
      <c r="AO167" s="62">
        <f t="shared" si="144"/>
        <v>320.19912501885199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0.11304042793548545</v>
      </c>
      <c r="AW167" s="23">
        <f>EXP(-LN(2)/2)*AW166+(1-EXP(-LN(2)/2))/(LN(2)/2)*AQ167*AT167*VLOOKUP('Données projet'!$B$10,Paramètres!$A$1:$I$89,3,0)*0.475*44/12</f>
        <v>2.3253477733084519E-20</v>
      </c>
      <c r="AX167" s="23">
        <f t="shared" si="166"/>
        <v>0.11304042793548545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368.99999999999966</v>
      </c>
      <c r="BE167" s="14">
        <f>BD167*VLOOKUP('Données projet'!$B$11,Paramètres!$A$1:$I$89,3,0)*VLOOKUP('Données projet'!$B$11,Paramètres!$A$1:$I$89,5,0)</f>
        <v>270.55079999999975</v>
      </c>
      <c r="BF167" s="14">
        <f t="shared" si="167"/>
        <v>64.966149081071777</v>
      </c>
      <c r="BG167" s="22">
        <f t="shared" si="168"/>
        <v>584.35868631619962</v>
      </c>
      <c r="BH167" s="62">
        <f t="shared" si="116"/>
        <v>872.49461804638031</v>
      </c>
      <c r="BI167" s="62">
        <f ca="1">AVERAGE(OFFSET($BH$3,0,0,'Données projet'!$E$11+1,1))-AVERAGE(OFFSET($H$3,0,0,'Données projet'!$E$11+1,1))</f>
        <v>400.4480038202409</v>
      </c>
      <c r="BJ167" s="62">
        <f t="shared" si="146"/>
        <v>384.86917865380076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0.68559263036999729</v>
      </c>
      <c r="BR167" s="23">
        <f>EXP(-LN(2)/2)*BR166+(1-EXP(-LN(2)/2))/(LN(2)/2)*BL167*BO167*VLOOKUP('Données projet'!$B$11,Paramètres!$A$1:$I$89,3,0)*0.475*44/12</f>
        <v>7.6608175839181734E-20</v>
      </c>
      <c r="BS167" s="24">
        <f t="shared" si="169"/>
        <v>0.68559263036999729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419.0448820879102</v>
      </c>
      <c r="T168" s="62">
        <f t="shared" si="142"/>
        <v>553.33038335026379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0.15580509447887667</v>
      </c>
      <c r="AB168" s="23">
        <f>EXP(-LN(2)/2)*AB167+(1-EXP(-LN(2)/2))/(LN(2)/2)*V168*Y168*VLOOKUP('Données projet'!$B$9,Paramètres!$A$1:$I$89,3,0)*0.475*44/12</f>
        <v>2.1946945547469556E-19</v>
      </c>
      <c r="AC168" s="24">
        <f t="shared" si="163"/>
        <v>0.15580509447887667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3.1036506698001178E-14</v>
      </c>
      <c r="AK168" s="14">
        <f t="shared" si="164"/>
        <v>5.3428243983771088E-13</v>
      </c>
      <c r="AL168" s="22">
        <f t="shared" si="165"/>
        <v>9.8459716521636505E-13</v>
      </c>
      <c r="AM168" s="62">
        <f t="shared" si="113"/>
        <v>288.22609502834712</v>
      </c>
      <c r="AN168" s="62">
        <f ca="1">AVERAGE(OFFSET($AM$3,0,0,'Données projet'!$E$10+1,1))-AVERAGE(OFFSET($H$3,0,0,'Données projet'!$E$10+1,1))</f>
        <v>221.57008282490327</v>
      </c>
      <c r="AO168" s="62">
        <f t="shared" si="144"/>
        <v>320.19912501885199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0.10994933148905185</v>
      </c>
      <c r="AW168" s="23">
        <f>EXP(-LN(2)/2)*AW167+(1-EXP(-LN(2)/2))/(LN(2)/2)*AQ168*AT168*VLOOKUP('Données projet'!$B$10,Paramètres!$A$1:$I$89,3,0)*0.475*44/12</f>
        <v>1.644269179123445E-20</v>
      </c>
      <c r="AX168" s="23">
        <f t="shared" si="166"/>
        <v>0.10994933148905185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368.99999999999966</v>
      </c>
      <c r="BE168" s="14">
        <f>BD168*VLOOKUP('Données projet'!$B$11,Paramètres!$A$1:$I$89,3,0)*VLOOKUP('Données projet'!$B$11,Paramètres!$A$1:$I$89,5,0)</f>
        <v>270.55079999999975</v>
      </c>
      <c r="BF168" s="14">
        <f t="shared" si="167"/>
        <v>64.966149081071777</v>
      </c>
      <c r="BG168" s="22">
        <f t="shared" si="168"/>
        <v>584.35868631619962</v>
      </c>
      <c r="BH168" s="62">
        <f t="shared" si="116"/>
        <v>872.58478134454572</v>
      </c>
      <c r="BI168" s="62">
        <f ca="1">AVERAGE(OFFSET($BH$3,0,0,'Données projet'!$E$11+1,1))-AVERAGE(OFFSET($H$3,0,0,'Données projet'!$E$11+1,1))</f>
        <v>400.4480038202409</v>
      </c>
      <c r="BJ168" s="62">
        <f t="shared" si="146"/>
        <v>384.86917865380076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0.66684506383878017</v>
      </c>
      <c r="BR168" s="23">
        <f>EXP(-LN(2)/2)*BR167+(1-EXP(-LN(2)/2))/(LN(2)/2)*BL168*BO168*VLOOKUP('Données projet'!$B$11,Paramètres!$A$1:$I$89,3,0)*0.475*44/12</f>
        <v>5.4170160630216842E-20</v>
      </c>
      <c r="BS168" s="24">
        <f t="shared" si="169"/>
        <v>0.66684506383878017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419.0448820879102</v>
      </c>
      <c r="T169" s="62">
        <f t="shared" si="142"/>
        <v>553.33038335026379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0.15154459597691797</v>
      </c>
      <c r="AB169" s="23">
        <f>EXP(-LN(2)/2)*AB168+(1-EXP(-LN(2)/2))/(LN(2)/2)*V169*Y169*VLOOKUP('Données projet'!$B$9,Paramètres!$A$1:$I$89,3,0)*0.475*44/12</f>
        <v>1.5518834022947629E-19</v>
      </c>
      <c r="AC169" s="24">
        <f t="shared" si="163"/>
        <v>0.15154459597691797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3.1036506698001178E-14</v>
      </c>
      <c r="AK169" s="14">
        <f t="shared" si="164"/>
        <v>5.3428243983771088E-13</v>
      </c>
      <c r="AL169" s="22">
        <f t="shared" si="165"/>
        <v>9.8459716521636505E-13</v>
      </c>
      <c r="AM169" s="62">
        <f t="shared" si="113"/>
        <v>288.31469419486439</v>
      </c>
      <c r="AN169" s="62">
        <f ca="1">AVERAGE(OFFSET($AM$3,0,0,'Données projet'!$E$10+1,1))-AVERAGE(OFFSET($H$3,0,0,'Données projet'!$E$10+1,1))</f>
        <v>221.57008282490327</v>
      </c>
      <c r="AO169" s="62">
        <f t="shared" si="144"/>
        <v>320.19912501885199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0.10694276123749968</v>
      </c>
      <c r="AW169" s="23">
        <f>EXP(-LN(2)/2)*AW168+(1-EXP(-LN(2)/2))/(LN(2)/2)*AQ169*AT169*VLOOKUP('Données projet'!$B$10,Paramètres!$A$1:$I$89,3,0)*0.475*44/12</f>
        <v>1.1626738866542259E-20</v>
      </c>
      <c r="AX169" s="23">
        <f t="shared" si="166"/>
        <v>0.10694276123749968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368.99999999999966</v>
      </c>
      <c r="BE169" s="14">
        <f>BD169*VLOOKUP('Données projet'!$B$11,Paramètres!$A$1:$I$89,3,0)*VLOOKUP('Données projet'!$B$11,Paramètres!$A$1:$I$89,5,0)</f>
        <v>270.55079999999975</v>
      </c>
      <c r="BF169" s="14">
        <f t="shared" si="167"/>
        <v>64.966149081071777</v>
      </c>
      <c r="BG169" s="22">
        <f t="shared" si="168"/>
        <v>584.35868631619962</v>
      </c>
      <c r="BH169" s="62">
        <f t="shared" si="116"/>
        <v>872.67338051106299</v>
      </c>
      <c r="BI169" s="62">
        <f ca="1">AVERAGE(OFFSET($BH$3,0,0,'Données projet'!$E$11+1,1))-AVERAGE(OFFSET($H$3,0,0,'Données projet'!$E$11+1,1))</f>
        <v>400.4480038202409</v>
      </c>
      <c r="BJ169" s="62">
        <f t="shared" si="146"/>
        <v>384.86917865380076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0.64861015050025095</v>
      </c>
      <c r="BR169" s="23">
        <f>EXP(-LN(2)/2)*BR168+(1-EXP(-LN(2)/2))/(LN(2)/2)*BL169*BO169*VLOOKUP('Données projet'!$B$11,Paramètres!$A$1:$I$89,3,0)*0.475*44/12</f>
        <v>3.8304087919590873E-20</v>
      </c>
      <c r="BS169" s="24">
        <f t="shared" si="169"/>
        <v>0.64861015050025095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419.0448820879102</v>
      </c>
      <c r="T170" s="62">
        <f t="shared" si="142"/>
        <v>553.33038335026379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0.1474006010305452</v>
      </c>
      <c r="AB170" s="23">
        <f>EXP(-LN(2)/2)*AB169+(1-EXP(-LN(2)/2))/(LN(2)/2)*V170*Y170*VLOOKUP('Données projet'!$B$9,Paramètres!$A$1:$I$89,3,0)*0.475*44/12</f>
        <v>1.0973472773734778E-19</v>
      </c>
      <c r="AC170" s="24">
        <f t="shared" si="163"/>
        <v>0.1474006010305452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3.1036506698001178E-14</v>
      </c>
      <c r="AK170" s="14">
        <f t="shared" si="164"/>
        <v>5.3428243983771088E-13</v>
      </c>
      <c r="AL170" s="22">
        <f t="shared" si="165"/>
        <v>9.8459716521636505E-13</v>
      </c>
      <c r="AM170" s="62">
        <f t="shared" si="113"/>
        <v>288.40175636392058</v>
      </c>
      <c r="AN170" s="62">
        <f ca="1">AVERAGE(OFFSET($AM$3,0,0,'Données projet'!$E$10+1,1))-AVERAGE(OFFSET($H$3,0,0,'Données projet'!$E$10+1,1))</f>
        <v>221.57008282490327</v>
      </c>
      <c r="AO170" s="62">
        <f t="shared" si="144"/>
        <v>320.19912501885199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0.10401840580758487</v>
      </c>
      <c r="AW170" s="23">
        <f>EXP(-LN(2)/2)*AW169+(1-EXP(-LN(2)/2))/(LN(2)/2)*AQ170*AT170*VLOOKUP('Données projet'!$B$10,Paramètres!$A$1:$I$89,3,0)*0.475*44/12</f>
        <v>8.2213458956172249E-21</v>
      </c>
      <c r="AX170" s="23">
        <f t="shared" si="166"/>
        <v>0.10401840580758487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368.99999999999966</v>
      </c>
      <c r="BE170" s="14">
        <f>BD170*VLOOKUP('Données projet'!$B$11,Paramètres!$A$1:$I$89,3,0)*VLOOKUP('Données projet'!$B$11,Paramètres!$A$1:$I$89,5,0)</f>
        <v>270.55079999999975</v>
      </c>
      <c r="BF170" s="14">
        <f t="shared" si="167"/>
        <v>64.966149081071777</v>
      </c>
      <c r="BG170" s="22">
        <f t="shared" si="168"/>
        <v>584.35868631619962</v>
      </c>
      <c r="BH170" s="62">
        <f t="shared" si="116"/>
        <v>872.76044268011924</v>
      </c>
      <c r="BI170" s="62">
        <f ca="1">AVERAGE(OFFSET($BH$3,0,0,'Données projet'!$E$11+1,1))-AVERAGE(OFFSET($H$3,0,0,'Données projet'!$E$11+1,1))</f>
        <v>400.4480038202409</v>
      </c>
      <c r="BJ170" s="62">
        <f t="shared" si="146"/>
        <v>384.86917865380076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0.63087387182589616</v>
      </c>
      <c r="BR170" s="23">
        <f>EXP(-LN(2)/2)*BR169+(1-EXP(-LN(2)/2))/(LN(2)/2)*BL170*BO170*VLOOKUP('Données projet'!$B$11,Paramètres!$A$1:$I$89,3,0)*0.475*44/12</f>
        <v>2.7085080315108424E-20</v>
      </c>
      <c r="BS170" s="24">
        <f t="shared" si="169"/>
        <v>0.63087387182589616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419.0448820879102</v>
      </c>
      <c r="T171" s="62">
        <f t="shared" si="142"/>
        <v>553.33038335026379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0.14336992384390421</v>
      </c>
      <c r="AB171" s="23">
        <f>EXP(-LN(2)/2)*AB170+(1-EXP(-LN(2)/2))/(LN(2)/2)*V171*Y171*VLOOKUP('Données projet'!$B$9,Paramètres!$A$1:$I$89,3,0)*0.475*44/12</f>
        <v>7.7594170114738145E-20</v>
      </c>
      <c r="AC171" s="24">
        <f t="shared" si="163"/>
        <v>0.14336992384390421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3.1036506698001178E-14</v>
      </c>
      <c r="AK171" s="14">
        <f t="shared" si="164"/>
        <v>5.3428243983771088E-13</v>
      </c>
      <c r="AL171" s="22">
        <f t="shared" si="165"/>
        <v>9.8459716521636505E-13</v>
      </c>
      <c r="AM171" s="62">
        <f t="shared" si="113"/>
        <v>288.48730819898549</v>
      </c>
      <c r="AN171" s="62">
        <f ca="1">AVERAGE(OFFSET($AM$3,0,0,'Données projet'!$E$10+1,1))-AVERAGE(OFFSET($H$3,0,0,'Données projet'!$E$10+1,1))</f>
        <v>221.57008282490327</v>
      </c>
      <c r="AO171" s="62">
        <f t="shared" si="144"/>
        <v>320.19912501885199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0.10117401703068624</v>
      </c>
      <c r="AW171" s="23">
        <f>EXP(-LN(2)/2)*AW170+(1-EXP(-LN(2)/2))/(LN(2)/2)*AQ171*AT171*VLOOKUP('Données projet'!$B$10,Paramètres!$A$1:$I$89,3,0)*0.475*44/12</f>
        <v>5.8133694332711297E-21</v>
      </c>
      <c r="AX171" s="23">
        <f t="shared" si="166"/>
        <v>0.10117401703068624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368.99999999999966</v>
      </c>
      <c r="BE171" s="14">
        <f>BD171*VLOOKUP('Données projet'!$B$11,Paramètres!$A$1:$I$89,3,0)*VLOOKUP('Données projet'!$B$11,Paramètres!$A$1:$I$89,5,0)</f>
        <v>270.55079999999975</v>
      </c>
      <c r="BF171" s="14">
        <f t="shared" si="167"/>
        <v>64.966149081071777</v>
      </c>
      <c r="BG171" s="22">
        <f t="shared" si="168"/>
        <v>584.35868631619962</v>
      </c>
      <c r="BH171" s="62">
        <f t="shared" si="116"/>
        <v>872.8459945151842</v>
      </c>
      <c r="BI171" s="62">
        <f ca="1">AVERAGE(OFFSET($BH$3,0,0,'Données projet'!$E$11+1,1))-AVERAGE(OFFSET($H$3,0,0,'Données projet'!$E$11+1,1))</f>
        <v>400.4480038202409</v>
      </c>
      <c r="BJ171" s="62">
        <f t="shared" si="146"/>
        <v>384.86917865380076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0.61362259262460195</v>
      </c>
      <c r="BR171" s="23">
        <f>EXP(-LN(2)/2)*BR170+(1-EXP(-LN(2)/2))/(LN(2)/2)*BL171*BO171*VLOOKUP('Données projet'!$B$11,Paramètres!$A$1:$I$89,3,0)*0.475*44/12</f>
        <v>1.915204395979544E-20</v>
      </c>
      <c r="BS171" s="24">
        <f t="shared" si="169"/>
        <v>0.61362259262460195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419.0448820879102</v>
      </c>
      <c r="T172" s="62">
        <f t="shared" si="142"/>
        <v>553.33038335026379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0.13944946573689604</v>
      </c>
      <c r="AB172" s="23">
        <f>EXP(-LN(2)/2)*AB171+(1-EXP(-LN(2)/2))/(LN(2)/2)*V172*Y172*VLOOKUP('Données projet'!$B$9,Paramètres!$A$1:$I$89,3,0)*0.475*44/12</f>
        <v>5.4867363868673891E-20</v>
      </c>
      <c r="AC172" s="24">
        <f t="shared" si="163"/>
        <v>0.13944946573689604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3.1036506698001178E-14</v>
      </c>
      <c r="AK172" s="14">
        <f t="shared" si="164"/>
        <v>5.3428243983771088E-13</v>
      </c>
      <c r="AL172" s="22">
        <f t="shared" si="165"/>
        <v>9.8459716521636505E-13</v>
      </c>
      <c r="AM172" s="62">
        <f t="shared" si="113"/>
        <v>288.57137590097739</v>
      </c>
      <c r="AN172" s="62">
        <f ca="1">AVERAGE(OFFSET($AM$3,0,0,'Données projet'!$E$10+1,1))-AVERAGE(OFFSET($H$3,0,0,'Données projet'!$E$10+1,1))</f>
        <v>221.57008282490327</v>
      </c>
      <c r="AO172" s="62">
        <f t="shared" si="144"/>
        <v>320.19912501885199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9.8407408214471803E-2</v>
      </c>
      <c r="AW172" s="23">
        <f>EXP(-LN(2)/2)*AW171+(1-EXP(-LN(2)/2))/(LN(2)/2)*AQ172*AT172*VLOOKUP('Données projet'!$B$10,Paramètres!$A$1:$I$89,3,0)*0.475*44/12</f>
        <v>4.1106729478086124E-21</v>
      </c>
      <c r="AX172" s="23">
        <f t="shared" si="166"/>
        <v>9.8407408214471803E-2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368.99999999999966</v>
      </c>
      <c r="BE172" s="14">
        <f>BD172*VLOOKUP('Données projet'!$B$11,Paramètres!$A$1:$I$89,3,0)*VLOOKUP('Données projet'!$B$11,Paramètres!$A$1:$I$89,5,0)</f>
        <v>270.55079999999975</v>
      </c>
      <c r="BF172" s="14">
        <f t="shared" si="167"/>
        <v>64.966149081071777</v>
      </c>
      <c r="BG172" s="22">
        <f t="shared" si="168"/>
        <v>584.35868631619962</v>
      </c>
      <c r="BH172" s="62">
        <f t="shared" si="116"/>
        <v>872.9300622171761</v>
      </c>
      <c r="BI172" s="62">
        <f ca="1">AVERAGE(OFFSET($BH$3,0,0,'Données projet'!$E$11+1,1))-AVERAGE(OFFSET($H$3,0,0,'Données projet'!$E$11+1,1))</f>
        <v>400.4480038202409</v>
      </c>
      <c r="BJ172" s="62">
        <f t="shared" si="146"/>
        <v>384.86917865380076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0.59684305056027254</v>
      </c>
      <c r="BR172" s="23">
        <f>EXP(-LN(2)/2)*BR171+(1-EXP(-LN(2)/2))/(LN(2)/2)*BL172*BO172*VLOOKUP('Données projet'!$B$11,Paramètres!$A$1:$I$89,3,0)*0.475*44/12</f>
        <v>1.3542540157554213E-20</v>
      </c>
      <c r="BS172" s="24">
        <f t="shared" si="169"/>
        <v>0.59684305056027254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419.0448820879102</v>
      </c>
      <c r="T173" s="62">
        <f t="shared" si="142"/>
        <v>553.33038335026379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0.13563621276299193</v>
      </c>
      <c r="AB173" s="23">
        <f>EXP(-LN(2)/2)*AB172+(1-EXP(-LN(2)/2))/(LN(2)/2)*V173*Y173*VLOOKUP('Données projet'!$B$9,Paramètres!$A$1:$I$89,3,0)*0.475*44/12</f>
        <v>3.8797085057369072E-20</v>
      </c>
      <c r="AC173" s="24">
        <f t="shared" si="163"/>
        <v>0.13563621276299193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3.1036506698001178E-14</v>
      </c>
      <c r="AK173" s="14">
        <f t="shared" si="164"/>
        <v>5.3428243983771088E-13</v>
      </c>
      <c r="AL173" s="22">
        <f t="shared" si="165"/>
        <v>9.8459716521636505E-13</v>
      </c>
      <c r="AM173" s="62">
        <f t="shared" si="113"/>
        <v>288.65398521628686</v>
      </c>
      <c r="AN173" s="62">
        <f ca="1">AVERAGE(OFFSET($AM$3,0,0,'Données projet'!$E$10+1,1))-AVERAGE(OFFSET($H$3,0,0,'Données projet'!$E$10+1,1))</f>
        <v>221.57008282490327</v>
      </c>
      <c r="AO173" s="62">
        <f t="shared" si="144"/>
        <v>320.19912501885199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9.571645246182639E-2</v>
      </c>
      <c r="AW173" s="23">
        <f>EXP(-LN(2)/2)*AW172+(1-EXP(-LN(2)/2))/(LN(2)/2)*AQ173*AT173*VLOOKUP('Données projet'!$B$10,Paramètres!$A$1:$I$89,3,0)*0.475*44/12</f>
        <v>2.9066847166355649E-21</v>
      </c>
      <c r="AX173" s="23">
        <f t="shared" si="166"/>
        <v>9.571645246182639E-2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368.99999999999966</v>
      </c>
      <c r="BE173" s="14">
        <f>BD173*VLOOKUP('Données projet'!$B$11,Paramètres!$A$1:$I$89,3,0)*VLOOKUP('Données projet'!$B$11,Paramètres!$A$1:$I$89,5,0)</f>
        <v>270.55079999999975</v>
      </c>
      <c r="BF173" s="14">
        <f t="shared" si="167"/>
        <v>64.966149081071777</v>
      </c>
      <c r="BG173" s="22">
        <f t="shared" si="168"/>
        <v>584.35868631619962</v>
      </c>
      <c r="BH173" s="62">
        <f t="shared" si="116"/>
        <v>873.01267153248546</v>
      </c>
      <c r="BI173" s="62">
        <f ca="1">AVERAGE(OFFSET($BH$3,0,0,'Données projet'!$E$11+1,1))-AVERAGE(OFFSET($H$3,0,0,'Données projet'!$E$11+1,1))</f>
        <v>400.4480038202409</v>
      </c>
      <c r="BJ173" s="62">
        <f t="shared" si="146"/>
        <v>384.86917865380076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0.58052234595608998</v>
      </c>
      <c r="BR173" s="23">
        <f>EXP(-LN(2)/2)*BR172+(1-EXP(-LN(2)/2))/(LN(2)/2)*BL173*BO173*VLOOKUP('Données projet'!$B$11,Paramètres!$A$1:$I$89,3,0)*0.475*44/12</f>
        <v>9.5760219798977213E-21</v>
      </c>
      <c r="BS173" s="24">
        <f t="shared" si="169"/>
        <v>0.58052234595608998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419.0448820879102</v>
      </c>
      <c r="T174" s="62">
        <f t="shared" si="142"/>
        <v>553.33038335026379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0.13192723339218948</v>
      </c>
      <c r="AB174" s="23">
        <f>EXP(-LN(2)/2)*AB173+(1-EXP(-LN(2)/2))/(LN(2)/2)*V174*Y174*VLOOKUP('Données projet'!$B$9,Paramètres!$A$1:$I$89,3,0)*0.475*44/12</f>
        <v>2.7433681934336945E-20</v>
      </c>
      <c r="AC174" s="24">
        <f t="shared" si="163"/>
        <v>0.13192723339218948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3.1036506698001178E-14</v>
      </c>
      <c r="AK174" s="14">
        <f t="shared" si="164"/>
        <v>5.3428243983771088E-13</v>
      </c>
      <c r="AL174" s="22">
        <f t="shared" si="165"/>
        <v>9.8459716521636505E-13</v>
      </c>
      <c r="AM174" s="62">
        <f t="shared" si="113"/>
        <v>288.73516144466248</v>
      </c>
      <c r="AN174" s="62">
        <f ca="1">AVERAGE(OFFSET($AM$3,0,0,'Données projet'!$E$10+1,1))-AVERAGE(OFFSET($H$3,0,0,'Données projet'!$E$10+1,1))</f>
        <v>221.57008282490327</v>
      </c>
      <c r="AO174" s="62">
        <f t="shared" si="144"/>
        <v>320.19912501885199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9.309908103574828E-2</v>
      </c>
      <c r="AW174" s="23">
        <f>EXP(-LN(2)/2)*AW173+(1-EXP(-LN(2)/2))/(LN(2)/2)*AQ174*AT174*VLOOKUP('Données projet'!$B$10,Paramètres!$A$1:$I$89,3,0)*0.475*44/12</f>
        <v>2.0553364739043062E-21</v>
      </c>
      <c r="AX174" s="23">
        <f t="shared" si="166"/>
        <v>9.309908103574828E-2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368.99999999999966</v>
      </c>
      <c r="BE174" s="14">
        <f>BD174*VLOOKUP('Données projet'!$B$11,Paramètres!$A$1:$I$89,3,0)*VLOOKUP('Données projet'!$B$11,Paramètres!$A$1:$I$89,5,0)</f>
        <v>270.55079999999975</v>
      </c>
      <c r="BF174" s="14">
        <f t="shared" si="167"/>
        <v>64.966149081071777</v>
      </c>
      <c r="BG174" s="22">
        <f t="shared" si="168"/>
        <v>584.35868631619962</v>
      </c>
      <c r="BH174" s="62">
        <f t="shared" si="116"/>
        <v>873.09384776086108</v>
      </c>
      <c r="BI174" s="62">
        <f ca="1">AVERAGE(OFFSET($BH$3,0,0,'Données projet'!$E$11+1,1))-AVERAGE(OFFSET($H$3,0,0,'Données projet'!$E$11+1,1))</f>
        <v>400.4480038202409</v>
      </c>
      <c r="BJ174" s="62">
        <f t="shared" si="146"/>
        <v>384.86917865380076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0.56464793187757734</v>
      </c>
      <c r="BR174" s="23">
        <f>EXP(-LN(2)/2)*BR173+(1-EXP(-LN(2)/2))/(LN(2)/2)*BL174*BO174*VLOOKUP('Données projet'!$B$11,Paramètres!$A$1:$I$89,3,0)*0.475*44/12</f>
        <v>6.7712700787771082E-21</v>
      </c>
      <c r="BS174" s="24">
        <f t="shared" si="169"/>
        <v>0.56464793187757734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419.0448820879102</v>
      </c>
      <c r="T175" s="62">
        <f t="shared" si="142"/>
        <v>553.33038335026379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0.12831967625732837</v>
      </c>
      <c r="AB175" s="23">
        <f>EXP(-LN(2)/2)*AB174+(1-EXP(-LN(2)/2))/(LN(2)/2)*V175*Y175*VLOOKUP('Données projet'!$B$9,Paramètres!$A$1:$I$89,3,0)*0.475*44/12</f>
        <v>1.9398542528684536E-20</v>
      </c>
      <c r="AC175" s="24">
        <f t="shared" si="163"/>
        <v>0.12831967625732837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3.1036506698001178E-14</v>
      </c>
      <c r="AK175" s="14">
        <f t="shared" si="164"/>
        <v>5.3428243983771088E-13</v>
      </c>
      <c r="AL175" s="22">
        <f t="shared" si="165"/>
        <v>9.8459716521636505E-13</v>
      </c>
      <c r="AM175" s="62">
        <f t="shared" si="113"/>
        <v>288.81492944695862</v>
      </c>
      <c r="AN175" s="62">
        <f ca="1">AVERAGE(OFFSET($AM$3,0,0,'Données projet'!$E$10+1,1))-AVERAGE(OFFSET($H$3,0,0,'Données projet'!$E$10+1,1))</f>
        <v>221.57008282490327</v>
      </c>
      <c r="AO175" s="62">
        <f t="shared" si="144"/>
        <v>320.19912501885199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9.0553281768957855E-2</v>
      </c>
      <c r="AW175" s="23">
        <f>EXP(-LN(2)/2)*AW174+(1-EXP(-LN(2)/2))/(LN(2)/2)*AQ175*AT175*VLOOKUP('Données projet'!$B$10,Paramètres!$A$1:$I$89,3,0)*0.475*44/12</f>
        <v>1.4533423583177824E-21</v>
      </c>
      <c r="AX175" s="23">
        <f t="shared" si="166"/>
        <v>9.0553281768957855E-2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368.99999999999966</v>
      </c>
      <c r="BE175" s="14">
        <f>BD175*VLOOKUP('Données projet'!$B$11,Paramètres!$A$1:$I$89,3,0)*VLOOKUP('Données projet'!$B$11,Paramètres!$A$1:$I$89,5,0)</f>
        <v>270.55079999999975</v>
      </c>
      <c r="BF175" s="14">
        <f t="shared" si="167"/>
        <v>64.966149081071777</v>
      </c>
      <c r="BG175" s="22">
        <f t="shared" si="168"/>
        <v>584.35868631619962</v>
      </c>
      <c r="BH175" s="62">
        <f t="shared" si="116"/>
        <v>873.17361576315727</v>
      </c>
      <c r="BI175" s="62">
        <f ca="1">AVERAGE(OFFSET($BH$3,0,0,'Données projet'!$E$11+1,1))-AVERAGE(OFFSET($H$3,0,0,'Données projet'!$E$11+1,1))</f>
        <v>400.4480038202409</v>
      </c>
      <c r="BJ175" s="62">
        <f t="shared" si="146"/>
        <v>384.86917865380076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0.54920760448684081</v>
      </c>
      <c r="BR175" s="23">
        <f>EXP(-LN(2)/2)*BR174+(1-EXP(-LN(2)/2))/(LN(2)/2)*BL175*BO175*VLOOKUP('Données projet'!$B$11,Paramètres!$A$1:$I$89,3,0)*0.475*44/12</f>
        <v>4.7880109899488614E-21</v>
      </c>
      <c r="BS175" s="24">
        <f t="shared" si="169"/>
        <v>0.54920760448684081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419.0448820879102</v>
      </c>
      <c r="T176" s="62">
        <f t="shared" si="142"/>
        <v>553.33038335026379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0.12481076796203323</v>
      </c>
      <c r="AB176" s="23">
        <f>EXP(-LN(2)/2)*AB175+(1-EXP(-LN(2)/2))/(LN(2)/2)*V176*Y176*VLOOKUP('Données projet'!$B$9,Paramètres!$A$1:$I$89,3,0)*0.475*44/12</f>
        <v>1.3716840967168473E-20</v>
      </c>
      <c r="AC176" s="24">
        <f t="shared" si="163"/>
        <v>0.12481076796203323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3.1036506698001178E-14</v>
      </c>
      <c r="AK176" s="14">
        <f t="shared" si="164"/>
        <v>5.3428243983771088E-13</v>
      </c>
      <c r="AL176" s="22">
        <f t="shared" si="165"/>
        <v>9.8459716521636505E-13</v>
      </c>
      <c r="AM176" s="62">
        <f t="shared" si="113"/>
        <v>288.89331365274944</v>
      </c>
      <c r="AN176" s="62">
        <f ca="1">AVERAGE(OFFSET($AM$3,0,0,'Données projet'!$E$10+1,1))-AVERAGE(OFFSET($H$3,0,0,'Données projet'!$E$10+1,1))</f>
        <v>221.57008282490327</v>
      </c>
      <c r="AO176" s="62">
        <f t="shared" si="144"/>
        <v>320.19912501885199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8.8077097516995578E-2</v>
      </c>
      <c r="AW176" s="23">
        <f>EXP(-LN(2)/2)*AW175+(1-EXP(-LN(2)/2))/(LN(2)/2)*AQ176*AT176*VLOOKUP('Données projet'!$B$10,Paramètres!$A$1:$I$89,3,0)*0.475*44/12</f>
        <v>1.0276682369521531E-21</v>
      </c>
      <c r="AX176" s="23">
        <f t="shared" si="166"/>
        <v>8.8077097516995578E-2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368.99999999999966</v>
      </c>
      <c r="BE176" s="14">
        <f>BD176*VLOOKUP('Données projet'!$B$11,Paramètres!$A$1:$I$89,3,0)*VLOOKUP('Données projet'!$B$11,Paramètres!$A$1:$I$89,5,0)</f>
        <v>270.55079999999975</v>
      </c>
      <c r="BF176" s="14">
        <f t="shared" si="167"/>
        <v>64.966149081071777</v>
      </c>
      <c r="BG176" s="22">
        <f t="shared" si="168"/>
        <v>584.35868631619962</v>
      </c>
      <c r="BH176" s="62">
        <f t="shared" si="116"/>
        <v>873.2519999689481</v>
      </c>
      <c r="BI176" s="62">
        <f ca="1">AVERAGE(OFFSET($BH$3,0,0,'Données projet'!$E$11+1,1))-AVERAGE(OFFSET($H$3,0,0,'Données projet'!$E$11+1,1))</f>
        <v>400.4480038202409</v>
      </c>
      <c r="BJ176" s="62">
        <f t="shared" si="146"/>
        <v>384.86917865380076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0.53418949366057544</v>
      </c>
      <c r="BR176" s="23">
        <f>EXP(-LN(2)/2)*BR175+(1-EXP(-LN(2)/2))/(LN(2)/2)*BL176*BO176*VLOOKUP('Données projet'!$B$11,Paramètres!$A$1:$I$89,3,0)*0.475*44/12</f>
        <v>3.3856350393885545E-21</v>
      </c>
      <c r="BS176" s="24">
        <f t="shared" si="169"/>
        <v>0.53418949366057544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419.0448820879102</v>
      </c>
      <c r="T177" s="62">
        <f t="shared" si="142"/>
        <v>553.33038335026379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0.1213978109485984</v>
      </c>
      <c r="AB177" s="23">
        <f>EXP(-LN(2)/2)*AB176+(1-EXP(-LN(2)/2))/(LN(2)/2)*V177*Y177*VLOOKUP('Données projet'!$B$9,Paramètres!$A$1:$I$89,3,0)*0.475*44/12</f>
        <v>9.6992712643422681E-21</v>
      </c>
      <c r="AC177" s="24">
        <f t="shared" si="163"/>
        <v>0.1213978109485984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3.1036506698001178E-14</v>
      </c>
      <c r="AK177" s="14">
        <f t="shared" si="164"/>
        <v>5.3428243983771088E-13</v>
      </c>
      <c r="AL177" s="22">
        <f t="shared" si="165"/>
        <v>9.8459716521636505E-13</v>
      </c>
      <c r="AM177" s="62">
        <f t="shared" si="113"/>
        <v>288.9703380678107</v>
      </c>
      <c r="AN177" s="62">
        <f ca="1">AVERAGE(OFFSET($AM$3,0,0,'Données projet'!$E$10+1,1))-AVERAGE(OFFSET($H$3,0,0,'Données projet'!$E$10+1,1))</f>
        <v>221.57008282490327</v>
      </c>
      <c r="AO177" s="62">
        <f t="shared" si="144"/>
        <v>320.19912501885199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8.5668624653620074E-2</v>
      </c>
      <c r="AW177" s="23">
        <f>EXP(-LN(2)/2)*AW176+(1-EXP(-LN(2)/2))/(LN(2)/2)*AQ177*AT177*VLOOKUP('Données projet'!$B$10,Paramètres!$A$1:$I$89,3,0)*0.475*44/12</f>
        <v>7.2667117915889122E-22</v>
      </c>
      <c r="AX177" s="23">
        <f t="shared" si="166"/>
        <v>8.5668624653620074E-2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368.99999999999966</v>
      </c>
      <c r="BE177" s="14">
        <f>BD177*VLOOKUP('Données projet'!$B$11,Paramètres!$A$1:$I$89,3,0)*VLOOKUP('Données projet'!$B$11,Paramètres!$A$1:$I$89,5,0)</f>
        <v>270.55079999999975</v>
      </c>
      <c r="BF177" s="14">
        <f t="shared" si="167"/>
        <v>64.966149081071777</v>
      </c>
      <c r="BG177" s="22">
        <f t="shared" si="168"/>
        <v>584.35868631619962</v>
      </c>
      <c r="BH177" s="62">
        <f t="shared" si="116"/>
        <v>873.32902438400936</v>
      </c>
      <c r="BI177" s="62">
        <f ca="1">AVERAGE(OFFSET($BH$3,0,0,'Données projet'!$E$11+1,1))-AVERAGE(OFFSET($H$3,0,0,'Données projet'!$E$11+1,1))</f>
        <v>400.4480038202409</v>
      </c>
      <c r="BJ177" s="62">
        <f t="shared" si="146"/>
        <v>384.86917865380076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0.51958205386462242</v>
      </c>
      <c r="BR177" s="23">
        <f>EXP(-LN(2)/2)*BR176+(1-EXP(-LN(2)/2))/(LN(2)/2)*BL177*BO177*VLOOKUP('Données projet'!$B$11,Paramètres!$A$1:$I$89,3,0)*0.475*44/12</f>
        <v>2.3940054949744311E-21</v>
      </c>
      <c r="BS177" s="24">
        <f t="shared" si="169"/>
        <v>0.51958205386462242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419.0448820879102</v>
      </c>
      <c r="T178" s="62">
        <f t="shared" si="142"/>
        <v>553.33038335026379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0.11807818142417556</v>
      </c>
      <c r="AB178" s="23">
        <f>EXP(-LN(2)/2)*AB177+(1-EXP(-LN(2)/2))/(LN(2)/2)*V178*Y178*VLOOKUP('Données projet'!$B$9,Paramètres!$A$1:$I$89,3,0)*0.475*44/12</f>
        <v>6.8584204835842364E-21</v>
      </c>
      <c r="AC178" s="24">
        <f t="shared" si="163"/>
        <v>0.11807818142417556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3.1036506698001178E-14</v>
      </c>
      <c r="AK178" s="14">
        <f t="shared" si="164"/>
        <v>5.3428243983771088E-13</v>
      </c>
      <c r="AL178" s="22">
        <f t="shared" si="165"/>
        <v>9.8459716521636505E-13</v>
      </c>
      <c r="AM178" s="62">
        <f t="shared" si="113"/>
        <v>289.04602628147137</v>
      </c>
      <c r="AN178" s="62">
        <f ca="1">AVERAGE(OFFSET($AM$3,0,0,'Données projet'!$E$10+1,1))-AVERAGE(OFFSET($H$3,0,0,'Données projet'!$E$10+1,1))</f>
        <v>221.57008282490327</v>
      </c>
      <c r="AO178" s="62">
        <f t="shared" si="144"/>
        <v>320.19912501885199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8.3326011607349662E-2</v>
      </c>
      <c r="AW178" s="23">
        <f>EXP(-LN(2)/2)*AW177+(1-EXP(-LN(2)/2))/(LN(2)/2)*AQ178*AT178*VLOOKUP('Données projet'!$B$10,Paramètres!$A$1:$I$89,3,0)*0.475*44/12</f>
        <v>5.1383411847607655E-22</v>
      </c>
      <c r="AX178" s="23">
        <f t="shared" si="166"/>
        <v>8.3326011607349662E-2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368.99999999999966</v>
      </c>
      <c r="BE178" s="14">
        <f>BD178*VLOOKUP('Données projet'!$B$11,Paramètres!$A$1:$I$89,3,0)*VLOOKUP('Données projet'!$B$11,Paramètres!$A$1:$I$89,5,0)</f>
        <v>270.55079999999975</v>
      </c>
      <c r="BF178" s="14">
        <f t="shared" si="167"/>
        <v>64.966149081071777</v>
      </c>
      <c r="BG178" s="22">
        <f t="shared" si="168"/>
        <v>584.35868631619962</v>
      </c>
      <c r="BH178" s="62">
        <f t="shared" si="116"/>
        <v>873.40471259767003</v>
      </c>
      <c r="BI178" s="62">
        <f ca="1">AVERAGE(OFFSET($BH$3,0,0,'Données projet'!$E$11+1,1))-AVERAGE(OFFSET($H$3,0,0,'Données projet'!$E$11+1,1))</f>
        <v>400.4480038202409</v>
      </c>
      <c r="BJ178" s="62">
        <f t="shared" si="146"/>
        <v>384.86917865380076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0.50537405527806167</v>
      </c>
      <c r="BR178" s="23">
        <f>EXP(-LN(2)/2)*BR177+(1-EXP(-LN(2)/2))/(LN(2)/2)*BL178*BO178*VLOOKUP('Données projet'!$B$11,Paramètres!$A$1:$I$89,3,0)*0.475*44/12</f>
        <v>1.6928175196942776E-21</v>
      </c>
      <c r="BS178" s="24">
        <f t="shared" si="169"/>
        <v>0.50537405527806167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419.0448820879102</v>
      </c>
      <c r="T179" s="62">
        <f t="shared" si="142"/>
        <v>553.33038335026379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0.11484932734366979</v>
      </c>
      <c r="AB179" s="23">
        <f>EXP(-LN(2)/2)*AB178+(1-EXP(-LN(2)/2))/(LN(2)/2)*V179*Y179*VLOOKUP('Données projet'!$B$9,Paramètres!$A$1:$I$89,3,0)*0.475*44/12</f>
        <v>4.8496356321711341E-21</v>
      </c>
      <c r="AC179" s="24">
        <f t="shared" si="163"/>
        <v>0.11484932734366979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3.1036506698001178E-14</v>
      </c>
      <c r="AK179" s="14">
        <f t="shared" si="164"/>
        <v>5.3428243983771088E-13</v>
      </c>
      <c r="AL179" s="22">
        <f t="shared" si="165"/>
        <v>9.8459716521636505E-13</v>
      </c>
      <c r="AM179" s="62">
        <f t="shared" si="113"/>
        <v>289.12040147383857</v>
      </c>
      <c r="AN179" s="62">
        <f ca="1">AVERAGE(OFFSET($AM$3,0,0,'Données projet'!$E$10+1,1))-AVERAGE(OFFSET($H$3,0,0,'Données projet'!$E$10+1,1))</f>
        <v>221.57008282490327</v>
      </c>
      <c r="AO179" s="62">
        <f t="shared" si="144"/>
        <v>320.19912501885199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8.1047457438022177E-2</v>
      </c>
      <c r="AW179" s="23">
        <f>EXP(-LN(2)/2)*AW178+(1-EXP(-LN(2)/2))/(LN(2)/2)*AQ179*AT179*VLOOKUP('Données projet'!$B$10,Paramètres!$A$1:$I$89,3,0)*0.475*44/12</f>
        <v>3.6333558957944561E-22</v>
      </c>
      <c r="AX179" s="23">
        <f t="shared" si="166"/>
        <v>8.1047457438022177E-2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368.99999999999966</v>
      </c>
      <c r="BE179" s="14">
        <f>BD179*VLOOKUP('Données projet'!$B$11,Paramètres!$A$1:$I$89,3,0)*VLOOKUP('Données projet'!$B$11,Paramètres!$A$1:$I$89,5,0)</f>
        <v>270.55079999999975</v>
      </c>
      <c r="BF179" s="14">
        <f t="shared" si="167"/>
        <v>64.966149081071777</v>
      </c>
      <c r="BG179" s="22">
        <f t="shared" si="168"/>
        <v>584.35868631619962</v>
      </c>
      <c r="BH179" s="62">
        <f t="shared" si="116"/>
        <v>873.47908779003728</v>
      </c>
      <c r="BI179" s="62">
        <f ca="1">AVERAGE(OFFSET($BH$3,0,0,'Données projet'!$E$11+1,1))-AVERAGE(OFFSET($H$3,0,0,'Données projet'!$E$11+1,1))</f>
        <v>400.4480038202409</v>
      </c>
      <c r="BJ179" s="62">
        <f t="shared" si="146"/>
        <v>384.86917865380076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0.49155457516001655</v>
      </c>
      <c r="BR179" s="23">
        <f>EXP(-LN(2)/2)*BR178+(1-EXP(-LN(2)/2))/(LN(2)/2)*BL179*BO179*VLOOKUP('Données projet'!$B$11,Paramètres!$A$1:$I$89,3,0)*0.475*44/12</f>
        <v>1.1970027474872157E-21</v>
      </c>
      <c r="BS179" s="24">
        <f t="shared" si="169"/>
        <v>0.49155457516001655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419.0448820879102</v>
      </c>
      <c r="T180" s="62">
        <f t="shared" si="142"/>
        <v>553.33038335026379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0.1117087664477935</v>
      </c>
      <c r="AB180" s="23">
        <f>EXP(-LN(2)/2)*AB179+(1-EXP(-LN(2)/2))/(LN(2)/2)*V180*Y180*VLOOKUP('Données projet'!$B$9,Paramètres!$A$1:$I$89,3,0)*0.475*44/12</f>
        <v>3.4292102417921182E-21</v>
      </c>
      <c r="AC180" s="24">
        <f t="shared" si="163"/>
        <v>0.1117087664477935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3.1036506698001178E-14</v>
      </c>
      <c r="AK180" s="14">
        <f t="shared" si="164"/>
        <v>5.3428243983771088E-13</v>
      </c>
      <c r="AL180" s="22">
        <f t="shared" si="165"/>
        <v>9.8459716521636505E-13</v>
      </c>
      <c r="AM180" s="62">
        <f t="shared" si="113"/>
        <v>289.19348642289623</v>
      </c>
      <c r="AN180" s="62">
        <f ca="1">AVERAGE(OFFSET($AM$3,0,0,'Données projet'!$E$10+1,1))-AVERAGE(OFFSET($H$3,0,0,'Données projet'!$E$10+1,1))</f>
        <v>221.57008282490327</v>
      </c>
      <c r="AO180" s="62">
        <f t="shared" si="144"/>
        <v>320.19912501885199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7.8831210452278908E-2</v>
      </c>
      <c r="AW180" s="23">
        <f>EXP(-LN(2)/2)*AW179+(1-EXP(-LN(2)/2))/(LN(2)/2)*AQ180*AT180*VLOOKUP('Données projet'!$B$10,Paramètres!$A$1:$I$89,3,0)*0.475*44/12</f>
        <v>2.5691705923803828E-22</v>
      </c>
      <c r="AX180" s="23">
        <f t="shared" si="166"/>
        <v>7.8831210452278908E-2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368.99999999999966</v>
      </c>
      <c r="BE180" s="14">
        <f>BD180*VLOOKUP('Données projet'!$B$11,Paramètres!$A$1:$I$89,3,0)*VLOOKUP('Données projet'!$B$11,Paramètres!$A$1:$I$89,5,0)</f>
        <v>270.55079999999975</v>
      </c>
      <c r="BF180" s="14">
        <f t="shared" si="167"/>
        <v>64.966149081071777</v>
      </c>
      <c r="BG180" s="22">
        <f t="shared" si="168"/>
        <v>584.35868631619962</v>
      </c>
      <c r="BH180" s="62">
        <f t="shared" si="116"/>
        <v>873.55217273909489</v>
      </c>
      <c r="BI180" s="62">
        <f ca="1">AVERAGE(OFFSET($BH$3,0,0,'Données projet'!$E$11+1,1))-AVERAGE(OFFSET($H$3,0,0,'Données projet'!$E$11+1,1))</f>
        <v>400.4480038202409</v>
      </c>
      <c r="BJ180" s="62">
        <f t="shared" si="146"/>
        <v>384.86917865380076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0.47811298945253428</v>
      </c>
      <c r="BR180" s="23">
        <f>EXP(-LN(2)/2)*BR179+(1-EXP(-LN(2)/2))/(LN(2)/2)*BL180*BO180*VLOOKUP('Données projet'!$B$11,Paramètres!$A$1:$I$89,3,0)*0.475*44/12</f>
        <v>8.4640875984713891E-22</v>
      </c>
      <c r="BS180" s="24">
        <f t="shared" si="169"/>
        <v>0.47811298945253428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419.0448820879102</v>
      </c>
      <c r="T181" s="62">
        <f t="shared" si="142"/>
        <v>553.33038335026379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0.10865408435476986</v>
      </c>
      <c r="AB181" s="23">
        <f>EXP(-LN(2)/2)*AB180+(1-EXP(-LN(2)/2))/(LN(2)/2)*V181*Y181*VLOOKUP('Données projet'!$B$9,Paramètres!$A$1:$I$89,3,0)*0.475*44/12</f>
        <v>2.424817816085567E-21</v>
      </c>
      <c r="AC181" s="24">
        <f t="shared" si="163"/>
        <v>0.10865408435476986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3.1036506698001178E-14</v>
      </c>
      <c r="AK181" s="14">
        <f t="shared" si="164"/>
        <v>5.3428243983771088E-13</v>
      </c>
      <c r="AL181" s="22">
        <f t="shared" si="165"/>
        <v>9.8459716521636505E-13</v>
      </c>
      <c r="AM181" s="62">
        <f t="shared" si="113"/>
        <v>289.26530351148114</v>
      </c>
      <c r="AN181" s="62">
        <f ca="1">AVERAGE(OFFSET($AM$3,0,0,'Données projet'!$E$10+1,1))-AVERAGE(OFFSET($H$3,0,0,'Données projet'!$E$10+1,1))</f>
        <v>221.57008282490327</v>
      </c>
      <c r="AO181" s="62">
        <f t="shared" si="144"/>
        <v>320.19912501885199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7.6675566856908156E-2</v>
      </c>
      <c r="AW181" s="23">
        <f>EXP(-LN(2)/2)*AW180+(1-EXP(-LN(2)/2))/(LN(2)/2)*AQ181*AT181*VLOOKUP('Données projet'!$B$10,Paramètres!$A$1:$I$89,3,0)*0.475*44/12</f>
        <v>1.816677947897228E-22</v>
      </c>
      <c r="AX181" s="23">
        <f t="shared" si="166"/>
        <v>7.6675566856908156E-2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368.99999999999966</v>
      </c>
      <c r="BE181" s="14">
        <f>BD181*VLOOKUP('Données projet'!$B$11,Paramètres!$A$1:$I$89,3,0)*VLOOKUP('Données projet'!$B$11,Paramètres!$A$1:$I$89,5,0)</f>
        <v>270.55079999999975</v>
      </c>
      <c r="BF181" s="14">
        <f t="shared" si="167"/>
        <v>64.966149081071777</v>
      </c>
      <c r="BG181" s="22">
        <f t="shared" si="168"/>
        <v>584.35868631619962</v>
      </c>
      <c r="BH181" s="62">
        <f t="shared" si="116"/>
        <v>873.62398982767979</v>
      </c>
      <c r="BI181" s="62">
        <f ca="1">AVERAGE(OFFSET($BH$3,0,0,'Données projet'!$E$11+1,1))-AVERAGE(OFFSET($H$3,0,0,'Données projet'!$E$11+1,1))</f>
        <v>400.4480038202409</v>
      </c>
      <c r="BJ181" s="62">
        <f t="shared" si="146"/>
        <v>384.86917865380076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0.46503896461308536</v>
      </c>
      <c r="BR181" s="23">
        <f>EXP(-LN(2)/2)*BR180+(1-EXP(-LN(2)/2))/(LN(2)/2)*BL181*BO181*VLOOKUP('Données projet'!$B$11,Paramètres!$A$1:$I$89,3,0)*0.475*44/12</f>
        <v>5.9850137374360796E-22</v>
      </c>
      <c r="BS181" s="24">
        <f t="shared" si="169"/>
        <v>0.46503896461308536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419.0448820879102</v>
      </c>
      <c r="T182" s="62">
        <f t="shared" si="142"/>
        <v>553.33038335026379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0.10568293270421872</v>
      </c>
      <c r="AB182" s="23">
        <f>EXP(-LN(2)/2)*AB181+(1-EXP(-LN(2)/2))/(LN(2)/2)*V182*Y182*VLOOKUP('Données projet'!$B$9,Paramètres!$A$1:$I$89,3,0)*0.475*44/12</f>
        <v>1.7146051208960591E-21</v>
      </c>
      <c r="AC182" s="24">
        <f t="shared" si="163"/>
        <v>0.10568293270421872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3.1036506698001178E-14</v>
      </c>
      <c r="AK182" s="14">
        <f t="shared" si="164"/>
        <v>5.3428243983771088E-13</v>
      </c>
      <c r="AL182" s="22">
        <f t="shared" si="165"/>
        <v>9.8459716521636505E-13</v>
      </c>
      <c r="AM182" s="62">
        <f t="shared" si="113"/>
        <v>289.33587473413809</v>
      </c>
      <c r="AN182" s="62">
        <f ca="1">AVERAGE(OFFSET($AM$3,0,0,'Données projet'!$E$10+1,1))-AVERAGE(OFFSET($H$3,0,0,'Données projet'!$E$10+1,1))</f>
        <v>221.57008282490327</v>
      </c>
      <c r="AO182" s="62">
        <f t="shared" si="144"/>
        <v>320.19912501885199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7.457886944901318E-2</v>
      </c>
      <c r="AW182" s="23">
        <f>EXP(-LN(2)/2)*AW181+(1-EXP(-LN(2)/2))/(LN(2)/2)*AQ182*AT182*VLOOKUP('Données projet'!$B$10,Paramètres!$A$1:$I$89,3,0)*0.475*44/12</f>
        <v>1.2845852961901914E-22</v>
      </c>
      <c r="AX182" s="23">
        <f t="shared" si="166"/>
        <v>7.457886944901318E-2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368.99999999999966</v>
      </c>
      <c r="BE182" s="14">
        <f>BD182*VLOOKUP('Données projet'!$B$11,Paramètres!$A$1:$I$89,3,0)*VLOOKUP('Données projet'!$B$11,Paramètres!$A$1:$I$89,5,0)</f>
        <v>270.55079999999975</v>
      </c>
      <c r="BF182" s="14">
        <f t="shared" si="167"/>
        <v>64.966149081071777</v>
      </c>
      <c r="BG182" s="22">
        <f t="shared" si="168"/>
        <v>584.35868631619962</v>
      </c>
      <c r="BH182" s="62">
        <f t="shared" si="116"/>
        <v>873.69456105033669</v>
      </c>
      <c r="BI182" s="62">
        <f ca="1">AVERAGE(OFFSET($BH$3,0,0,'Données projet'!$E$11+1,1))-AVERAGE(OFFSET($H$3,0,0,'Données projet'!$E$11+1,1))</f>
        <v>400.4480038202409</v>
      </c>
      <c r="BJ182" s="62">
        <f t="shared" si="146"/>
        <v>384.86917865380076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0.45232244967040425</v>
      </c>
      <c r="BR182" s="23">
        <f>EXP(-LN(2)/2)*BR181+(1-EXP(-LN(2)/2))/(LN(2)/2)*BL182*BO182*VLOOKUP('Données projet'!$B$11,Paramètres!$A$1:$I$89,3,0)*0.475*44/12</f>
        <v>4.232043799235695E-22</v>
      </c>
      <c r="BS182" s="24">
        <f t="shared" si="169"/>
        <v>0.45232244967040425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419.0448820879102</v>
      </c>
      <c r="T183" s="62">
        <f t="shared" si="142"/>
        <v>553.33038335026379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0.10279302735179797</v>
      </c>
      <c r="AB183" s="23">
        <f>EXP(-LN(2)/2)*AB182+(1-EXP(-LN(2)/2))/(LN(2)/2)*V183*Y183*VLOOKUP('Données projet'!$B$9,Paramètres!$A$1:$I$89,3,0)*0.475*44/12</f>
        <v>1.2124089080427835E-21</v>
      </c>
      <c r="AC183" s="24">
        <f t="shared" si="163"/>
        <v>0.10279302735179797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3.1036506698001178E-14</v>
      </c>
      <c r="AK183" s="14">
        <f t="shared" si="164"/>
        <v>5.3428243983771088E-13</v>
      </c>
      <c r="AL183" s="22">
        <f t="shared" si="165"/>
        <v>9.8459716521636505E-13</v>
      </c>
      <c r="AM183" s="62">
        <f t="shared" si="113"/>
        <v>289.4052217038556</v>
      </c>
      <c r="AN183" s="62">
        <f ca="1">AVERAGE(OFFSET($AM$3,0,0,'Données projet'!$E$10+1,1))-AVERAGE(OFFSET($H$3,0,0,'Données projet'!$E$10+1,1))</f>
        <v>221.57008282490327</v>
      </c>
      <c r="AO183" s="62">
        <f t="shared" si="144"/>
        <v>320.19912501885199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7.2539506341997628E-2</v>
      </c>
      <c r="AW183" s="23">
        <f>EXP(-LN(2)/2)*AW182+(1-EXP(-LN(2)/2))/(LN(2)/2)*AQ183*AT183*VLOOKUP('Données projet'!$B$10,Paramètres!$A$1:$I$89,3,0)*0.475*44/12</f>
        <v>9.0833897394861402E-23</v>
      </c>
      <c r="AX183" s="23">
        <f t="shared" si="166"/>
        <v>7.2539506341997628E-2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368.99999999999966</v>
      </c>
      <c r="BE183" s="14">
        <f>BD183*VLOOKUP('Données projet'!$B$11,Paramètres!$A$1:$I$89,3,0)*VLOOKUP('Données projet'!$B$11,Paramètres!$A$1:$I$89,5,0)</f>
        <v>270.55079999999975</v>
      </c>
      <c r="BF183" s="14">
        <f t="shared" si="167"/>
        <v>64.966149081071777</v>
      </c>
      <c r="BG183" s="22">
        <f t="shared" si="168"/>
        <v>584.35868631619962</v>
      </c>
      <c r="BH183" s="62">
        <f t="shared" si="116"/>
        <v>873.76390802005426</v>
      </c>
      <c r="BI183" s="62">
        <f ca="1">AVERAGE(OFFSET($BH$3,0,0,'Données projet'!$E$11+1,1))-AVERAGE(OFFSET($H$3,0,0,'Données projet'!$E$11+1,1))</f>
        <v>400.4480038202409</v>
      </c>
      <c r="BJ183" s="62">
        <f t="shared" si="146"/>
        <v>384.86917865380076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0.43995366849756323</v>
      </c>
      <c r="BR183" s="23">
        <f>EXP(-LN(2)/2)*BR182+(1-EXP(-LN(2)/2))/(LN(2)/2)*BL183*BO183*VLOOKUP('Données projet'!$B$11,Paramètres!$A$1:$I$89,3,0)*0.475*44/12</f>
        <v>2.9925068687180402E-22</v>
      </c>
      <c r="BS183" s="24">
        <f t="shared" si="169"/>
        <v>0.43995366849756323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419.0448820879102</v>
      </c>
      <c r="T184" s="62">
        <f t="shared" si="142"/>
        <v>553.33038335026379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9.9982146613212683E-2</v>
      </c>
      <c r="AB184" s="23">
        <f>EXP(-LN(2)/2)*AB183+(1-EXP(-LN(2)/2))/(LN(2)/2)*V184*Y184*VLOOKUP('Données projet'!$B$9,Paramètres!$A$1:$I$89,3,0)*0.475*44/12</f>
        <v>8.5730256044802954E-22</v>
      </c>
      <c r="AC184" s="24">
        <f t="shared" si="163"/>
        <v>9.9982146613212683E-2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3.1036506698001178E-14</v>
      </c>
      <c r="AK184" s="14">
        <f t="shared" si="164"/>
        <v>5.3428243983771088E-13</v>
      </c>
      <c r="AL184" s="22">
        <f t="shared" si="165"/>
        <v>9.8459716521636505E-13</v>
      </c>
      <c r="AM184" s="62">
        <f t="shared" si="113"/>
        <v>289.47336565868505</v>
      </c>
      <c r="AN184" s="62">
        <f ca="1">AVERAGE(OFFSET($AM$3,0,0,'Données projet'!$E$10+1,1))-AVERAGE(OFFSET($H$3,0,0,'Données projet'!$E$10+1,1))</f>
        <v>221.57008282490327</v>
      </c>
      <c r="AO184" s="62">
        <f t="shared" si="144"/>
        <v>320.19912501885199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7.0555909726388852E-2</v>
      </c>
      <c r="AW184" s="23">
        <f>EXP(-LN(2)/2)*AW183+(1-EXP(-LN(2)/2))/(LN(2)/2)*AQ184*AT184*VLOOKUP('Données projet'!$B$10,Paramètres!$A$1:$I$89,3,0)*0.475*44/12</f>
        <v>6.4229264809509569E-23</v>
      </c>
      <c r="AX184" s="23">
        <f t="shared" si="166"/>
        <v>7.0555909726388852E-2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368.99999999999966</v>
      </c>
      <c r="BE184" s="14">
        <f>BD184*VLOOKUP('Données projet'!$B$11,Paramètres!$A$1:$I$89,3,0)*VLOOKUP('Données projet'!$B$11,Paramètres!$A$1:$I$89,5,0)</f>
        <v>270.55079999999975</v>
      </c>
      <c r="BF184" s="14">
        <f t="shared" si="167"/>
        <v>64.966149081071777</v>
      </c>
      <c r="BG184" s="22">
        <f t="shared" si="168"/>
        <v>584.35868631619962</v>
      </c>
      <c r="BH184" s="62">
        <f t="shared" si="116"/>
        <v>873.83205197488371</v>
      </c>
      <c r="BI184" s="62">
        <f ca="1">AVERAGE(OFFSET($BH$3,0,0,'Données projet'!$E$11+1,1))-AVERAGE(OFFSET($H$3,0,0,'Données projet'!$E$11+1,1))</f>
        <v>400.4480038202409</v>
      </c>
      <c r="BJ184" s="62">
        <f t="shared" si="146"/>
        <v>384.86917865380076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0.42792311229633945</v>
      </c>
      <c r="BR184" s="23">
        <f>EXP(-LN(2)/2)*BR183+(1-EXP(-LN(2)/2))/(LN(2)/2)*BL184*BO184*VLOOKUP('Données projet'!$B$11,Paramètres!$A$1:$I$89,3,0)*0.475*44/12</f>
        <v>2.116021899617848E-22</v>
      </c>
      <c r="BS184" s="24">
        <f t="shared" si="169"/>
        <v>0.42792311229633945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419.0448820879102</v>
      </c>
      <c r="T185" s="62">
        <f t="shared" si="142"/>
        <v>553.33038335026379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9.7248129556241805E-2</v>
      </c>
      <c r="AB185" s="23">
        <f>EXP(-LN(2)/2)*AB184+(1-EXP(-LN(2)/2))/(LN(2)/2)*V185*Y185*VLOOKUP('Données projet'!$B$9,Paramètres!$A$1:$I$89,3,0)*0.475*44/12</f>
        <v>6.0620445402139176E-22</v>
      </c>
      <c r="AC185" s="24">
        <f t="shared" si="163"/>
        <v>9.7248129556241805E-2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3.1036506698001178E-14</v>
      </c>
      <c r="AK185" s="14">
        <f t="shared" si="164"/>
        <v>5.3428243983771088E-13</v>
      </c>
      <c r="AL185" s="22">
        <f t="shared" si="165"/>
        <v>9.8459716521636505E-13</v>
      </c>
      <c r="AM185" s="62">
        <f t="shared" si="113"/>
        <v>289.54032746824538</v>
      </c>
      <c r="AN185" s="62">
        <f ca="1">AVERAGE(OFFSET($AM$3,0,0,'Données projet'!$E$10+1,1))-AVERAGE(OFFSET($H$3,0,0,'Données projet'!$E$10+1,1))</f>
        <v>221.57008282490327</v>
      </c>
      <c r="AO185" s="62">
        <f t="shared" si="144"/>
        <v>320.19912501885199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6.8626554664546716E-2</v>
      </c>
      <c r="AW185" s="23">
        <f>EXP(-LN(2)/2)*AW184+(1-EXP(-LN(2)/2))/(LN(2)/2)*AQ185*AT185*VLOOKUP('Données projet'!$B$10,Paramètres!$A$1:$I$89,3,0)*0.475*44/12</f>
        <v>4.5416948697430701E-23</v>
      </c>
      <c r="AX185" s="23">
        <f t="shared" si="166"/>
        <v>6.8626554664546716E-2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368.99999999999966</v>
      </c>
      <c r="BE185" s="14">
        <f>BD185*VLOOKUP('Données projet'!$B$11,Paramètres!$A$1:$I$89,3,0)*VLOOKUP('Données projet'!$B$11,Paramètres!$A$1:$I$89,5,0)</f>
        <v>270.55079999999975</v>
      </c>
      <c r="BF185" s="14">
        <f t="shared" si="167"/>
        <v>64.966149081071777</v>
      </c>
      <c r="BG185" s="22">
        <f t="shared" si="168"/>
        <v>584.35868631619962</v>
      </c>
      <c r="BH185" s="62">
        <f t="shared" si="116"/>
        <v>873.89901378444404</v>
      </c>
      <c r="BI185" s="62">
        <f ca="1">AVERAGE(OFFSET($BH$3,0,0,'Données projet'!$E$11+1,1))-AVERAGE(OFFSET($H$3,0,0,'Données projet'!$E$11+1,1))</f>
        <v>400.4480038202409</v>
      </c>
      <c r="BJ185" s="62">
        <f t="shared" si="146"/>
        <v>384.86917865380076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0.41622153228709763</v>
      </c>
      <c r="BR185" s="23">
        <f>EXP(-LN(2)/2)*BR184+(1-EXP(-LN(2)/2))/(LN(2)/2)*BL185*BO185*VLOOKUP('Données projet'!$B$11,Paramètres!$A$1:$I$89,3,0)*0.475*44/12</f>
        <v>1.4962534343590204E-22</v>
      </c>
      <c r="BS185" s="24">
        <f t="shared" si="169"/>
        <v>0.41622153228709763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419.0448820879102</v>
      </c>
      <c r="T186" s="62">
        <f t="shared" si="142"/>
        <v>553.33038335026379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9.4588874339469498E-2</v>
      </c>
      <c r="AB186" s="23">
        <f>EXP(-LN(2)/2)*AB185+(1-EXP(-LN(2)/2))/(LN(2)/2)*V186*Y186*VLOOKUP('Données projet'!$B$9,Paramètres!$A$1:$I$89,3,0)*0.475*44/12</f>
        <v>4.2865128022401477E-22</v>
      </c>
      <c r="AC186" s="24">
        <f t="shared" si="163"/>
        <v>9.4588874339469498E-2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3.1036506698001178E-14</v>
      </c>
      <c r="AK186" s="14">
        <f t="shared" si="164"/>
        <v>5.3428243983771088E-13</v>
      </c>
      <c r="AL186" s="22">
        <f t="shared" si="165"/>
        <v>9.8459716521636505E-13</v>
      </c>
      <c r="AM186" s="62">
        <f t="shared" si="113"/>
        <v>289.60612764011393</v>
      </c>
      <c r="AN186" s="62">
        <f ca="1">AVERAGE(OFFSET($AM$3,0,0,'Données projet'!$E$10+1,1))-AVERAGE(OFFSET($H$3,0,0,'Données projet'!$E$10+1,1))</f>
        <v>221.57008282490327</v>
      </c>
      <c r="AO186" s="62">
        <f t="shared" si="144"/>
        <v>320.19912501885199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6.6749957918331021E-2</v>
      </c>
      <c r="AW186" s="23">
        <f>EXP(-LN(2)/2)*AW185+(1-EXP(-LN(2)/2))/(LN(2)/2)*AQ186*AT186*VLOOKUP('Données projet'!$B$10,Paramètres!$A$1:$I$89,3,0)*0.475*44/12</f>
        <v>3.2114632404754785E-23</v>
      </c>
      <c r="AX186" s="23">
        <f t="shared" si="166"/>
        <v>6.6749957918331021E-2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368.99999999999966</v>
      </c>
      <c r="BE186" s="14">
        <f>BD186*VLOOKUP('Données projet'!$B$11,Paramètres!$A$1:$I$89,3,0)*VLOOKUP('Données projet'!$B$11,Paramètres!$A$1:$I$89,5,0)</f>
        <v>270.55079999999975</v>
      </c>
      <c r="BF186" s="14">
        <f t="shared" si="167"/>
        <v>64.966149081071777</v>
      </c>
      <c r="BG186" s="22">
        <f t="shared" si="168"/>
        <v>584.35868631619962</v>
      </c>
      <c r="BH186" s="62">
        <f t="shared" si="116"/>
        <v>873.96481395631258</v>
      </c>
      <c r="BI186" s="62">
        <f ca="1">AVERAGE(OFFSET($BH$3,0,0,'Données projet'!$E$11+1,1))-AVERAGE(OFFSET($H$3,0,0,'Données projet'!$E$11+1,1))</f>
        <v>400.4480038202409</v>
      </c>
      <c r="BJ186" s="62">
        <f t="shared" si="146"/>
        <v>384.86917865380076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0.40483993259856788</v>
      </c>
      <c r="BR186" s="23">
        <f>EXP(-LN(2)/2)*BR185+(1-EXP(-LN(2)/2))/(LN(2)/2)*BL186*BO186*VLOOKUP('Données projet'!$B$11,Paramètres!$A$1:$I$89,3,0)*0.475*44/12</f>
        <v>1.0580109498089241E-22</v>
      </c>
      <c r="BS186" s="24">
        <f t="shared" si="169"/>
        <v>0.40483993259856788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419.0448820879102</v>
      </c>
      <c r="T187" s="62">
        <f t="shared" si="142"/>
        <v>553.33038335026379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9.2002336596443982E-2</v>
      </c>
      <c r="AB187" s="23">
        <f>EXP(-LN(2)/2)*AB186+(1-EXP(-LN(2)/2))/(LN(2)/2)*V187*Y187*VLOOKUP('Données projet'!$B$9,Paramètres!$A$1:$I$89,3,0)*0.475*44/12</f>
        <v>3.0310222701069588E-22</v>
      </c>
      <c r="AC187" s="24">
        <f t="shared" si="163"/>
        <v>9.2002336596443982E-2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3.1036506698001178E-14</v>
      </c>
      <c r="AK187" s="14">
        <f t="shared" si="164"/>
        <v>5.3428243983771088E-13</v>
      </c>
      <c r="AL187" s="22">
        <f t="shared" si="165"/>
        <v>9.8459716521636505E-13</v>
      </c>
      <c r="AM187" s="62">
        <f t="shared" si="113"/>
        <v>289.6707863261077</v>
      </c>
      <c r="AN187" s="62">
        <f ca="1">AVERAGE(OFFSET($AM$3,0,0,'Données projet'!$E$10+1,1))-AVERAGE(OFFSET($H$3,0,0,'Données projet'!$E$10+1,1))</f>
        <v>221.57008282490327</v>
      </c>
      <c r="AO187" s="62">
        <f t="shared" si="144"/>
        <v>320.19912501885199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6.4924676808826534E-2</v>
      </c>
      <c r="AW187" s="23">
        <f>EXP(-LN(2)/2)*AW186+(1-EXP(-LN(2)/2))/(LN(2)/2)*AQ187*AT187*VLOOKUP('Données projet'!$B$10,Paramètres!$A$1:$I$89,3,0)*0.475*44/12</f>
        <v>2.270847434871535E-23</v>
      </c>
      <c r="AX187" s="23">
        <f t="shared" si="166"/>
        <v>6.4924676808826534E-2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368.99999999999966</v>
      </c>
      <c r="BE187" s="14">
        <f>BD187*VLOOKUP('Données projet'!$B$11,Paramètres!$A$1:$I$89,3,0)*VLOOKUP('Données projet'!$B$11,Paramètres!$A$1:$I$89,5,0)</f>
        <v>270.55079999999975</v>
      </c>
      <c r="BF187" s="14">
        <f t="shared" si="167"/>
        <v>64.966149081071777</v>
      </c>
      <c r="BG187" s="22">
        <f t="shared" si="168"/>
        <v>584.35868631619962</v>
      </c>
      <c r="BH187" s="62">
        <f t="shared" si="116"/>
        <v>874.02947264230636</v>
      </c>
      <c r="BI187" s="62">
        <f ca="1">AVERAGE(OFFSET($BH$3,0,0,'Données projet'!$E$11+1,1))-AVERAGE(OFFSET($H$3,0,0,'Données projet'!$E$11+1,1))</f>
        <v>400.4480038202409</v>
      </c>
      <c r="BJ187" s="62">
        <f t="shared" si="146"/>
        <v>384.86917865380076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0.39376956335205326</v>
      </c>
      <c r="BR187" s="23">
        <f>EXP(-LN(2)/2)*BR186+(1-EXP(-LN(2)/2))/(LN(2)/2)*BL187*BO187*VLOOKUP('Données projet'!$B$11,Paramètres!$A$1:$I$89,3,0)*0.475*44/12</f>
        <v>7.481267171795103E-23</v>
      </c>
      <c r="BS187" s="24">
        <f t="shared" si="169"/>
        <v>0.39376956335205326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419.0448820879102</v>
      </c>
      <c r="T188" s="62">
        <f t="shared" si="142"/>
        <v>553.33038335026379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8.9486527864021614E-2</v>
      </c>
      <c r="AB188" s="23">
        <f>EXP(-LN(2)/2)*AB187+(1-EXP(-LN(2)/2))/(LN(2)/2)*V188*Y188*VLOOKUP('Données projet'!$B$9,Paramètres!$A$1:$I$89,3,0)*0.475*44/12</f>
        <v>2.1432564011200739E-22</v>
      </c>
      <c r="AC188" s="24">
        <f t="shared" si="163"/>
        <v>8.9486527864021614E-2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3.1036506698001178E-14</v>
      </c>
      <c r="AK188" s="14">
        <f t="shared" si="164"/>
        <v>5.3428243983771088E-13</v>
      </c>
      <c r="AL188" s="22">
        <f t="shared" si="165"/>
        <v>9.8459716521636505E-13</v>
      </c>
      <c r="AM188" s="62">
        <f t="shared" si="113"/>
        <v>289.73432332845471</v>
      </c>
      <c r="AN188" s="62">
        <f ca="1">AVERAGE(OFFSET($AM$3,0,0,'Données projet'!$E$10+1,1))-AVERAGE(OFFSET($H$3,0,0,'Données projet'!$E$10+1,1))</f>
        <v>221.57008282490327</v>
      </c>
      <c r="AO188" s="62">
        <f t="shared" si="144"/>
        <v>320.19912501885199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6.3149308107248808E-2</v>
      </c>
      <c r="AW188" s="23">
        <f>EXP(-LN(2)/2)*AW187+(1-EXP(-LN(2)/2))/(LN(2)/2)*AQ188*AT188*VLOOKUP('Données projet'!$B$10,Paramètres!$A$1:$I$89,3,0)*0.475*44/12</f>
        <v>1.6057316202377392E-23</v>
      </c>
      <c r="AX188" s="23">
        <f t="shared" si="166"/>
        <v>6.3149308107248808E-2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368.99999999999966</v>
      </c>
      <c r="BE188" s="14">
        <f>BD188*VLOOKUP('Données projet'!$B$11,Paramètres!$A$1:$I$89,3,0)*VLOOKUP('Données projet'!$B$11,Paramètres!$A$1:$I$89,5,0)</f>
        <v>270.55079999999975</v>
      </c>
      <c r="BF188" s="14">
        <f t="shared" si="167"/>
        <v>64.966149081071777</v>
      </c>
      <c r="BG188" s="22">
        <f t="shared" si="168"/>
        <v>584.35868631619962</v>
      </c>
      <c r="BH188" s="62">
        <f t="shared" si="116"/>
        <v>874.09300964465342</v>
      </c>
      <c r="BI188" s="62">
        <f ca="1">AVERAGE(OFFSET($BH$3,0,0,'Données projet'!$E$11+1,1))-AVERAGE(OFFSET($H$3,0,0,'Données projet'!$E$11+1,1))</f>
        <v>400.4480038202409</v>
      </c>
      <c r="BJ188" s="62">
        <f t="shared" si="146"/>
        <v>384.86917865380076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0.38300191393475003</v>
      </c>
      <c r="BR188" s="23">
        <f>EXP(-LN(2)/2)*BR187+(1-EXP(-LN(2)/2))/(LN(2)/2)*BL188*BO188*VLOOKUP('Données projet'!$B$11,Paramètres!$A$1:$I$89,3,0)*0.475*44/12</f>
        <v>5.2900547490446217E-23</v>
      </c>
      <c r="BS188" s="24">
        <f t="shared" si="169"/>
        <v>0.38300191393475003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419.0448820879102</v>
      </c>
      <c r="T189" s="62">
        <f t="shared" si="142"/>
        <v>553.33038335026379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8.7039514053687969E-2</v>
      </c>
      <c r="AB189" s="23">
        <f>EXP(-LN(2)/2)*AB188+(1-EXP(-LN(2)/2))/(LN(2)/2)*V189*Y189*VLOOKUP('Données projet'!$B$9,Paramètres!$A$1:$I$89,3,0)*0.475*44/12</f>
        <v>1.5155111350534794E-22</v>
      </c>
      <c r="AC189" s="24">
        <f t="shared" si="163"/>
        <v>8.7039514053687969E-2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3.1036506698001178E-14</v>
      </c>
      <c r="AK189" s="14">
        <f t="shared" si="164"/>
        <v>5.3428243983771088E-13</v>
      </c>
      <c r="AL189" s="22">
        <f t="shared" si="165"/>
        <v>9.8459716521636505E-13</v>
      </c>
      <c r="AM189" s="62">
        <f t="shared" si="113"/>
        <v>289.79675810585837</v>
      </c>
      <c r="AN189" s="62">
        <f ca="1">AVERAGE(OFFSET($AM$3,0,0,'Données projet'!$E$10+1,1))-AVERAGE(OFFSET($H$3,0,0,'Données projet'!$E$10+1,1))</f>
        <v>221.57008282490327</v>
      </c>
      <c r="AO189" s="62">
        <f t="shared" si="144"/>
        <v>320.19912501885199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6.1422486956178309E-2</v>
      </c>
      <c r="AW189" s="23">
        <f>EXP(-LN(2)/2)*AW188+(1-EXP(-LN(2)/2))/(LN(2)/2)*AQ189*AT189*VLOOKUP('Données projet'!$B$10,Paramètres!$A$1:$I$89,3,0)*0.475*44/12</f>
        <v>1.1354237174357675E-23</v>
      </c>
      <c r="AX189" s="23">
        <f t="shared" si="166"/>
        <v>6.1422486956178309E-2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368.99999999999966</v>
      </c>
      <c r="BE189" s="14">
        <f>BD189*VLOOKUP('Données projet'!$B$11,Paramètres!$A$1:$I$89,3,0)*VLOOKUP('Données projet'!$B$11,Paramètres!$A$1:$I$89,5,0)</f>
        <v>270.55079999999975</v>
      </c>
      <c r="BF189" s="14">
        <f t="shared" si="167"/>
        <v>64.966149081071777</v>
      </c>
      <c r="BG189" s="22">
        <f t="shared" si="168"/>
        <v>584.35868631619962</v>
      </c>
      <c r="BH189" s="62">
        <f t="shared" si="116"/>
        <v>874.15544442205703</v>
      </c>
      <c r="BI189" s="62">
        <f ca="1">AVERAGE(OFFSET($BH$3,0,0,'Données projet'!$E$11+1,1))-AVERAGE(OFFSET($H$3,0,0,'Données projet'!$E$11+1,1))</f>
        <v>400.4480038202409</v>
      </c>
      <c r="BJ189" s="62">
        <f t="shared" si="146"/>
        <v>384.86917865380076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0.37252870645700897</v>
      </c>
      <c r="BR189" s="23">
        <f>EXP(-LN(2)/2)*BR188+(1-EXP(-LN(2)/2))/(LN(2)/2)*BL189*BO189*VLOOKUP('Données projet'!$B$11,Paramètres!$A$1:$I$89,3,0)*0.475*44/12</f>
        <v>3.7406335858975521E-23</v>
      </c>
      <c r="BS189" s="24">
        <f t="shared" si="169"/>
        <v>0.37252870645700897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419.0448820879102</v>
      </c>
      <c r="T190" s="62">
        <f t="shared" si="142"/>
        <v>553.33038335026379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8.4659413964680755E-2</v>
      </c>
      <c r="AB190" s="23">
        <f>EXP(-LN(2)/2)*AB189+(1-EXP(-LN(2)/2))/(LN(2)/2)*V190*Y190*VLOOKUP('Données projet'!$B$9,Paramètres!$A$1:$I$89,3,0)*0.475*44/12</f>
        <v>1.0716282005600369E-22</v>
      </c>
      <c r="AC190" s="24">
        <f t="shared" si="163"/>
        <v>8.4659413964680755E-2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3.1036506698001178E-14</v>
      </c>
      <c r="AK190" s="14">
        <f t="shared" si="164"/>
        <v>5.3428243983771088E-13</v>
      </c>
      <c r="AL190" s="22">
        <f t="shared" si="165"/>
        <v>9.8459716521636505E-13</v>
      </c>
      <c r="AM190" s="62">
        <f t="shared" si="113"/>
        <v>289.85810977945738</v>
      </c>
      <c r="AN190" s="62">
        <f ca="1">AVERAGE(OFFSET($AM$3,0,0,'Données projet'!$E$10+1,1))-AVERAGE(OFFSET($H$3,0,0,'Données projet'!$E$10+1,1))</f>
        <v>221.57008282490327</v>
      </c>
      <c r="AO190" s="62">
        <f t="shared" si="144"/>
        <v>320.19912501885199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5.9742885820293405E-2</v>
      </c>
      <c r="AW190" s="23">
        <f>EXP(-LN(2)/2)*AW189+(1-EXP(-LN(2)/2))/(LN(2)/2)*AQ190*AT190*VLOOKUP('Données projet'!$B$10,Paramètres!$A$1:$I$89,3,0)*0.475*44/12</f>
        <v>8.0286581011886962E-24</v>
      </c>
      <c r="AX190" s="23">
        <f t="shared" si="166"/>
        <v>5.9742885820293405E-2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368.99999999999966</v>
      </c>
      <c r="BE190" s="14">
        <f>BD190*VLOOKUP('Données projet'!$B$11,Paramètres!$A$1:$I$89,3,0)*VLOOKUP('Données projet'!$B$11,Paramètres!$A$1:$I$89,5,0)</f>
        <v>270.55079999999975</v>
      </c>
      <c r="BF190" s="14">
        <f t="shared" si="167"/>
        <v>64.966149081071777</v>
      </c>
      <c r="BG190" s="22">
        <f t="shared" si="168"/>
        <v>584.35868631619962</v>
      </c>
      <c r="BH190" s="62">
        <f t="shared" si="116"/>
        <v>874.21679609565604</v>
      </c>
      <c r="BI190" s="62">
        <f ca="1">AVERAGE(OFFSET($BH$3,0,0,'Données projet'!$E$11+1,1))-AVERAGE(OFFSET($H$3,0,0,'Données projet'!$E$11+1,1))</f>
        <v>400.4480038202409</v>
      </c>
      <c r="BJ190" s="62">
        <f t="shared" si="146"/>
        <v>384.86917865380076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0.36234188938850881</v>
      </c>
      <c r="BR190" s="23">
        <f>EXP(-LN(2)/2)*BR189+(1-EXP(-LN(2)/2))/(LN(2)/2)*BL190*BO190*VLOOKUP('Données projet'!$B$11,Paramètres!$A$1:$I$89,3,0)*0.475*44/12</f>
        <v>2.6450273745223111E-23</v>
      </c>
      <c r="BS190" s="24">
        <f t="shared" si="169"/>
        <v>0.36234188938850881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419.0448820879102</v>
      </c>
      <c r="T191" s="62">
        <f t="shared" si="142"/>
        <v>553.33038335026379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8.2344397837771477E-2</v>
      </c>
      <c r="AB191" s="23">
        <f>EXP(-LN(2)/2)*AB190+(1-EXP(-LN(2)/2))/(LN(2)/2)*V191*Y191*VLOOKUP('Données projet'!$B$9,Paramètres!$A$1:$I$89,3,0)*0.475*44/12</f>
        <v>7.577555675267397E-23</v>
      </c>
      <c r="AC191" s="24">
        <f t="shared" si="163"/>
        <v>8.2344397837771477E-2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3.1036506698001178E-14</v>
      </c>
      <c r="AK191" s="14">
        <f t="shared" si="164"/>
        <v>5.3428243983771088E-13</v>
      </c>
      <c r="AL191" s="22">
        <f t="shared" si="165"/>
        <v>9.8459716521636505E-13</v>
      </c>
      <c r="AM191" s="62">
        <f t="shared" si="113"/>
        <v>289.9183971386812</v>
      </c>
      <c r="AN191" s="62">
        <f ca="1">AVERAGE(OFFSET($AM$3,0,0,'Données projet'!$E$10+1,1))-AVERAGE(OFFSET($H$3,0,0,'Données projet'!$E$10+1,1))</f>
        <v>221.57008282490327</v>
      </c>
      <c r="AO191" s="62">
        <f t="shared" si="144"/>
        <v>320.19912501885199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5.8109213465795659E-2</v>
      </c>
      <c r="AW191" s="23">
        <f>EXP(-LN(2)/2)*AW190+(1-EXP(-LN(2)/2))/(LN(2)/2)*AQ191*AT191*VLOOKUP('Données projet'!$B$10,Paramètres!$A$1:$I$89,3,0)*0.475*44/12</f>
        <v>5.6771185871788376E-24</v>
      </c>
      <c r="AX191" s="23">
        <f t="shared" si="166"/>
        <v>5.8109213465795659E-2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368.99999999999966</v>
      </c>
      <c r="BE191" s="14">
        <f>BD191*VLOOKUP('Données projet'!$B$11,Paramètres!$A$1:$I$89,3,0)*VLOOKUP('Données projet'!$B$11,Paramètres!$A$1:$I$89,5,0)</f>
        <v>270.55079999999975</v>
      </c>
      <c r="BF191" s="14">
        <f t="shared" si="167"/>
        <v>64.966149081071777</v>
      </c>
      <c r="BG191" s="22">
        <f t="shared" si="168"/>
        <v>584.35868631619962</v>
      </c>
      <c r="BH191" s="62">
        <f t="shared" si="116"/>
        <v>874.27708345487986</v>
      </c>
      <c r="BI191" s="62">
        <f ca="1">AVERAGE(OFFSET($BH$3,0,0,'Données projet'!$E$11+1,1))-AVERAGE(OFFSET($H$3,0,0,'Données projet'!$E$11+1,1))</f>
        <v>400.4480038202409</v>
      </c>
      <c r="BJ191" s="62">
        <f t="shared" si="146"/>
        <v>384.86917865380076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0.35243363136844824</v>
      </c>
      <c r="BR191" s="23">
        <f>EXP(-LN(2)/2)*BR190+(1-EXP(-LN(2)/2))/(LN(2)/2)*BL191*BO191*VLOOKUP('Données projet'!$B$11,Paramètres!$A$1:$I$89,3,0)*0.475*44/12</f>
        <v>1.8703167929487763E-23</v>
      </c>
      <c r="BS191" s="24">
        <f t="shared" si="169"/>
        <v>0.35243363136844824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419.0448820879102</v>
      </c>
      <c r="T192" s="62">
        <f t="shared" si="142"/>
        <v>553.33038335026379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8.0092685948593936E-2</v>
      </c>
      <c r="AB192" s="23">
        <f>EXP(-LN(2)/2)*AB191+(1-EXP(-LN(2)/2))/(LN(2)/2)*V192*Y192*VLOOKUP('Données projet'!$B$9,Paramètres!$A$1:$I$89,3,0)*0.475*44/12</f>
        <v>5.3581410028001846E-23</v>
      </c>
      <c r="AC192" s="24">
        <f t="shared" si="163"/>
        <v>8.0092685948593936E-2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3.1036506698001178E-14</v>
      </c>
      <c r="AK192" s="14">
        <f t="shared" si="164"/>
        <v>5.3428243983771088E-13</v>
      </c>
      <c r="AL192" s="22">
        <f t="shared" si="165"/>
        <v>9.8459716521636505E-13</v>
      </c>
      <c r="AM192" s="62">
        <f t="shared" si="113"/>
        <v>289.97763864700482</v>
      </c>
      <c r="AN192" s="62">
        <f ca="1">AVERAGE(OFFSET($AM$3,0,0,'Données projet'!$E$10+1,1))-AVERAGE(OFFSET($H$3,0,0,'Données projet'!$E$10+1,1))</f>
        <v>221.57008282490327</v>
      </c>
      <c r="AO192" s="62">
        <f t="shared" si="144"/>
        <v>320.19912501885199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5.6520213967742754E-2</v>
      </c>
      <c r="AW192" s="23">
        <f>EXP(-LN(2)/2)*AW191+(1-EXP(-LN(2)/2))/(LN(2)/2)*AQ192*AT192*VLOOKUP('Données projet'!$B$10,Paramètres!$A$1:$I$89,3,0)*0.475*44/12</f>
        <v>4.0143290505943481E-24</v>
      </c>
      <c r="AX192" s="23">
        <f t="shared" si="166"/>
        <v>5.6520213967742754E-2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368.99999999999966</v>
      </c>
      <c r="BE192" s="14">
        <f>BD192*VLOOKUP('Données projet'!$B$11,Paramètres!$A$1:$I$89,3,0)*VLOOKUP('Données projet'!$B$11,Paramètres!$A$1:$I$89,5,0)</f>
        <v>270.55079999999975</v>
      </c>
      <c r="BF192" s="14">
        <f t="shared" si="167"/>
        <v>64.966149081071777</v>
      </c>
      <c r="BG192" s="22">
        <f t="shared" si="168"/>
        <v>584.35868631619962</v>
      </c>
      <c r="BH192" s="62">
        <f t="shared" si="116"/>
        <v>874.33632496320342</v>
      </c>
      <c r="BI192" s="62">
        <f ca="1">AVERAGE(OFFSET($BH$3,0,0,'Données projet'!$E$11+1,1))-AVERAGE(OFFSET($H$3,0,0,'Données projet'!$E$11+1,1))</f>
        <v>400.4480038202409</v>
      </c>
      <c r="BJ192" s="62">
        <f t="shared" si="146"/>
        <v>384.86917865380076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0.34279631518499887</v>
      </c>
      <c r="BR192" s="23">
        <f>EXP(-LN(2)/2)*BR191+(1-EXP(-LN(2)/2))/(LN(2)/2)*BL192*BO192*VLOOKUP('Données projet'!$B$11,Paramètres!$A$1:$I$89,3,0)*0.475*44/12</f>
        <v>1.3225136872611557E-23</v>
      </c>
      <c r="BS192" s="24">
        <f t="shared" si="169"/>
        <v>0.34279631518499887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419.0448820879102</v>
      </c>
      <c r="T193" s="62">
        <f t="shared" si="142"/>
        <v>553.33038335026379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7.7902547239438333E-2</v>
      </c>
      <c r="AB193" s="23">
        <f>EXP(-LN(2)/2)*AB192+(1-EXP(-LN(2)/2))/(LN(2)/2)*V193*Y193*VLOOKUP('Données projet'!$B$9,Paramètres!$A$1:$I$89,3,0)*0.475*44/12</f>
        <v>3.7887778376336985E-23</v>
      </c>
      <c r="AC193" s="24">
        <f t="shared" si="163"/>
        <v>7.7902547239438333E-2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3.1036506698001178E-14</v>
      </c>
      <c r="AK193" s="14">
        <f t="shared" si="164"/>
        <v>5.3428243983771088E-13</v>
      </c>
      <c r="AL193" s="22">
        <f t="shared" si="165"/>
        <v>9.8459716521636505E-13</v>
      </c>
      <c r="AM193" s="62">
        <f t="shared" si="113"/>
        <v>290.03585244760325</v>
      </c>
      <c r="AN193" s="62">
        <f ca="1">AVERAGE(OFFSET($AM$3,0,0,'Données projet'!$E$10+1,1))-AVERAGE(OFFSET($H$3,0,0,'Données projet'!$E$10+1,1))</f>
        <v>221.57008282490327</v>
      </c>
      <c r="AO193" s="62">
        <f t="shared" si="144"/>
        <v>320.19912501885199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5.4974665744525954E-2</v>
      </c>
      <c r="AW193" s="23">
        <f>EXP(-LN(2)/2)*AW192+(1-EXP(-LN(2)/2))/(LN(2)/2)*AQ193*AT193*VLOOKUP('Données projet'!$B$10,Paramètres!$A$1:$I$89,3,0)*0.475*44/12</f>
        <v>2.8385592935894188E-24</v>
      </c>
      <c r="AX193" s="23">
        <f t="shared" si="166"/>
        <v>5.4974665744525954E-2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368.99999999999966</v>
      </c>
      <c r="BE193" s="14">
        <f>BD193*VLOOKUP('Données projet'!$B$11,Paramètres!$A$1:$I$89,3,0)*VLOOKUP('Données projet'!$B$11,Paramètres!$A$1:$I$89,5,0)</f>
        <v>270.55079999999975</v>
      </c>
      <c r="BF193" s="14">
        <f t="shared" si="167"/>
        <v>64.966149081071777</v>
      </c>
      <c r="BG193" s="22">
        <f t="shared" si="168"/>
        <v>584.35868631619962</v>
      </c>
      <c r="BH193" s="62">
        <f t="shared" si="116"/>
        <v>874.39453876380185</v>
      </c>
      <c r="BI193" s="62">
        <f ca="1">AVERAGE(OFFSET($BH$3,0,0,'Données projet'!$E$11+1,1))-AVERAGE(OFFSET($H$3,0,0,'Données projet'!$E$11+1,1))</f>
        <v>400.4480038202409</v>
      </c>
      <c r="BJ193" s="62">
        <f t="shared" si="146"/>
        <v>384.86917865380076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0.33342253191939031</v>
      </c>
      <c r="BR193" s="23">
        <f>EXP(-LN(2)/2)*BR192+(1-EXP(-LN(2)/2))/(LN(2)/2)*BL193*BO193*VLOOKUP('Données projet'!$B$11,Paramètres!$A$1:$I$89,3,0)*0.475*44/12</f>
        <v>9.3515839647438831E-24</v>
      </c>
      <c r="BS193" s="24">
        <f t="shared" si="169"/>
        <v>0.33342253191939031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419.0448820879102</v>
      </c>
      <c r="T194" s="62">
        <f t="shared" si="142"/>
        <v>553.33038335026379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7.5772297988458984E-2</v>
      </c>
      <c r="AB194" s="23">
        <f>EXP(-LN(2)/2)*AB193+(1-EXP(-LN(2)/2))/(LN(2)/2)*V194*Y194*VLOOKUP('Données projet'!$B$9,Paramètres!$A$1:$I$89,3,0)*0.475*44/12</f>
        <v>2.6790705014000923E-23</v>
      </c>
      <c r="AC194" s="24">
        <f t="shared" si="163"/>
        <v>7.5772297988458984E-2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3.1036506698001178E-14</v>
      </c>
      <c r="AK194" s="14">
        <f t="shared" si="164"/>
        <v>5.3428243983771088E-13</v>
      </c>
      <c r="AL194" s="22">
        <f t="shared" si="165"/>
        <v>9.8459716521636505E-13</v>
      </c>
      <c r="AM194" s="62">
        <f t="shared" si="113"/>
        <v>290.09305636890781</v>
      </c>
      <c r="AN194" s="62">
        <f ca="1">AVERAGE(OFFSET($AM$3,0,0,'Données projet'!$E$10+1,1))-AVERAGE(OFFSET($H$3,0,0,'Données projet'!$E$10+1,1))</f>
        <v>221.57008282490327</v>
      </c>
      <c r="AO194" s="62">
        <f t="shared" si="144"/>
        <v>320.19912501885199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5.347138061874987E-2</v>
      </c>
      <c r="AW194" s="23">
        <f>EXP(-LN(2)/2)*AW193+(1-EXP(-LN(2)/2))/(LN(2)/2)*AQ194*AT194*VLOOKUP('Données projet'!$B$10,Paramètres!$A$1:$I$89,3,0)*0.475*44/12</f>
        <v>2.007164525297174E-24</v>
      </c>
      <c r="AX194" s="23">
        <f t="shared" si="166"/>
        <v>5.347138061874987E-2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368.99999999999966</v>
      </c>
      <c r="BE194" s="14">
        <f>BD194*VLOOKUP('Données projet'!$B$11,Paramètres!$A$1:$I$89,3,0)*VLOOKUP('Données projet'!$B$11,Paramètres!$A$1:$I$89,5,0)</f>
        <v>270.55079999999975</v>
      </c>
      <c r="BF194" s="14">
        <f t="shared" si="167"/>
        <v>64.966149081071777</v>
      </c>
      <c r="BG194" s="22">
        <f t="shared" si="168"/>
        <v>584.35868631619962</v>
      </c>
      <c r="BH194" s="62">
        <f t="shared" si="116"/>
        <v>874.45174268510641</v>
      </c>
      <c r="BI194" s="62">
        <f ca="1">AVERAGE(OFFSET($BH$3,0,0,'Données projet'!$E$11+1,1))-AVERAGE(OFFSET($H$3,0,0,'Données projet'!$E$11+1,1))</f>
        <v>400.4480038202409</v>
      </c>
      <c r="BJ194" s="62">
        <f t="shared" si="146"/>
        <v>384.86917865380076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0.3243050752501257</v>
      </c>
      <c r="BR194" s="23">
        <f>EXP(-LN(2)/2)*BR193+(1-EXP(-LN(2)/2))/(LN(2)/2)*BL194*BO194*VLOOKUP('Données projet'!$B$11,Paramètres!$A$1:$I$89,3,0)*0.475*44/12</f>
        <v>6.61256843630578E-24</v>
      </c>
      <c r="BS194" s="24">
        <f t="shared" si="169"/>
        <v>0.3243050752501257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419.0448820879102</v>
      </c>
      <c r="T195" s="62">
        <f t="shared" si="142"/>
        <v>553.33038335026379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7.3700300515272599E-2</v>
      </c>
      <c r="AB195" s="23">
        <f>EXP(-LN(2)/2)*AB194+(1-EXP(-LN(2)/2))/(LN(2)/2)*V195*Y195*VLOOKUP('Données projet'!$B$9,Paramètres!$A$1:$I$89,3,0)*0.475*44/12</f>
        <v>1.8943889188168492E-23</v>
      </c>
      <c r="AC195" s="24">
        <f t="shared" si="163"/>
        <v>7.3700300515272599E-2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3.1036506698001178E-14</v>
      </c>
      <c r="AK195" s="14">
        <f t="shared" si="164"/>
        <v>5.3428243983771088E-13</v>
      </c>
      <c r="AL195" s="22">
        <f t="shared" si="165"/>
        <v>9.8459716521636505E-13</v>
      </c>
      <c r="AM195" s="62">
        <f t="shared" si="113"/>
        <v>290.14926793006663</v>
      </c>
      <c r="AN195" s="62">
        <f ca="1">AVERAGE(OFFSET($AM$3,0,0,'Données projet'!$E$10+1,1))-AVERAGE(OFFSET($H$3,0,0,'Données projet'!$E$10+1,1))</f>
        <v>221.57008282490327</v>
      </c>
      <c r="AO195" s="62">
        <f t="shared" si="144"/>
        <v>320.19912501885199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5.2009202903792455E-2</v>
      </c>
      <c r="AW195" s="23">
        <f>EXP(-LN(2)/2)*AW194+(1-EXP(-LN(2)/2))/(LN(2)/2)*AQ195*AT195*VLOOKUP('Données projet'!$B$10,Paramètres!$A$1:$I$89,3,0)*0.475*44/12</f>
        <v>1.4192796467947094E-24</v>
      </c>
      <c r="AX195" s="23">
        <f t="shared" si="166"/>
        <v>5.2009202903792455E-2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368.99999999999966</v>
      </c>
      <c r="BE195" s="14">
        <f>BD195*VLOOKUP('Données projet'!$B$11,Paramètres!$A$1:$I$89,3,0)*VLOOKUP('Données projet'!$B$11,Paramètres!$A$1:$I$89,5,0)</f>
        <v>270.55079999999975</v>
      </c>
      <c r="BF195" s="14">
        <f t="shared" si="167"/>
        <v>64.966149081071777</v>
      </c>
      <c r="BG195" s="22">
        <f t="shared" si="168"/>
        <v>584.35868631619962</v>
      </c>
      <c r="BH195" s="62">
        <f t="shared" si="116"/>
        <v>874.50795424626529</v>
      </c>
      <c r="BI195" s="62">
        <f ca="1">AVERAGE(OFFSET($BH$3,0,0,'Données projet'!$E$11+1,1))-AVERAGE(OFFSET($H$3,0,0,'Données projet'!$E$11+1,1))</f>
        <v>400.4480038202409</v>
      </c>
      <c r="BJ195" s="62">
        <f t="shared" si="146"/>
        <v>384.86917865380076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0.3154369359129483</v>
      </c>
      <c r="BR195" s="23">
        <f>EXP(-LN(2)/2)*BR194+(1-EXP(-LN(2)/2))/(LN(2)/2)*BL195*BO195*VLOOKUP('Données projet'!$B$11,Paramètres!$A$1:$I$89,3,0)*0.475*44/12</f>
        <v>4.6757919823719423E-24</v>
      </c>
      <c r="BS195" s="24">
        <f t="shared" si="169"/>
        <v>0.3154369359129483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419.0448820879102</v>
      </c>
      <c r="T196" s="62">
        <f t="shared" si="142"/>
        <v>553.33038335026379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7.1684961921952103E-2</v>
      </c>
      <c r="AB196" s="23">
        <f>EXP(-LN(2)/2)*AB195+(1-EXP(-LN(2)/2))/(LN(2)/2)*V196*Y196*VLOOKUP('Données projet'!$B$9,Paramètres!$A$1:$I$89,3,0)*0.475*44/12</f>
        <v>1.3395352507000462E-23</v>
      </c>
      <c r="AC196" s="24">
        <f t="shared" si="163"/>
        <v>7.1684961921952103E-2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3.1036506698001178E-14</v>
      </c>
      <c r="AK196" s="14">
        <f t="shared" si="164"/>
        <v>5.3428243983771088E-13</v>
      </c>
      <c r="AL196" s="22">
        <f t="shared" si="165"/>
        <v>9.8459716521636505E-13</v>
      </c>
      <c r="AM196" s="62">
        <f t="shared" ref="AM196:AM203" si="193">AL196+(AD196+AE196)*44/12</f>
        <v>290.20450434630948</v>
      </c>
      <c r="AN196" s="62">
        <f ca="1">AVERAGE(OFFSET($AM$3,0,0,'Données projet'!$E$10+1,1))-AVERAGE(OFFSET($H$3,0,0,'Données projet'!$E$10+1,1))</f>
        <v>221.57008282490327</v>
      </c>
      <c r="AO196" s="62">
        <f t="shared" si="144"/>
        <v>320.19912501885199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5.0587008515343139E-2</v>
      </c>
      <c r="AW196" s="23">
        <f>EXP(-LN(2)/2)*AW195+(1-EXP(-LN(2)/2))/(LN(2)/2)*AQ196*AT196*VLOOKUP('Données projet'!$B$10,Paramètres!$A$1:$I$89,3,0)*0.475*44/12</f>
        <v>1.003582262648587E-24</v>
      </c>
      <c r="AX196" s="23">
        <f t="shared" si="166"/>
        <v>5.0587008515343139E-2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368.99999999999966</v>
      </c>
      <c r="BE196" s="14">
        <f>BD196*VLOOKUP('Données projet'!$B$11,Paramètres!$A$1:$I$89,3,0)*VLOOKUP('Données projet'!$B$11,Paramètres!$A$1:$I$89,5,0)</f>
        <v>270.55079999999975</v>
      </c>
      <c r="BF196" s="14">
        <f t="shared" si="167"/>
        <v>64.966149081071777</v>
      </c>
      <c r="BG196" s="22">
        <f t="shared" si="168"/>
        <v>584.35868631619962</v>
      </c>
      <c r="BH196" s="62">
        <f t="shared" ref="BH196:BH203" si="194">BG196+(AY196+AZ196)*44/12</f>
        <v>874.56319066250808</v>
      </c>
      <c r="BI196" s="62">
        <f ca="1">AVERAGE(OFFSET($BH$3,0,0,'Données projet'!$E$11+1,1))-AVERAGE(OFFSET($H$3,0,0,'Données projet'!$E$11+1,1))</f>
        <v>400.4480038202409</v>
      </c>
      <c r="BJ196" s="62">
        <f t="shared" si="146"/>
        <v>384.86917865380076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0.3068112963123012</v>
      </c>
      <c r="BR196" s="23">
        <f>EXP(-LN(2)/2)*BR195+(1-EXP(-LN(2)/2))/(LN(2)/2)*BL196*BO196*VLOOKUP('Données projet'!$B$11,Paramètres!$A$1:$I$89,3,0)*0.475*44/12</f>
        <v>3.3062842181528904E-24</v>
      </c>
      <c r="BS196" s="24">
        <f t="shared" si="169"/>
        <v>0.3068112963123012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419.0448820879102</v>
      </c>
      <c r="T197" s="62">
        <f t="shared" ref="T197:T203" si="204">$T$3</f>
        <v>553.33038335026379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6.9724732868448019E-2</v>
      </c>
      <c r="AB197" s="23">
        <f>EXP(-LN(2)/2)*AB196+(1-EXP(-LN(2)/2))/(LN(2)/2)*V197*Y197*VLOOKUP('Données projet'!$B$9,Paramètres!$A$1:$I$89,3,0)*0.475*44/12</f>
        <v>9.4719445940842462E-24</v>
      </c>
      <c r="AC197" s="24">
        <f t="shared" si="163"/>
        <v>6.9724732868448019E-2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3.1036506698001178E-14</v>
      </c>
      <c r="AK197" s="14">
        <f t="shared" si="164"/>
        <v>5.3428243983771088E-13</v>
      </c>
      <c r="AL197" s="22">
        <f t="shared" si="165"/>
        <v>9.8459716521636505E-13</v>
      </c>
      <c r="AM197" s="62">
        <f t="shared" si="193"/>
        <v>290.2587825342207</v>
      </c>
      <c r="AN197" s="62">
        <f ca="1">AVERAGE(OFFSET($AM$3,0,0,'Données projet'!$E$10+1,1))-AVERAGE(OFFSET($H$3,0,0,'Données projet'!$E$10+1,1))</f>
        <v>221.57008282490327</v>
      </c>
      <c r="AO197" s="62">
        <f t="shared" ref="AO197:AO203" si="205">$AO$3</f>
        <v>320.19912501885199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4.9203704107235922E-2</v>
      </c>
      <c r="AW197" s="23">
        <f>EXP(-LN(2)/2)*AW196+(1-EXP(-LN(2)/2))/(LN(2)/2)*AQ197*AT197*VLOOKUP('Données projet'!$B$10,Paramètres!$A$1:$I$89,3,0)*0.475*44/12</f>
        <v>7.096398233973547E-25</v>
      </c>
      <c r="AX197" s="23">
        <f t="shared" si="166"/>
        <v>4.9203704107235922E-2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368.99999999999966</v>
      </c>
      <c r="BE197" s="14">
        <f>BD197*VLOOKUP('Données projet'!$B$11,Paramètres!$A$1:$I$89,3,0)*VLOOKUP('Données projet'!$B$11,Paramètres!$A$1:$I$89,5,0)</f>
        <v>270.55079999999975</v>
      </c>
      <c r="BF197" s="14">
        <f t="shared" si="167"/>
        <v>64.966149081071777</v>
      </c>
      <c r="BG197" s="22">
        <f t="shared" si="168"/>
        <v>584.35868631619962</v>
      </c>
      <c r="BH197" s="62">
        <f t="shared" si="194"/>
        <v>874.6174688504193</v>
      </c>
      <c r="BI197" s="62">
        <f ca="1">AVERAGE(OFFSET($BH$3,0,0,'Données projet'!$E$11+1,1))-AVERAGE(OFFSET($H$3,0,0,'Données projet'!$E$11+1,1))</f>
        <v>400.4480038202409</v>
      </c>
      <c r="BJ197" s="62">
        <f t="shared" ref="BJ197:BJ203" si="206">$BJ$3</f>
        <v>384.86917865380076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0.29842152528013649</v>
      </c>
      <c r="BR197" s="23">
        <f>EXP(-LN(2)/2)*BR196+(1-EXP(-LN(2)/2))/(LN(2)/2)*BL197*BO197*VLOOKUP('Données projet'!$B$11,Paramètres!$A$1:$I$89,3,0)*0.475*44/12</f>
        <v>2.3378959911859715E-24</v>
      </c>
      <c r="BS197" s="24">
        <f t="shared" si="169"/>
        <v>0.29842152528013649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419.0448820879102</v>
      </c>
      <c r="T198" s="62">
        <f t="shared" si="204"/>
        <v>553.33038335026379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6.7818106381495963E-2</v>
      </c>
      <c r="AB198" s="23">
        <f>EXP(-LN(2)/2)*AB197+(1-EXP(-LN(2)/2))/(LN(2)/2)*V198*Y198*VLOOKUP('Données projet'!$B$9,Paramètres!$A$1:$I$89,3,0)*0.475*44/12</f>
        <v>6.6976762535002308E-24</v>
      </c>
      <c r="AC198" s="24">
        <f t="shared" si="163"/>
        <v>6.7818106381495963E-2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3.1036506698001178E-14</v>
      </c>
      <c r="AK198" s="14">
        <f t="shared" si="164"/>
        <v>5.3428243983771088E-13</v>
      </c>
      <c r="AL198" s="22">
        <f t="shared" si="165"/>
        <v>9.8459716521636505E-13</v>
      </c>
      <c r="AM198" s="62">
        <f t="shared" si="193"/>
        <v>290.31211911691946</v>
      </c>
      <c r="AN198" s="62">
        <f ca="1">AVERAGE(OFFSET($AM$3,0,0,'Données projet'!$E$10+1,1))-AVERAGE(OFFSET($H$3,0,0,'Données projet'!$E$10+1,1))</f>
        <v>221.57008282490327</v>
      </c>
      <c r="AO198" s="62">
        <f t="shared" si="205"/>
        <v>320.19912501885199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4.7858226230913216E-2</v>
      </c>
      <c r="AW198" s="23">
        <f>EXP(-LN(2)/2)*AW197+(1-EXP(-LN(2)/2))/(LN(2)/2)*AQ198*AT198*VLOOKUP('Données projet'!$B$10,Paramètres!$A$1:$I$89,3,0)*0.475*44/12</f>
        <v>5.0179113132429351E-25</v>
      </c>
      <c r="AX198" s="23">
        <f t="shared" si="166"/>
        <v>4.7858226230913216E-2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368.99999999999966</v>
      </c>
      <c r="BE198" s="14">
        <f>BD198*VLOOKUP('Données projet'!$B$11,Paramètres!$A$1:$I$89,3,0)*VLOOKUP('Données projet'!$B$11,Paramètres!$A$1:$I$89,5,0)</f>
        <v>270.55079999999975</v>
      </c>
      <c r="BF198" s="14">
        <f t="shared" si="167"/>
        <v>64.966149081071777</v>
      </c>
      <c r="BG198" s="22">
        <f t="shared" si="168"/>
        <v>584.35868631619962</v>
      </c>
      <c r="BH198" s="62">
        <f t="shared" si="194"/>
        <v>874.67080543311818</v>
      </c>
      <c r="BI198" s="62">
        <f ca="1">AVERAGE(OFFSET($BH$3,0,0,'Données projet'!$E$11+1,1))-AVERAGE(OFFSET($H$3,0,0,'Données projet'!$E$11+1,1))</f>
        <v>400.4480038202409</v>
      </c>
      <c r="BJ198" s="62">
        <f t="shared" si="206"/>
        <v>384.86917865380076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0.29026117297804521</v>
      </c>
      <c r="BR198" s="23">
        <f>EXP(-LN(2)/2)*BR197+(1-EXP(-LN(2)/2))/(LN(2)/2)*BL198*BO198*VLOOKUP('Données projet'!$B$11,Paramètres!$A$1:$I$89,3,0)*0.475*44/12</f>
        <v>1.6531421090764456E-24</v>
      </c>
      <c r="BS198" s="24">
        <f t="shared" si="169"/>
        <v>0.29026117297804521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419.0448820879102</v>
      </c>
      <c r="T199" s="62">
        <f t="shared" si="204"/>
        <v>553.33038335026379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6.596361669609474E-2</v>
      </c>
      <c r="AB199" s="23">
        <f>EXP(-LN(2)/2)*AB198+(1-EXP(-LN(2)/2))/(LN(2)/2)*V199*Y199*VLOOKUP('Données projet'!$B$9,Paramètres!$A$1:$I$89,3,0)*0.475*44/12</f>
        <v>4.7359722970421231E-24</v>
      </c>
      <c r="AC199" s="24">
        <f t="shared" si="163"/>
        <v>6.596361669609474E-2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3.1036506698001178E-14</v>
      </c>
      <c r="AK199" s="14">
        <f t="shared" si="164"/>
        <v>5.3428243983771088E-13</v>
      </c>
      <c r="AL199" s="22">
        <f t="shared" si="165"/>
        <v>9.8459716521636505E-13</v>
      </c>
      <c r="AM199" s="62">
        <f t="shared" si="193"/>
        <v>290.36453042915116</v>
      </c>
      <c r="AN199" s="62">
        <f ca="1">AVERAGE(OFFSET($AM$3,0,0,'Données projet'!$E$10+1,1))-AVERAGE(OFFSET($H$3,0,0,'Données projet'!$E$10+1,1))</f>
        <v>221.57008282490327</v>
      </c>
      <c r="AO199" s="62">
        <f t="shared" si="205"/>
        <v>320.19912501885199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4.6549540517874161E-2</v>
      </c>
      <c r="AW199" s="23">
        <f>EXP(-LN(2)/2)*AW198+(1-EXP(-LN(2)/2))/(LN(2)/2)*AQ199*AT199*VLOOKUP('Données projet'!$B$10,Paramètres!$A$1:$I$89,3,0)*0.475*44/12</f>
        <v>3.5481991169867735E-25</v>
      </c>
      <c r="AX199" s="23">
        <f t="shared" si="166"/>
        <v>4.6549540517874161E-2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368.99999999999966</v>
      </c>
      <c r="BE199" s="14">
        <f>BD199*VLOOKUP('Données projet'!$B$11,Paramètres!$A$1:$I$89,3,0)*VLOOKUP('Données projet'!$B$11,Paramètres!$A$1:$I$89,5,0)</f>
        <v>270.55079999999975</v>
      </c>
      <c r="BF199" s="14">
        <f t="shared" si="167"/>
        <v>64.966149081071777</v>
      </c>
      <c r="BG199" s="22">
        <f t="shared" si="168"/>
        <v>584.35868631619962</v>
      </c>
      <c r="BH199" s="62">
        <f t="shared" si="194"/>
        <v>874.72321674534987</v>
      </c>
      <c r="BI199" s="62">
        <f ca="1">AVERAGE(OFFSET($BH$3,0,0,'Données projet'!$E$11+1,1))-AVERAGE(OFFSET($H$3,0,0,'Données projet'!$E$11+1,1))</f>
        <v>400.4480038202409</v>
      </c>
      <c r="BJ199" s="62">
        <f t="shared" si="206"/>
        <v>384.86917865380076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0.28232396593878889</v>
      </c>
      <c r="BR199" s="23">
        <f>EXP(-LN(2)/2)*BR198+(1-EXP(-LN(2)/2))/(LN(2)/2)*BL199*BO199*VLOOKUP('Données projet'!$B$11,Paramètres!$A$1:$I$89,3,0)*0.475*44/12</f>
        <v>1.1689479955929859E-24</v>
      </c>
      <c r="BS199" s="24">
        <f t="shared" si="169"/>
        <v>0.28232396593878889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419.0448820879102</v>
      </c>
      <c r="T200" s="62">
        <f t="shared" si="204"/>
        <v>553.33038335026379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6.4159838128664187E-2</v>
      </c>
      <c r="AB200" s="23">
        <f>EXP(-LN(2)/2)*AB199+(1-EXP(-LN(2)/2))/(LN(2)/2)*V200*Y200*VLOOKUP('Données projet'!$B$9,Paramètres!$A$1:$I$89,3,0)*0.475*44/12</f>
        <v>3.3488381267501154E-24</v>
      </c>
      <c r="AC200" s="24">
        <f t="shared" si="163"/>
        <v>6.4159838128664187E-2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3.1036506698001178E-14</v>
      </c>
      <c r="AK200" s="14">
        <f t="shared" si="164"/>
        <v>5.3428243983771088E-13</v>
      </c>
      <c r="AL200" s="22">
        <f t="shared" si="165"/>
        <v>9.8459716521636505E-13</v>
      </c>
      <c r="AM200" s="62">
        <f t="shared" si="193"/>
        <v>290.41603252228975</v>
      </c>
      <c r="AN200" s="62">
        <f ca="1">AVERAGE(OFFSET($AM$3,0,0,'Données projet'!$E$10+1,1))-AVERAGE(OFFSET($H$3,0,0,'Données projet'!$E$10+1,1))</f>
        <v>221.57008282490327</v>
      </c>
      <c r="AO200" s="62">
        <f t="shared" si="205"/>
        <v>320.19912501885199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4.5276640884478948E-2</v>
      </c>
      <c r="AW200" s="23">
        <f>EXP(-LN(2)/2)*AW199+(1-EXP(-LN(2)/2))/(LN(2)/2)*AQ200*AT200*VLOOKUP('Données projet'!$B$10,Paramètres!$A$1:$I$89,3,0)*0.475*44/12</f>
        <v>2.5089556566214676E-25</v>
      </c>
      <c r="AX200" s="23">
        <f t="shared" si="166"/>
        <v>4.5276640884478948E-2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368.99999999999966</v>
      </c>
      <c r="BE200" s="14">
        <f>BD200*VLOOKUP('Données projet'!$B$11,Paramètres!$A$1:$I$89,3,0)*VLOOKUP('Données projet'!$B$11,Paramètres!$A$1:$I$89,5,0)</f>
        <v>270.55079999999975</v>
      </c>
      <c r="BF200" s="14">
        <f t="shared" si="167"/>
        <v>64.966149081071777</v>
      </c>
      <c r="BG200" s="22">
        <f t="shared" si="168"/>
        <v>584.35868631619962</v>
      </c>
      <c r="BH200" s="62">
        <f t="shared" si="194"/>
        <v>874.77471883848841</v>
      </c>
      <c r="BI200" s="62">
        <f ca="1">AVERAGE(OFFSET($BH$3,0,0,'Données projet'!$E$11+1,1))-AVERAGE(OFFSET($H$3,0,0,'Données projet'!$E$11+1,1))</f>
        <v>400.4480038202409</v>
      </c>
      <c r="BJ200" s="62">
        <f t="shared" si="206"/>
        <v>384.86917865380076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0.27460380224342062</v>
      </c>
      <c r="BR200" s="23">
        <f>EXP(-LN(2)/2)*BR199+(1-EXP(-LN(2)/2))/(LN(2)/2)*BL200*BO200*VLOOKUP('Données projet'!$B$11,Paramètres!$A$1:$I$89,3,0)*0.475*44/12</f>
        <v>8.2657105453822287E-25</v>
      </c>
      <c r="BS200" s="24">
        <f t="shared" si="169"/>
        <v>0.27460380224342062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419.0448820879102</v>
      </c>
      <c r="T201" s="62">
        <f t="shared" si="204"/>
        <v>553.33038335026379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6.2405383981016617E-2</v>
      </c>
      <c r="AB201" s="23">
        <f>EXP(-LN(2)/2)*AB200+(1-EXP(-LN(2)/2))/(LN(2)/2)*V201*Y201*VLOOKUP('Données projet'!$B$9,Paramètres!$A$1:$I$89,3,0)*0.475*44/12</f>
        <v>2.3679861485210615E-24</v>
      </c>
      <c r="AC201" s="24">
        <f t="shared" si="163"/>
        <v>6.2405383981016617E-2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3.1036506698001178E-14</v>
      </c>
      <c r="AK201" s="14">
        <f t="shared" si="164"/>
        <v>5.3428243983771088E-13</v>
      </c>
      <c r="AL201" s="22">
        <f t="shared" si="165"/>
        <v>9.8459716521636505E-13</v>
      </c>
      <c r="AM201" s="62">
        <f t="shared" si="193"/>
        <v>290.46664116925388</v>
      </c>
      <c r="AN201" s="62">
        <f ca="1">AVERAGE(OFFSET($AM$3,0,0,'Données projet'!$E$10+1,1))-AVERAGE(OFFSET($H$3,0,0,'Données projet'!$E$10+1,1))</f>
        <v>221.57008282490327</v>
      </c>
      <c r="AO201" s="62">
        <f t="shared" si="205"/>
        <v>320.19912501885199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4.403854875849781E-2</v>
      </c>
      <c r="AW201" s="23">
        <f>EXP(-LN(2)/2)*AW200+(1-EXP(-LN(2)/2))/(LN(2)/2)*AQ201*AT201*VLOOKUP('Données projet'!$B$10,Paramètres!$A$1:$I$89,3,0)*0.475*44/12</f>
        <v>1.7740995584933868E-25</v>
      </c>
      <c r="AX201" s="23">
        <f t="shared" si="166"/>
        <v>4.403854875849781E-2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368.99999999999966</v>
      </c>
      <c r="BE201" s="14">
        <f>BD201*VLOOKUP('Données projet'!$B$11,Paramètres!$A$1:$I$89,3,0)*VLOOKUP('Données projet'!$B$11,Paramètres!$A$1:$I$89,5,0)</f>
        <v>270.55079999999975</v>
      </c>
      <c r="BF201" s="14">
        <f t="shared" si="167"/>
        <v>64.966149081071777</v>
      </c>
      <c r="BG201" s="22">
        <f t="shared" si="168"/>
        <v>584.35868631619962</v>
      </c>
      <c r="BH201" s="62">
        <f t="shared" si="194"/>
        <v>874.82532748545259</v>
      </c>
      <c r="BI201" s="62">
        <f ca="1">AVERAGE(OFFSET($BH$3,0,0,'Données projet'!$E$11+1,1))-AVERAGE(OFFSET($H$3,0,0,'Données projet'!$E$11+1,1))</f>
        <v>400.4480038202409</v>
      </c>
      <c r="BJ201" s="62">
        <f t="shared" si="206"/>
        <v>384.86917865380076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0.26709474683028794</v>
      </c>
      <c r="BR201" s="23">
        <f>EXP(-LN(2)/2)*BR200+(1-EXP(-LN(2)/2))/(LN(2)/2)*BL201*BO201*VLOOKUP('Données projet'!$B$11,Paramètres!$A$1:$I$89,3,0)*0.475*44/12</f>
        <v>5.8447399779649306E-25</v>
      </c>
      <c r="BS201" s="24">
        <f t="shared" si="169"/>
        <v>0.26709474683028794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419.0448820879102</v>
      </c>
      <c r="T202" s="62">
        <f t="shared" si="204"/>
        <v>553.33038335026379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6.0698905474299202E-2</v>
      </c>
      <c r="AB202" s="23">
        <f>EXP(-LN(2)/2)*AB201+(1-EXP(-LN(2)/2))/(LN(2)/2)*V202*Y202*VLOOKUP('Données projet'!$B$9,Paramètres!$A$1:$I$89,3,0)*0.475*44/12</f>
        <v>1.6744190633750577E-24</v>
      </c>
      <c r="AC202" s="24">
        <f t="shared" si="163"/>
        <v>6.0698905474299202E-2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3.1036506698001178E-14</v>
      </c>
      <c r="AK202" s="14">
        <f t="shared" si="164"/>
        <v>5.3428243983771088E-13</v>
      </c>
      <c r="AL202" s="22">
        <f t="shared" si="165"/>
        <v>9.8459716521636505E-13</v>
      </c>
      <c r="AM202" s="62">
        <f t="shared" si="193"/>
        <v>290.51637186933709</v>
      </c>
      <c r="AN202" s="62">
        <f ca="1">AVERAGE(OFFSET($AM$3,0,0,'Données projet'!$E$10+1,1))-AVERAGE(OFFSET($H$3,0,0,'Données projet'!$E$10+1,1))</f>
        <v>221.57008282490327</v>
      </c>
      <c r="AO202" s="62">
        <f t="shared" si="205"/>
        <v>320.19912501885199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4.2834312326810058E-2</v>
      </c>
      <c r="AW202" s="23">
        <f>EXP(-LN(2)/2)*AW201+(1-EXP(-LN(2)/2))/(LN(2)/2)*AQ202*AT202*VLOOKUP('Données projet'!$B$10,Paramètres!$A$1:$I$89,3,0)*0.475*44/12</f>
        <v>1.2544778283107338E-25</v>
      </c>
      <c r="AX202" s="23">
        <f t="shared" si="166"/>
        <v>4.2834312326810058E-2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368.99999999999966</v>
      </c>
      <c r="BE202" s="14">
        <f>BD202*VLOOKUP('Données projet'!$B$11,Paramètres!$A$1:$I$89,3,0)*VLOOKUP('Données projet'!$B$11,Paramètres!$A$1:$I$89,5,0)</f>
        <v>270.55079999999975</v>
      </c>
      <c r="BF202" s="14">
        <f t="shared" si="167"/>
        <v>64.966149081071777</v>
      </c>
      <c r="BG202" s="22">
        <f t="shared" si="168"/>
        <v>584.35868631619962</v>
      </c>
      <c r="BH202" s="62">
        <f t="shared" si="194"/>
        <v>874.87505818553575</v>
      </c>
      <c r="BI202" s="62">
        <f ca="1">AVERAGE(OFFSET($BH$3,0,0,'Données projet'!$E$11+1,1))-AVERAGE(OFFSET($H$3,0,0,'Données projet'!$E$11+1,1))</f>
        <v>400.4480038202409</v>
      </c>
      <c r="BJ202" s="62">
        <f t="shared" si="206"/>
        <v>384.86917865380076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0.25979102693231143</v>
      </c>
      <c r="BR202" s="23">
        <f>EXP(-LN(2)/2)*BR201+(1-EXP(-LN(2)/2))/(LN(2)/2)*BL202*BO202*VLOOKUP('Données projet'!$B$11,Paramètres!$A$1:$I$89,3,0)*0.475*44/12</f>
        <v>4.1328552726911153E-25</v>
      </c>
      <c r="BS202" s="24">
        <f t="shared" si="169"/>
        <v>0.25979102693231143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419.0448820879102</v>
      </c>
      <c r="T203" s="62">
        <f t="shared" si="204"/>
        <v>553.33038335026379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5.903909071208778E-2</v>
      </c>
      <c r="AB203" s="23">
        <f>EXP(-LN(2)/2)*AB202+(1-EXP(-LN(2)/2))/(LN(2)/2)*V203*Y203*VLOOKUP('Données projet'!$B$9,Paramètres!$A$1:$I$89,3,0)*0.475*44/12</f>
        <v>1.1839930742605308E-24</v>
      </c>
      <c r="AC203" s="24">
        <f t="shared" si="163"/>
        <v>5.903909071208778E-2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3.1036506698001178E-14</v>
      </c>
      <c r="AK203" s="14">
        <f t="shared" si="164"/>
        <v>5.3428243983771088E-13</v>
      </c>
      <c r="AL203" s="22">
        <f t="shared" si="165"/>
        <v>9.8459716521636505E-13</v>
      </c>
      <c r="AM203" s="62">
        <f t="shared" si="193"/>
        <v>290.56523985295507</v>
      </c>
      <c r="AN203" s="62">
        <f ca="1">AVERAGE(OFFSET($AM$3,0,0,'Données projet'!$E$10+1,1))-AVERAGE(OFFSET($H$3,0,0,'Données projet'!$E$10+1,1))</f>
        <v>221.57008282490327</v>
      </c>
      <c r="AO203" s="62">
        <f t="shared" si="205"/>
        <v>320.19912501885199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4.1663005803674852E-2</v>
      </c>
      <c r="AW203" s="23">
        <f>EXP(-LN(2)/2)*AW202+(1-EXP(-LN(2)/2))/(LN(2)/2)*AQ203*AT203*VLOOKUP('Données projet'!$B$10,Paramètres!$A$1:$I$89,3,0)*0.475*44/12</f>
        <v>8.8704977924669338E-26</v>
      </c>
      <c r="AX203" s="23">
        <f t="shared" si="166"/>
        <v>4.1663005803674852E-2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368.99999999999966</v>
      </c>
      <c r="BE203" s="14">
        <f>BD203*VLOOKUP('Données projet'!$B$11,Paramètres!$A$1:$I$89,3,0)*VLOOKUP('Données projet'!$B$11,Paramètres!$A$1:$I$89,5,0)</f>
        <v>270.55079999999975</v>
      </c>
      <c r="BF203" s="14">
        <f t="shared" si="167"/>
        <v>64.966149081071777</v>
      </c>
      <c r="BG203" s="22">
        <f t="shared" si="168"/>
        <v>584.35868631619962</v>
      </c>
      <c r="BH203" s="62">
        <f t="shared" si="194"/>
        <v>874.92392616915367</v>
      </c>
      <c r="BI203" s="62">
        <f ca="1">AVERAGE(OFFSET($BH$3,0,0,'Données projet'!$E$11+1,1))-AVERAGE(OFFSET($H$3,0,0,'Données projet'!$E$11+1,1))</f>
        <v>400.4480038202409</v>
      </c>
      <c r="BJ203" s="62">
        <f t="shared" si="206"/>
        <v>384.86917865380076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0.252687027639031</v>
      </c>
      <c r="BR203" s="23">
        <f>EXP(-LN(2)/2)*BR202+(1-EXP(-LN(2)/2))/(LN(2)/2)*BL203*BO203*VLOOKUP('Données projet'!$B$11,Paramètres!$A$1:$I$89,3,0)*0.475*44/12</f>
        <v>2.9223699889824658E-25</v>
      </c>
      <c r="BS203" s="24">
        <f t="shared" si="169"/>
        <v>0.252687027639031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1.3539956307764309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1.4727333575346888</v>
      </c>
      <c r="BA205" s="88">
        <f>EXP(LN('Données projet'!B88)/'Données projet'!A88)</f>
        <v>1.3423796509621049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K19" sqref="K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0.42291000000000001</v>
      </c>
      <c r="C6" s="156">
        <f ca="1">IF(OR('Données projet'!B9="",'Données projet'!C9="",'Données projet'!C9=0%),0,Calculateur!S3)</f>
        <v>419.0448820879102</v>
      </c>
      <c r="D6" s="156">
        <f>IF(OR('Données projet'!B9="",'Données projet'!C9="",'Données projet'!C9=0%),0,Calculateur!T3)</f>
        <v>553.33038335026379</v>
      </c>
      <c r="E6" s="156">
        <f ca="1">MIN(C6,D6)</f>
        <v>419.0448820879102</v>
      </c>
      <c r="F6" s="156">
        <f ca="1">E6*B6</f>
        <v>177.2182710837981</v>
      </c>
      <c r="G6" s="156">
        <f ca="1">F6*(100%-'Données projet'!$C$24)*(100%-'Données projet'!$C$25)*(100%-'Données projet'!$C$26)*(100%-'Données projet'!$C$27)</f>
        <v>159.49644397541829</v>
      </c>
      <c r="H6" s="157">
        <f>IF(OR('Données projet'!B9="",'Données projet'!C9="",'Données projet'!C9=0%),0,AVERAGE(Calculateur!$AC$3:$AC$33)*B6)</f>
        <v>4.2114214243967867</v>
      </c>
      <c r="I6" s="158">
        <f>H6*(100%-'Données projet'!$C$24)*(100%-'Données projet'!$C$25)*(100%-'Données projet'!$C$26)*(100%-'Données projet'!$C$27)</f>
        <v>3.7902792819571083</v>
      </c>
      <c r="J6" s="159">
        <f>IF(OR('Données projet'!B9="",'Données projet'!C9="",'Données projet'!C9=0%),0,SUM(Calculateur!$V$3:$V$33)*VLOOKUP('Données projet'!$B$9,Paramètres!$A$1:$I$89,9,0)*B6)</f>
        <v>37.675952334000002</v>
      </c>
      <c r="K6" s="160">
        <f>J6*(100%-'Données projet'!$C$24)*(100%-'Données projet'!$C$25)*(100%-'Données projet'!$C$26)*(100%-'Données projet'!$C$27)</f>
        <v>33.9083571006</v>
      </c>
      <c r="L6" s="161">
        <f ca="1">G6+I6+K6</f>
        <v>197.1950803579754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Mélèze hybride</v>
      </c>
      <c r="B7" s="163">
        <f>'Données projet'!D10</f>
        <v>0.42291000000000001</v>
      </c>
      <c r="C7" s="156">
        <f ca="1">IF(OR('Données projet'!B10="",'Données projet'!C10="",'Données projet'!C10=0%),0,Calculateur!AN3)</f>
        <v>221.57008282490327</v>
      </c>
      <c r="D7" s="156">
        <f>IF(OR('Données projet'!B10="",'Données projet'!C10="",'Données projet'!C10=0%),0,Calculateur!AO3)</f>
        <v>320.19912501885199</v>
      </c>
      <c r="E7" s="156">
        <f t="shared" ref="E7:E15" ca="1" si="0">MIN(C7,D7)</f>
        <v>221.57008282490327</v>
      </c>
      <c r="F7" s="156">
        <f t="shared" ref="F7:F15" ca="1" si="1">E7*B7</f>
        <v>93.704203727479836</v>
      </c>
      <c r="G7" s="156">
        <f ca="1">F7*(100%-'Données projet'!$C$24)*(100%-'Données projet'!$C$25)*(100%-'Données projet'!$C$26)*(100%-'Données projet'!$C$27)</f>
        <v>84.33378335473185</v>
      </c>
      <c r="H7" s="164">
        <f>IF(OR('Données projet'!B10="",'Données projet'!C10="",'Données projet'!C10=0%),0,AVERAGE(Calculateur!$AX$3:$AX$33)*B7)</f>
        <v>3.1569170144800975</v>
      </c>
      <c r="I7" s="158">
        <f>H7*(100%-'Données projet'!$C$24)*(100%-'Données projet'!$C$25)*(100%-'Données projet'!$C$26)*(100%-'Données projet'!$C$27)</f>
        <v>2.8412253130320879</v>
      </c>
      <c r="J7" s="159">
        <f>IF(OR('Données projet'!B10="",'Données projet'!C10="",'Données projet'!C10=0%),0,SUM(Calculateur!$AQ$3:$AQ$33)*VLOOKUP('Données projet'!$B$10,Paramètres!$A$1:$I$89,9,0)*B7)</f>
        <v>24.186222900000001</v>
      </c>
      <c r="K7" s="160">
        <f>J7*(100%-'Données projet'!$C$24)*(100%-'Données projet'!$C$25)*(100%-'Données projet'!$C$26)*(100%-'Données projet'!$C$27)</f>
        <v>21.767600610000002</v>
      </c>
      <c r="L7" s="161">
        <f t="shared" ref="L7:L15" ca="1" si="2">G7+I7+K7</f>
        <v>108.94260927776394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Châtaignier</v>
      </c>
      <c r="B8" s="163">
        <f>'Données projet'!D11</f>
        <v>0.42291000000000001</v>
      </c>
      <c r="C8" s="156">
        <f ca="1">IF(OR('Données projet'!B11="",'Données projet'!C11="",'Données projet'!C11=0%),0,Calculateur!BI3)</f>
        <v>400.4480038202409</v>
      </c>
      <c r="D8" s="156">
        <f>IF(OR('Données projet'!B11="",'Données projet'!C11="",'Données projet'!C11=0%),0,Calculateur!BJ3)</f>
        <v>384.86917865380076</v>
      </c>
      <c r="E8" s="156">
        <f t="shared" ca="1" si="0"/>
        <v>384.86917865380076</v>
      </c>
      <c r="F8" s="156">
        <f t="shared" ca="1" si="1"/>
        <v>162.76502434447889</v>
      </c>
      <c r="G8" s="156">
        <f ca="1">F8*(100%-'Données projet'!$C$24)*(100%-'Données projet'!$C$25)*(100%-'Données projet'!$C$26)*(100%-'Données projet'!$C$27)</f>
        <v>146.48852191003101</v>
      </c>
      <c r="H8" s="164">
        <f>IF(OR('Données projet'!B11="",'Données projet'!C11="",'Données projet'!C11=0%),0,AVERAGE(Calculateur!$BS$3:$BS$33)*B8)</f>
        <v>4.9956004150680817</v>
      </c>
      <c r="I8" s="158">
        <f>H8*(100%-'Données projet'!$C$24)*(100%-'Données projet'!$C$25)*(100%-'Données projet'!$C$26)*(100%-'Données projet'!$C$27)</f>
        <v>4.4960403735612733</v>
      </c>
      <c r="J8" s="159">
        <f>IF(OR('Données projet'!B11="",'Données projet'!C11="",'Données projet'!C11=0%),0,SUM(Calculateur!$BL$3:$BL$33)*VLOOKUP('Données projet'!$B$11,Paramètres!$A$1:$I$89,9,0)*B8)</f>
        <v>18.502312499999999</v>
      </c>
      <c r="K8" s="160">
        <f>J8*(100%-'Données projet'!$C$24)*(100%-'Données projet'!$C$25)*(100%-'Données projet'!$C$26)*(100%-'Données projet'!$C$27)</f>
        <v>16.652081249999998</v>
      </c>
      <c r="L8" s="161">
        <f t="shared" ca="1" si="2"/>
        <v>167.63664353359229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433.68749915575683</v>
      </c>
      <c r="G16" s="175">
        <f t="shared" ca="1" si="3"/>
        <v>390.31874924018115</v>
      </c>
      <c r="H16" s="176">
        <f t="shared" si="3"/>
        <v>12.363938853944966</v>
      </c>
      <c r="I16" s="176">
        <f t="shared" si="3"/>
        <v>11.12754496855047</v>
      </c>
      <c r="J16" s="177">
        <f t="shared" si="3"/>
        <v>80.364487734000008</v>
      </c>
      <c r="K16" s="177">
        <f t="shared" si="3"/>
        <v>72.328038960599997</v>
      </c>
      <c r="L16" s="178">
        <f t="shared" ca="1" si="3"/>
        <v>473.77433316933161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Mélèze hybride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Châtaignier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0" zoomScale="90" zoomScaleNormal="90" workbookViewId="0">
      <selection activeCell="V33" sqref="V3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8825.1008166848424</v>
      </c>
      <c r="U10" s="190">
        <f>'Données projet'!D9</f>
        <v>0.42291000000000001</v>
      </c>
      <c r="V10" s="189">
        <f>U10*T10</f>
        <v>3732.2233863841866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Mélèze hybride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1561.6640886747355</v>
      </c>
      <c r="U11" s="190">
        <f>'Données projet'!D10</f>
        <v>0.42291000000000001</v>
      </c>
      <c r="V11" s="189">
        <f t="shared" ref="V11" si="0">U11*T11</f>
        <v>660.44335974143235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Châtaignier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1402.0949923028886</v>
      </c>
      <c r="U12" s="190">
        <f>'Données projet'!D11</f>
        <v>0.42291000000000001</v>
      </c>
      <c r="V12" s="189">
        <f t="shared" ref="V12:V19" si="1">U12*T12</f>
        <v>592.95999319481461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2989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552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603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17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3</v>
      </c>
      <c r="I23" s="204">
        <v>653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-909.25162598658881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74.819999999999993</v>
      </c>
      <c r="C24" s="291">
        <v>15</v>
      </c>
      <c r="D24" s="194">
        <f t="shared" ref="D24:D42" si="2">B24*C24</f>
        <v>1122.3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19</v>
      </c>
      <c r="B25" s="193">
        <f>'Données projet'!D38</f>
        <v>0</v>
      </c>
      <c r="C25" s="291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-909.25162598658881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23</v>
      </c>
      <c r="B26" s="193">
        <f>'Données projet'!D39</f>
        <v>0</v>
      </c>
      <c r="C26" s="291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24</v>
      </c>
      <c r="B27" s="193">
        <f>'Données projet'!D40</f>
        <v>51.39</v>
      </c>
      <c r="C27" s="291">
        <v>28</v>
      </c>
      <c r="D27" s="194">
        <f t="shared" si="2"/>
        <v>1438.92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26</v>
      </c>
      <c r="B28" s="193">
        <f>'Données projet'!D41</f>
        <v>0</v>
      </c>
      <c r="C28" s="291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28</v>
      </c>
      <c r="B29" s="193">
        <f>'Données projet'!D42</f>
        <v>0</v>
      </c>
      <c r="C29" s="291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30</v>
      </c>
      <c r="B30" s="193">
        <f>'Données projet'!D43</f>
        <v>80.97</v>
      </c>
      <c r="C30" s="291">
        <v>35</v>
      </c>
      <c r="D30" s="194">
        <f t="shared" si="2"/>
        <v>2833.95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32</v>
      </c>
      <c r="B31" s="193">
        <f>'Données projet'!D44</f>
        <v>0</v>
      </c>
      <c r="C31" s="291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34</v>
      </c>
      <c r="B32" s="193">
        <f>'Données projet'!D45</f>
        <v>0</v>
      </c>
      <c r="C32" s="291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36</v>
      </c>
      <c r="B33" s="193">
        <f>'Données projet'!D46</f>
        <v>85.88</v>
      </c>
      <c r="C33" s="291">
        <v>35</v>
      </c>
      <c r="D33" s="194">
        <f t="shared" si="2"/>
        <v>3005.7999999999997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38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40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42</v>
      </c>
      <c r="B36" s="193">
        <f>'Données projet'!D49</f>
        <v>91.25</v>
      </c>
      <c r="C36" s="206">
        <v>40</v>
      </c>
      <c r="D36" s="194">
        <f t="shared" si="2"/>
        <v>3650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44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46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48</v>
      </c>
      <c r="B39" s="193">
        <f>'Données projet'!D52</f>
        <v>101.34</v>
      </c>
      <c r="C39" s="206">
        <v>50</v>
      </c>
      <c r="D39" s="194">
        <f t="shared" si="2"/>
        <v>5067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50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52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54</v>
      </c>
      <c r="B42" s="193">
        <f>'Données projet'!D55</f>
        <v>707.75</v>
      </c>
      <c r="C42" s="206">
        <v>80</v>
      </c>
      <c r="D42" s="194">
        <f t="shared" si="2"/>
        <v>56620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Mélèze hybride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10</v>
      </c>
      <c r="B54" s="193">
        <f>'Données projet'!D62</f>
        <v>10</v>
      </c>
      <c r="C54" s="292">
        <v>7</v>
      </c>
      <c r="D54" s="191">
        <f>B54*C54</f>
        <v>70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15</v>
      </c>
      <c r="B55" s="193">
        <f>'Données projet'!D63</f>
        <v>30</v>
      </c>
      <c r="C55" s="292">
        <v>8</v>
      </c>
      <c r="D55" s="191">
        <f t="shared" ref="D55:D73" si="4">B55*C55</f>
        <v>240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20</v>
      </c>
      <c r="B56" s="193">
        <f>'Données projet'!D64</f>
        <v>34</v>
      </c>
      <c r="C56" s="292">
        <v>14</v>
      </c>
      <c r="D56" s="191">
        <f t="shared" si="4"/>
        <v>476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25</v>
      </c>
      <c r="B57" s="193">
        <f>'Données projet'!D65</f>
        <v>32</v>
      </c>
      <c r="C57" s="292">
        <v>15</v>
      </c>
      <c r="D57" s="191">
        <f t="shared" si="4"/>
        <v>480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30</v>
      </c>
      <c r="B58" s="193">
        <f>'Données projet'!D66</f>
        <v>27</v>
      </c>
      <c r="C58" s="292">
        <v>17</v>
      </c>
      <c r="D58" s="191">
        <f t="shared" si="4"/>
        <v>459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35</v>
      </c>
      <c r="B59" s="193">
        <f>'Données projet'!D67</f>
        <v>21</v>
      </c>
      <c r="C59" s="292">
        <v>17</v>
      </c>
      <c r="D59" s="191">
        <f t="shared" si="4"/>
        <v>357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40</v>
      </c>
      <c r="B60" s="193">
        <f>'Données projet'!D68</f>
        <v>16</v>
      </c>
      <c r="C60" s="292">
        <v>22</v>
      </c>
      <c r="D60" s="191">
        <f t="shared" si="4"/>
        <v>352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45</v>
      </c>
      <c r="B61" s="193">
        <f>'Données projet'!D69</f>
        <v>12</v>
      </c>
      <c r="C61" s="292">
        <v>24</v>
      </c>
      <c r="D61" s="191">
        <f t="shared" si="4"/>
        <v>288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50</v>
      </c>
      <c r="B62" s="193">
        <f>'Données projet'!D70</f>
        <v>259</v>
      </c>
      <c r="C62" s="292">
        <v>30</v>
      </c>
      <c r="D62" s="191">
        <f t="shared" si="4"/>
        <v>7770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Châtaignier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str">
        <f>IF(O83+1&lt;=MIN('Données projet'!$E$9:$E$18),O83+1,"STOP")</f>
        <v>STOP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10</v>
      </c>
      <c r="B85" s="193">
        <f>'Données projet'!D88</f>
        <v>7</v>
      </c>
      <c r="C85" s="291">
        <v>5</v>
      </c>
      <c r="D85" s="191">
        <f>B85*C85</f>
        <v>35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15</v>
      </c>
      <c r="B86" s="193">
        <f>'Données projet'!D89</f>
        <v>42</v>
      </c>
      <c r="C86" s="291">
        <v>7</v>
      </c>
      <c r="D86" s="191">
        <f t="shared" ref="D86:D104" si="6">B86*C86</f>
        <v>294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20</v>
      </c>
      <c r="B87" s="193">
        <f>'Données projet'!D90</f>
        <v>42</v>
      </c>
      <c r="C87" s="291">
        <v>9</v>
      </c>
      <c r="D87" s="191">
        <f t="shared" si="6"/>
        <v>378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25</v>
      </c>
      <c r="B88" s="193">
        <f>'Données projet'!D91</f>
        <v>42</v>
      </c>
      <c r="C88" s="291">
        <v>14</v>
      </c>
      <c r="D88" s="191">
        <f t="shared" si="6"/>
        <v>588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30</v>
      </c>
      <c r="B89" s="193">
        <f>'Données projet'!D92</f>
        <v>42</v>
      </c>
      <c r="C89" s="291">
        <v>14</v>
      </c>
      <c r="D89" s="191">
        <f t="shared" si="6"/>
        <v>588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35</v>
      </c>
      <c r="B90" s="193">
        <f>'Données projet'!D93</f>
        <v>42</v>
      </c>
      <c r="C90" s="291">
        <v>20</v>
      </c>
      <c r="D90" s="191">
        <f t="shared" si="6"/>
        <v>840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40</v>
      </c>
      <c r="B91" s="193">
        <f>'Données projet'!D94</f>
        <v>40</v>
      </c>
      <c r="C91" s="291">
        <v>20</v>
      </c>
      <c r="D91" s="191">
        <f t="shared" si="6"/>
        <v>800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45</v>
      </c>
      <c r="B92" s="193">
        <f>'Données projet'!D95</f>
        <v>26</v>
      </c>
      <c r="C92" s="291">
        <v>25</v>
      </c>
      <c r="D92" s="191">
        <f t="shared" si="6"/>
        <v>650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50</v>
      </c>
      <c r="B93" s="193">
        <f>'Données projet'!D96</f>
        <v>21</v>
      </c>
      <c r="C93" s="291">
        <v>25</v>
      </c>
      <c r="D93" s="191">
        <f t="shared" si="6"/>
        <v>525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55</v>
      </c>
      <c r="B94" s="193">
        <f>'Données projet'!D97</f>
        <v>18</v>
      </c>
      <c r="C94" s="204">
        <v>30</v>
      </c>
      <c r="D94" s="191">
        <f t="shared" si="6"/>
        <v>540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60</v>
      </c>
      <c r="B95" s="193">
        <f>'Données projet'!D98</f>
        <v>17</v>
      </c>
      <c r="C95" s="204">
        <v>40</v>
      </c>
      <c r="D95" s="191">
        <f t="shared" si="6"/>
        <v>680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65</v>
      </c>
      <c r="B96" s="193">
        <f>'Données projet'!D99</f>
        <v>16</v>
      </c>
      <c r="C96" s="204">
        <v>50</v>
      </c>
      <c r="D96" s="191">
        <f t="shared" si="6"/>
        <v>800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70</v>
      </c>
      <c r="B97" s="193">
        <f>'Données projet'!D100</f>
        <v>15</v>
      </c>
      <c r="C97" s="204">
        <v>60</v>
      </c>
      <c r="D97" s="191">
        <f t="shared" si="6"/>
        <v>900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75</v>
      </c>
      <c r="B98" s="193">
        <f>'Données projet'!D101</f>
        <v>14</v>
      </c>
      <c r="C98" s="204">
        <v>75</v>
      </c>
      <c r="D98" s="191">
        <f t="shared" si="6"/>
        <v>1050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80</v>
      </c>
      <c r="B99" s="193">
        <f>'Données projet'!D102</f>
        <v>13</v>
      </c>
      <c r="C99" s="204">
        <v>80</v>
      </c>
      <c r="D99" s="191">
        <f t="shared" si="6"/>
        <v>1040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2024-03-27T13:06:18Z</dcterms:modified>
</cp:coreProperties>
</file>