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Evreux\zzzz LA FERTE EN OUCHE 61 - DEULEY - BEL\doc fin\"/>
    </mc:Choice>
  </mc:AlternateContent>
  <xr:revisionPtr revIDLastSave="0" documentId="13_ncr:1_{5EEFA38E-07E2-4861-9159-387D53E4881F}" xr6:coauthVersionLast="36" xr6:coauthVersionMax="36" xr10:uidLastSave="{00000000-0000-0000-0000-000000000000}"/>
  <bookViews>
    <workbookView xWindow="0" yWindow="0" windowWidth="21570" windowHeight="933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B21" i="2" l="1"/>
  <c r="HI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C22" i="2" l="1"/>
  <c r="HG22" i="2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A105" i="2" l="1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H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AX152" i="2"/>
  <c r="EB156" i="2" l="1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EA161" i="2"/>
  <c r="ED160" i="2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I163" i="2" l="1"/>
  <c r="DH164" i="2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EC165" i="2"/>
  <c r="ED165" i="2" s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C166" i="2" l="1"/>
  <c r="CN165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C168" i="2" l="1"/>
  <c r="EV168" i="2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HH179" i="2" l="1"/>
  <c r="EV179" i="2"/>
  <c r="DF179" i="2"/>
  <c r="EA179" i="2"/>
  <c r="HG179" i="2"/>
  <c r="FS179" i="2"/>
  <c r="EX179" i="2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EW185" i="2" s="1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A185" i="2" l="1"/>
  <c r="EB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ED193" i="2" s="1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CN193" i="2" l="1"/>
  <c r="HI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EA199" i="2"/>
  <c r="HG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 l="1"/>
  <c r="EB201" i="2"/>
  <c r="DI200" i="2"/>
  <c r="EA201" i="2"/>
  <c r="HH201" i="2"/>
  <c r="HG201" i="2"/>
  <c r="HI201" i="2"/>
  <c r="EX201" i="2"/>
  <c r="AI5" i="2"/>
  <c r="EW201" i="2"/>
  <c r="EC201" i="2"/>
  <c r="ED201" i="2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S6" i="2" s="1" a="1"/>
  <c r="CS6" i="2" s="1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68" i="2" a="1"/>
  <c r="BC68" i="2" s="1"/>
  <c r="BC47" i="2" a="1"/>
  <c r="BC4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84" i="2" a="1"/>
  <c r="BC84" i="2" s="1"/>
  <c r="BC151" i="2" a="1"/>
  <c r="BC151" i="2" s="1"/>
  <c r="BC83" i="2" a="1"/>
  <c r="BC83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FD82" i="2" a="1"/>
  <c r="FD82" i="2" s="1"/>
  <c r="DN187" i="2" a="1"/>
  <c r="DN187" i="2" s="1"/>
  <c r="HJ202" i="2"/>
  <c r="EY202" i="2"/>
  <c r="AX200" i="2"/>
  <c r="CS134" i="2" l="1" a="1"/>
  <c r="CS134" i="2" s="1"/>
  <c r="CS24" i="2" a="1"/>
  <c r="CS24" i="2" s="1"/>
  <c r="CS116" i="2" a="1"/>
  <c r="CS116" i="2" s="1"/>
  <c r="CS38" i="2" a="1"/>
  <c r="CS38" i="2" s="1"/>
  <c r="CS105" i="2" a="1"/>
  <c r="CS105" i="2" s="1"/>
  <c r="CS161" i="2" a="1"/>
  <c r="CS161" i="2" s="1"/>
  <c r="CS56" i="2" a="1"/>
  <c r="CS56" i="2" s="1"/>
  <c r="CS72" i="2" a="1"/>
  <c r="CS72" i="2" s="1"/>
  <c r="BC181" i="2" a="1"/>
  <c r="BC181" i="2" s="1"/>
  <c r="BC117" i="2" a="1"/>
  <c r="BC117" i="2" s="1"/>
  <c r="BC164" i="2" a="1"/>
  <c r="BC164" i="2" s="1"/>
  <c r="BC65" i="2" a="1"/>
  <c r="BC65" i="2" s="1"/>
  <c r="BC32" i="2" a="1"/>
  <c r="BC32" i="2" s="1"/>
  <c r="BC192" i="2" a="1"/>
  <c r="BC192" i="2" s="1"/>
  <c r="BC114" i="2" a="1"/>
  <c r="BC114" i="2" s="1"/>
  <c r="BC18" i="2" a="1"/>
  <c r="BC18" i="2" s="1"/>
  <c r="BC55" i="2" a="1"/>
  <c r="BC55" i="2" s="1"/>
  <c r="BC126" i="2" a="1"/>
  <c r="BC126" i="2" s="1"/>
  <c r="BC38" i="2" a="1"/>
  <c r="BC38" i="2" s="1"/>
  <c r="BC130" i="2" a="1"/>
  <c r="BC130" i="2" s="1"/>
  <c r="BC82" i="2" a="1"/>
  <c r="BC82" i="2" s="1"/>
  <c r="BC7" i="2" a="1"/>
  <c r="BC7" i="2" s="1"/>
  <c r="BC58" i="2" a="1"/>
  <c r="BC58" i="2" s="1"/>
  <c r="BC34" i="2" a="1"/>
  <c r="BC34" i="2" s="1"/>
  <c r="BC143" i="2" a="1"/>
  <c r="BC143" i="2" s="1"/>
  <c r="BC185" i="2" a="1"/>
  <c r="BC185" i="2" s="1"/>
  <c r="BC31" i="2" a="1"/>
  <c r="BC31" i="2" s="1"/>
  <c r="BX107" i="2" a="1"/>
  <c r="BX107" i="2" s="1"/>
  <c r="AH19" i="2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DI203" i="2" l="1"/>
  <c r="CN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70" i="2" l="1"/>
  <c r="BI165" i="2"/>
  <c r="BI157" i="2"/>
  <c r="BI76" i="2"/>
  <c r="BI154" i="2"/>
  <c r="BI54" i="2"/>
  <c r="BI17" i="2"/>
  <c r="BI35" i="2"/>
  <c r="BI75" i="2"/>
  <c r="BI44" i="2"/>
  <c r="BI117" i="2"/>
  <c r="BI174" i="2"/>
  <c r="BI53" i="2"/>
  <c r="BI47" i="2"/>
  <c r="BI202" i="2"/>
  <c r="BI105" i="2"/>
  <c r="BI86" i="2"/>
  <c r="BI168" i="2"/>
  <c r="BI81" i="2"/>
  <c r="BI182" i="2"/>
  <c r="BI64" i="2"/>
  <c r="BI130" i="2"/>
  <c r="BI67" i="2"/>
  <c r="BI88" i="2"/>
  <c r="BI46" i="2"/>
  <c r="BI68" i="2"/>
  <c r="BI78" i="2"/>
  <c r="BI193" i="2"/>
  <c r="BI73" i="2"/>
  <c r="BI148" i="2"/>
  <c r="BI114" i="2"/>
  <c r="BI159" i="2"/>
  <c r="BI13" i="2"/>
  <c r="BI111" i="2"/>
  <c r="BI172" i="2"/>
  <c r="BI63" i="2"/>
  <c r="BI158" i="2"/>
  <c r="BI33" i="2"/>
  <c r="BI121" i="2"/>
  <c r="BI131" i="2"/>
  <c r="BI181" i="2"/>
  <c r="BI180" i="2"/>
  <c r="BI52" i="2"/>
  <c r="BI50" i="2"/>
  <c r="BI4" i="2"/>
  <c r="BI188" i="2"/>
  <c r="BI59" i="2"/>
  <c r="BI39" i="2"/>
  <c r="BI136" i="2"/>
  <c r="BI103" i="2"/>
  <c r="BI96" i="2"/>
  <c r="BI125" i="2"/>
  <c r="BI28" i="2"/>
  <c r="BI89" i="2"/>
  <c r="BI143" i="2"/>
  <c r="BI95" i="2"/>
  <c r="BI94" i="2"/>
  <c r="BI60" i="2"/>
  <c r="BI142" i="2"/>
  <c r="BI69" i="2"/>
  <c r="BI149" i="2"/>
  <c r="BI153" i="2"/>
  <c r="BI48" i="2"/>
  <c r="BI104" i="2"/>
  <c r="BI93" i="2"/>
  <c r="BI43" i="2"/>
  <c r="BI156" i="2"/>
  <c r="BI82" i="2"/>
  <c r="BI40" i="2"/>
  <c r="BI183" i="2"/>
  <c r="BI187" i="2"/>
  <c r="BI191" i="2"/>
  <c r="BI126" i="2"/>
  <c r="BI145" i="2"/>
  <c r="BI15" i="2"/>
  <c r="BI12" i="2"/>
  <c r="BI16" i="2"/>
  <c r="BI177" i="2"/>
  <c r="BI113" i="2"/>
  <c r="BI31" i="2"/>
  <c r="BI109" i="2"/>
  <c r="BI115" i="2"/>
  <c r="BI194" i="2"/>
  <c r="BI98" i="2"/>
  <c r="BI169" i="2"/>
  <c r="BI7" i="2"/>
  <c r="BI116" i="2"/>
  <c r="BI141" i="2"/>
  <c r="BI184" i="2"/>
  <c r="BI120" i="2"/>
  <c r="BI167" i="2"/>
  <c r="BI56" i="2"/>
  <c r="BI152" i="2"/>
  <c r="BI71" i="2"/>
  <c r="BI61" i="2"/>
  <c r="BI127" i="2"/>
  <c r="BI190" i="2"/>
  <c r="BI199" i="2"/>
  <c r="BI101" i="2"/>
  <c r="BI42" i="2"/>
  <c r="BI192" i="2"/>
  <c r="BI102" i="2"/>
  <c r="BI151" i="2"/>
  <c r="BI133" i="2"/>
  <c r="BI124" i="2"/>
  <c r="BI37" i="2"/>
  <c r="BI24" i="2"/>
  <c r="BI41" i="2"/>
  <c r="BI128" i="2"/>
  <c r="BI32" i="2"/>
  <c r="BI144" i="2"/>
  <c r="BI77" i="2"/>
  <c r="BI129" i="2"/>
  <c r="BI196" i="2"/>
  <c r="BI65" i="2"/>
  <c r="BI5" i="2"/>
  <c r="BI140" i="2"/>
  <c r="BI97" i="2"/>
  <c r="BI21" i="2"/>
  <c r="BI66" i="2"/>
  <c r="BI14" i="2"/>
  <c r="BI198" i="2"/>
  <c r="BI134" i="2"/>
  <c r="BI173" i="2"/>
  <c r="BI83" i="2"/>
  <c r="BI160" i="2"/>
  <c r="BI9" i="2"/>
  <c r="BI74" i="2"/>
  <c r="BI122" i="2"/>
  <c r="BI99" i="2"/>
  <c r="BI150" i="2"/>
  <c r="BI163" i="2"/>
  <c r="BI23" i="2"/>
  <c r="BI155" i="2"/>
  <c r="BI161" i="2"/>
  <c r="BI30" i="2"/>
  <c r="BI186" i="2"/>
  <c r="BI34" i="2"/>
  <c r="BI179" i="2"/>
  <c r="BI162" i="2"/>
  <c r="BI201" i="2"/>
  <c r="BI185" i="2"/>
  <c r="BI92" i="2"/>
  <c r="BI36" i="2"/>
  <c r="BI20" i="2"/>
  <c r="BI119" i="2"/>
  <c r="BI200" i="2"/>
  <c r="BI38" i="2"/>
  <c r="BI171" i="2"/>
  <c r="BI8" i="2"/>
  <c r="BI107" i="2"/>
  <c r="BI6" i="2"/>
  <c r="BI29" i="2"/>
  <c r="BI146" i="2"/>
  <c r="BI27" i="2"/>
  <c r="BI11" i="2"/>
  <c r="BI112" i="2"/>
  <c r="BI135" i="2"/>
  <c r="BI100" i="2"/>
  <c r="BI139" i="2"/>
  <c r="BI72" i="2"/>
  <c r="BI137" i="2"/>
  <c r="BI138" i="2"/>
  <c r="BI91" i="2"/>
  <c r="BI123" i="2"/>
  <c r="BI49" i="2"/>
  <c r="BI203" i="2"/>
  <c r="BI108" i="2"/>
  <c r="BI25" i="2"/>
  <c r="BI58" i="2"/>
  <c r="BI178" i="2"/>
  <c r="BI80" i="2"/>
  <c r="BI170" i="2"/>
  <c r="BI176" i="2"/>
  <c r="BI57" i="2"/>
  <c r="BI175" i="2"/>
  <c r="BI22" i="2"/>
  <c r="BI90" i="2"/>
  <c r="BI166" i="2"/>
  <c r="BI118" i="2"/>
  <c r="BI62" i="2"/>
  <c r="BI18" i="2"/>
  <c r="BI51" i="2"/>
  <c r="BI132" i="2"/>
  <c r="BI19" i="2"/>
  <c r="BI85" i="2"/>
  <c r="BI147" i="2"/>
  <c r="BI3" i="2"/>
  <c r="C8" i="4" s="1"/>
  <c r="E8" i="4" s="1"/>
  <c r="F8" i="4" s="1"/>
  <c r="G8" i="4" s="1"/>
  <c r="L8" i="4" s="1"/>
  <c r="BI164" i="2"/>
  <c r="BI106" i="2"/>
  <c r="BI10" i="2"/>
  <c r="BI55" i="2"/>
  <c r="BI195" i="2"/>
  <c r="BI84" i="2"/>
  <c r="BI110" i="2"/>
  <c r="BI87" i="2"/>
  <c r="BI79" i="2"/>
  <c r="BI45" i="2"/>
  <c r="BI26" i="2"/>
  <c r="BI197" i="2"/>
  <c r="BI189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<sst xmlns="http://schemas.openxmlformats.org/spreadsheetml/2006/main" count="1174" uniqueCount="324">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</sst>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1.8807803051454206</c:v>
                </c:pt>
                <c:pt idx="2">
                  <c:v>2.4338659530385267</c:v>
                </c:pt>
                <c:pt idx="3">
                  <c:v>3.1502609350315693</c:v>
                </c:pt>
                <c:pt idx="4">
                  <c:v>4.0783700502110554</c:v>
                </c:pt>
                <c:pt idx="5">
                  <c:v>5.2809964758932972</c:v>
                </c:pt>
                <c:pt idx="6">
                  <c:v>6.839638839379834</c:v>
                </c:pt>
                <c:pt idx="7">
                  <c:v>8.8600746163749324</c:v>
                </c:pt>
                <c:pt idx="8">
                  <c:v>11.479615989208229</c:v>
                </c:pt>
                <c:pt idx="9">
                  <c:v>14.87654050198527</c:v>
                </c:pt>
                <c:pt idx="10">
                  <c:v>19.282350104638549</c:v>
                </c:pt>
                <c:pt idx="11">
                  <c:v>24.997709077867171</c:v>
                </c:pt>
                <c:pt idx="12">
                  <c:v>32.413167678534187</c:v>
                </c:pt>
                <c:pt idx="13">
                  <c:v>42.036112123813787</c:v>
                </c:pt>
                <c:pt idx="14">
                  <c:v>54.525816175645708</c:v>
                </c:pt>
                <c:pt idx="15">
                  <c:v>70.739035632228152</c:v>
                </c:pt>
                <c:pt idx="16">
                  <c:v>91.78932427859479</c:v>
                </c:pt>
                <c:pt idx="17">
                  <c:v>119.12421016556203</c:v>
                </c:pt>
                <c:pt idx="18">
                  <c:v>154.62562208889187</c:v>
                </c:pt>
                <c:pt idx="19">
                  <c:v>200.74058596732007</c:v>
                </c:pt>
                <c:pt idx="20">
                  <c:v>235.51204202766243</c:v>
                </c:pt>
                <c:pt idx="21">
                  <c:v>270.16623181485778</c:v>
                </c:pt>
                <c:pt idx="22">
                  <c:v>304.72031452947482</c:v>
                </c:pt>
                <c:pt idx="23">
                  <c:v>339.1872321624985</c:v>
                </c:pt>
                <c:pt idx="24">
                  <c:v>373.57707921130037</c:v>
                </c:pt>
                <c:pt idx="25">
                  <c:v>407.89793949468162</c:v>
                </c:pt>
                <c:pt idx="26">
                  <c:v>376.9525885389333</c:v>
                </c:pt>
                <c:pt idx="27">
                  <c:v>410.27619508431599</c:v>
                </c:pt>
                <c:pt idx="28">
                  <c:v>443.54137638245015</c:v>
                </c:pt>
                <c:pt idx="29">
                  <c:v>476.75312396624321</c:v>
                </c:pt>
                <c:pt idx="30">
                  <c:v>509.91567780631357</c:v>
                </c:pt>
                <c:pt idx="31">
                  <c:v>481.01955462314157</c:v>
                </c:pt>
                <c:pt idx="32">
                  <c:v>516.06932221843772</c:v>
                </c:pt>
                <c:pt idx="33">
                  <c:v>551.06887464230806</c:v>
                </c:pt>
                <c:pt idx="34">
                  <c:v>586.02184403309866</c:v>
                </c:pt>
                <c:pt idx="35">
                  <c:v>620.93139451795184</c:v>
                </c:pt>
                <c:pt idx="36">
                  <c:v>567.37010980679293</c:v>
                </c:pt>
                <c:pt idx="37">
                  <c:v>595.22507573244764</c:v>
                </c:pt>
                <c:pt idx="38">
                  <c:v>623.05293550667545</c:v>
                </c:pt>
                <c:pt idx="39">
                  <c:v>650.85506834469629</c:v>
                </c:pt>
                <c:pt idx="40">
                  <c:v>678.63272618537417</c:v>
                </c:pt>
                <c:pt idx="41">
                  <c:v>620.69565848153741</c:v>
                </c:pt>
                <c:pt idx="42">
                  <c:v>647.55781319141124</c:v>
                </c:pt>
                <c:pt idx="43">
                  <c:v>674.39699172585131</c:v>
                </c:pt>
                <c:pt idx="44">
                  <c:v>701.2142358040129</c:v>
                </c:pt>
                <c:pt idx="45">
                  <c:v>728.01050108203719</c:v>
                </c:pt>
                <c:pt idx="46">
                  <c:v>671.33751041747894</c:v>
                </c:pt>
                <c:pt idx="47">
                  <c:v>692.27753096210472</c:v>
                </c:pt>
                <c:pt idx="48">
                  <c:v>713.20457786722011</c:v>
                </c:pt>
                <c:pt idx="49">
                  <c:v>734.11908497147158</c:v>
                </c:pt>
                <c:pt idx="50">
                  <c:v>755.02145940727178</c:v>
                </c:pt>
                <c:pt idx="51">
                  <c:v>714.84998798766367</c:v>
                </c:pt>
                <c:pt idx="52">
                  <c:v>731.06492305237623</c:v>
                </c:pt>
                <c:pt idx="53">
                  <c:v>747.27253134258956</c:v>
                </c:pt>
                <c:pt idx="54">
                  <c:v>763.47299401473185</c:v>
                </c:pt>
                <c:pt idx="55">
                  <c:v>779.66648391733395</c:v>
                </c:pt>
                <c:pt idx="56">
                  <c:v>748.211882009232</c:v>
                </c:pt>
                <c:pt idx="57">
                  <c:v>757.83884997834093</c:v>
                </c:pt>
                <c:pt idx="58">
                  <c:v>767.46333526620458</c:v>
                </c:pt>
                <c:pt idx="59">
                  <c:v>777.08537338244957</c:v>
                </c:pt>
                <c:pt idx="60">
                  <c:v>786.70499888602956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2.9758156199557515</c:v>
                </c:pt>
                <c:pt idx="2">
                  <c:v>3.9653026569590337</c:v>
                </c:pt>
                <c:pt idx="3">
                  <c:v>5.2851463938399075</c:v>
                </c:pt>
                <c:pt idx="4">
                  <c:v>7.0460633538091342</c:v>
                </c:pt>
                <c:pt idx="5">
                  <c:v>9.3960075889199022</c:v>
                </c:pt>
                <c:pt idx="6">
                  <c:v>12.53273587814193</c:v>
                </c:pt>
                <c:pt idx="7">
                  <c:v>16.72062557445792</c:v>
                </c:pt>
                <c:pt idx="8">
                  <c:v>22.313188331922618</c:v>
                </c:pt>
                <c:pt idx="9">
                  <c:v>29.783213949804821</c:v>
                </c:pt>
                <c:pt idx="10">
                  <c:v>39.763136997095295</c:v>
                </c:pt>
                <c:pt idx="11">
                  <c:v>53.099101927027704</c:v>
                </c:pt>
                <c:pt idx="12">
                  <c:v>70.9233868359387</c:v>
                </c:pt>
                <c:pt idx="13">
                  <c:v>94.751434931417066</c:v>
                </c:pt>
                <c:pt idx="14">
                  <c:v>126.61187452414181</c:v>
                </c:pt>
                <c:pt idx="15">
                  <c:v>169.22076873606747</c:v>
                </c:pt>
                <c:pt idx="16">
                  <c:v>156.31763533587534</c:v>
                </c:pt>
                <c:pt idx="17">
                  <c:v>183.23613938898788</c:v>
                </c:pt>
                <c:pt idx="18">
                  <c:v>210.06205920782259</c:v>
                </c:pt>
                <c:pt idx="19">
                  <c:v>236.80889001154432</c:v>
                </c:pt>
                <c:pt idx="20">
                  <c:v>263.48682168593842</c:v>
                </c:pt>
                <c:pt idx="21">
                  <c:v>208.55295085965801</c:v>
                </c:pt>
                <c:pt idx="22">
                  <c:v>234.55138491384039</c:v>
                </c:pt>
                <c:pt idx="23">
                  <c:v>260.48403592293715</c:v>
                </c:pt>
                <c:pt idx="24">
                  <c:v>286.35837196420749</c:v>
                </c:pt>
                <c:pt idx="25">
                  <c:v>312.18040027213078</c:v>
                </c:pt>
                <c:pt idx="26">
                  <c:v>254.10050561748869</c:v>
                </c:pt>
                <c:pt idx="27">
                  <c:v>278.48936400091276</c:v>
                </c:pt>
                <c:pt idx="28">
                  <c:v>302.83030487228285</c:v>
                </c:pt>
                <c:pt idx="29">
                  <c:v>327.12771904371101</c:v>
                </c:pt>
                <c:pt idx="30">
                  <c:v>351.38529181133845</c:v>
                </c:pt>
                <c:pt idx="31">
                  <c:v>291.97612129761018</c:v>
                </c:pt>
                <c:pt idx="32">
                  <c:v>314.79730475594641</c:v>
                </c:pt>
                <c:pt idx="33">
                  <c:v>337.58182519139035</c:v>
                </c:pt>
                <c:pt idx="34">
                  <c:v>360.33250350315166</c:v>
                </c:pt>
                <c:pt idx="35">
                  <c:v>383.05177541071208</c:v>
                </c:pt>
                <c:pt idx="36">
                  <c:v>324.88660171920714</c:v>
                </c:pt>
                <c:pt idx="37">
                  <c:v>345.04466702323003</c:v>
                </c:pt>
                <c:pt idx="38">
                  <c:v>365.17687261995815</c:v>
                </c:pt>
                <c:pt idx="39">
                  <c:v>385.28484395959771</c:v>
                </c:pt>
                <c:pt idx="40">
                  <c:v>405.37002304691242</c:v>
                </c:pt>
                <c:pt idx="41">
                  <c:v>351.0123838279564</c:v>
                </c:pt>
                <c:pt idx="42">
                  <c:v>369.27485695721407</c:v>
                </c:pt>
                <c:pt idx="43">
                  <c:v>387.5176312788667</c:v>
                </c:pt>
                <c:pt idx="44">
                  <c:v>405.7417642472314</c:v>
                </c:pt>
                <c:pt idx="45">
                  <c:v>423.9482106076091</c:v>
                </c:pt>
                <c:pt idx="46">
                  <c:v>373.37184903581334</c:v>
                </c:pt>
                <c:pt idx="47">
                  <c:v>389.75013922020406</c:v>
                </c:pt>
                <c:pt idx="48">
                  <c:v>406.11349808426445</c:v>
                </c:pt>
                <c:pt idx="49">
                  <c:v>422.46261177230537</c:v>
                </c:pt>
                <c:pt idx="50">
                  <c:v>438.7981090039209</c:v>
                </c:pt>
                <c:pt idx="51">
                  <c:v>391.98236961231743</c:v>
                </c:pt>
                <c:pt idx="52">
                  <c:v>406.48522456571527</c:v>
                </c:pt>
                <c:pt idx="53">
                  <c:v>420.97690043878242</c:v>
                </c:pt>
                <c:pt idx="54">
                  <c:v>435.45783620208516</c:v>
                </c:pt>
                <c:pt idx="55">
                  <c:v>449.92843925372966</c:v>
                </c:pt>
                <c:pt idx="56">
                  <c:v>408.71542941668878</c:v>
                </c:pt>
                <c:pt idx="57">
                  <c:v>421.34833884363542</c:v>
                </c:pt>
                <c:pt idx="58">
                  <c:v>433.97309421022049</c:v>
                </c:pt>
                <c:pt idx="59">
                  <c:v>446.58996615169809</c:v>
                </c:pt>
                <c:pt idx="60">
                  <c:v>459.19920876443319</c:v>
                </c:pt>
                <c:pt idx="61">
                  <c:v>422.09119450330468</c:v>
                </c:pt>
                <c:pt idx="62">
                  <c:v>433.23068233058763</c:v>
                </c:pt>
                <c:pt idx="63">
                  <c:v>444.36402075569396</c:v>
                </c:pt>
                <c:pt idx="64">
                  <c:v>455.49138558575584</c:v>
                </c:pt>
                <c:pt idx="65">
                  <c:v>466.61294333655468</c:v>
                </c:pt>
                <c:pt idx="66">
                  <c:v>433.60189168293124</c:v>
                </c:pt>
                <c:pt idx="67">
                  <c:v>443.25095855050807</c:v>
                </c:pt>
                <c:pt idx="68">
                  <c:v>452.89552584845842</c:v>
                </c:pt>
                <c:pt idx="69">
                  <c:v>462.53570293273214</c:v>
                </c:pt>
                <c:pt idx="70">
                  <c:v>472.17159422788467</c:v>
                </c:pt>
                <c:pt idx="71">
                  <c:v>4.566883036574213E-12</c:v>
                </c:pt>
                <c:pt idx="72">
                  <c:v>4.566883036574213E-12</c:v>
                </c:pt>
                <c:pt idx="73">
                  <c:v>4.566883036574213E-12</c:v>
                </c:pt>
                <c:pt idx="74">
                  <c:v>4.566883036574213E-12</c:v>
                </c:pt>
                <c:pt idx="75">
                  <c:v>4.566883036574213E-12</c:v>
                </c:pt>
                <c:pt idx="76">
                  <c:v>4.566883036574213E-12</c:v>
                </c:pt>
                <c:pt idx="77">
                  <c:v>4.566883036574213E-12</c:v>
                </c:pt>
                <c:pt idx="78">
                  <c:v>4.566883036574213E-12</c:v>
                </c:pt>
                <c:pt idx="79">
                  <c:v>4.566883036574213E-12</c:v>
                </c:pt>
                <c:pt idx="80">
                  <c:v>4.566883036574213E-12</c:v>
                </c:pt>
                <c:pt idx="81">
                  <c:v>4.566883036574213E-12</c:v>
                </c:pt>
                <c:pt idx="82">
                  <c:v>4.566883036574213E-12</c:v>
                </c:pt>
                <c:pt idx="83">
                  <c:v>4.566883036574213E-12</c:v>
                </c:pt>
                <c:pt idx="84">
                  <c:v>4.566883036574213E-12</c:v>
                </c:pt>
                <c:pt idx="85">
                  <c:v>4.566883036574213E-12</c:v>
                </c:pt>
                <c:pt idx="86">
                  <c:v>4.566883036574213E-12</c:v>
                </c:pt>
                <c:pt idx="87">
                  <c:v>4.566883036574213E-12</c:v>
                </c:pt>
                <c:pt idx="88">
                  <c:v>4.566883036574213E-12</c:v>
                </c:pt>
                <c:pt idx="89">
                  <c:v>4.566883036574213E-12</c:v>
                </c:pt>
                <c:pt idx="90">
                  <c:v>4.566883036574213E-12</c:v>
                </c:pt>
                <c:pt idx="91">
                  <c:v>4.566883036574213E-12</c:v>
                </c:pt>
                <c:pt idx="92">
                  <c:v>4.566883036574213E-12</c:v>
                </c:pt>
                <c:pt idx="93">
                  <c:v>4.566883036574213E-12</c:v>
                </c:pt>
                <c:pt idx="94">
                  <c:v>4.566883036574213E-12</c:v>
                </c:pt>
                <c:pt idx="95">
                  <c:v>4.566883036574213E-12</c:v>
                </c:pt>
                <c:pt idx="96">
                  <c:v>4.566883036574213E-12</c:v>
                </c:pt>
                <c:pt idx="97">
                  <c:v>4.566883036574213E-12</c:v>
                </c:pt>
                <c:pt idx="98">
                  <c:v>4.566883036574213E-12</c:v>
                </c:pt>
                <c:pt idx="99">
                  <c:v>4.566883036574213E-12</c:v>
                </c:pt>
                <c:pt idx="100">
                  <c:v>4.566883036574213E-12</c:v>
                </c:pt>
                <c:pt idx="101">
                  <c:v>4.566883036574213E-12</c:v>
                </c:pt>
                <c:pt idx="102">
                  <c:v>4.566883036574213E-12</c:v>
                </c:pt>
                <c:pt idx="103">
                  <c:v>4.566883036574213E-12</c:v>
                </c:pt>
                <c:pt idx="104">
                  <c:v>4.566883036574213E-12</c:v>
                </c:pt>
                <c:pt idx="105">
                  <c:v>4.566883036574213E-12</c:v>
                </c:pt>
                <c:pt idx="106">
                  <c:v>4.566883036574213E-12</c:v>
                </c:pt>
                <c:pt idx="107">
                  <c:v>4.566883036574213E-12</c:v>
                </c:pt>
                <c:pt idx="108">
                  <c:v>4.566883036574213E-12</c:v>
                </c:pt>
                <c:pt idx="109">
                  <c:v>4.566883036574213E-12</c:v>
                </c:pt>
                <c:pt idx="110">
                  <c:v>4.566883036574213E-12</c:v>
                </c:pt>
                <c:pt idx="111">
                  <c:v>4.566883036574213E-12</c:v>
                </c:pt>
                <c:pt idx="112">
                  <c:v>4.566883036574213E-12</c:v>
                </c:pt>
                <c:pt idx="113">
                  <c:v>4.566883036574213E-12</c:v>
                </c:pt>
                <c:pt idx="114">
                  <c:v>4.566883036574213E-12</c:v>
                </c:pt>
                <c:pt idx="115">
                  <c:v>4.566883036574213E-12</c:v>
                </c:pt>
                <c:pt idx="116">
                  <c:v>4.566883036574213E-12</c:v>
                </c:pt>
                <c:pt idx="117">
                  <c:v>4.566883036574213E-12</c:v>
                </c:pt>
                <c:pt idx="118">
                  <c:v>4.566883036574213E-12</c:v>
                </c:pt>
                <c:pt idx="119">
                  <c:v>4.566883036574213E-12</c:v>
                </c:pt>
                <c:pt idx="120">
                  <c:v>4.566883036574213E-12</c:v>
                </c:pt>
                <c:pt idx="121">
                  <c:v>4.566883036574213E-12</c:v>
                </c:pt>
                <c:pt idx="122">
                  <c:v>4.566883036574213E-12</c:v>
                </c:pt>
                <c:pt idx="123">
                  <c:v>4.566883036574213E-12</c:v>
                </c:pt>
                <c:pt idx="124">
                  <c:v>4.566883036574213E-12</c:v>
                </c:pt>
                <c:pt idx="125">
                  <c:v>4.566883036574213E-12</c:v>
                </c:pt>
                <c:pt idx="126">
                  <c:v>4.566883036574213E-12</c:v>
                </c:pt>
                <c:pt idx="127">
                  <c:v>4.566883036574213E-12</c:v>
                </c:pt>
                <c:pt idx="128">
                  <c:v>4.566883036574213E-12</c:v>
                </c:pt>
                <c:pt idx="129">
                  <c:v>4.566883036574213E-12</c:v>
                </c:pt>
                <c:pt idx="130">
                  <c:v>4.566883036574213E-12</c:v>
                </c:pt>
                <c:pt idx="131">
                  <c:v>4.566883036574213E-12</c:v>
                </c:pt>
                <c:pt idx="132">
                  <c:v>4.566883036574213E-12</c:v>
                </c:pt>
                <c:pt idx="133">
                  <c:v>4.566883036574213E-12</c:v>
                </c:pt>
                <c:pt idx="134">
                  <c:v>4.566883036574213E-12</c:v>
                </c:pt>
                <c:pt idx="135">
                  <c:v>4.566883036574213E-12</c:v>
                </c:pt>
                <c:pt idx="136">
                  <c:v>4.566883036574213E-12</c:v>
                </c:pt>
                <c:pt idx="137">
                  <c:v>4.566883036574213E-12</c:v>
                </c:pt>
                <c:pt idx="138">
                  <c:v>4.566883036574213E-12</c:v>
                </c:pt>
                <c:pt idx="139">
                  <c:v>4.566883036574213E-12</c:v>
                </c:pt>
                <c:pt idx="140">
                  <c:v>4.566883036574213E-12</c:v>
                </c:pt>
                <c:pt idx="141">
                  <c:v>4.566883036574213E-12</c:v>
                </c:pt>
                <c:pt idx="142">
                  <c:v>4.566883036574213E-12</c:v>
                </c:pt>
                <c:pt idx="143">
                  <c:v>4.566883036574213E-12</c:v>
                </c:pt>
                <c:pt idx="144">
                  <c:v>4.566883036574213E-12</c:v>
                </c:pt>
                <c:pt idx="145">
                  <c:v>4.566883036574213E-12</c:v>
                </c:pt>
                <c:pt idx="146">
                  <c:v>4.566883036574213E-12</c:v>
                </c:pt>
                <c:pt idx="147">
                  <c:v>4.566883036574213E-12</c:v>
                </c:pt>
                <c:pt idx="148">
                  <c:v>4.566883036574213E-12</c:v>
                </c:pt>
                <c:pt idx="149">
                  <c:v>4.566883036574213E-12</c:v>
                </c:pt>
                <c:pt idx="150">
                  <c:v>4.566883036574213E-12</c:v>
                </c:pt>
                <c:pt idx="151">
                  <c:v>4.566883036574213E-12</c:v>
                </c:pt>
                <c:pt idx="152">
                  <c:v>4.566883036574213E-12</c:v>
                </c:pt>
                <c:pt idx="153">
                  <c:v>4.566883036574213E-12</c:v>
                </c:pt>
                <c:pt idx="154">
                  <c:v>4.566883036574213E-12</c:v>
                </c:pt>
                <c:pt idx="155">
                  <c:v>4.566883036574213E-12</c:v>
                </c:pt>
                <c:pt idx="156">
                  <c:v>4.566883036574213E-12</c:v>
                </c:pt>
                <c:pt idx="157">
                  <c:v>4.566883036574213E-12</c:v>
                </c:pt>
                <c:pt idx="158">
                  <c:v>4.566883036574213E-12</c:v>
                </c:pt>
                <c:pt idx="159">
                  <c:v>4.566883036574213E-12</c:v>
                </c:pt>
                <c:pt idx="160">
                  <c:v>4.566883036574213E-12</c:v>
                </c:pt>
                <c:pt idx="161">
                  <c:v>4.566883036574213E-12</c:v>
                </c:pt>
                <c:pt idx="162">
                  <c:v>4.566883036574213E-12</c:v>
                </c:pt>
                <c:pt idx="163">
                  <c:v>4.566883036574213E-12</c:v>
                </c:pt>
                <c:pt idx="164">
                  <c:v>4.566883036574213E-12</c:v>
                </c:pt>
                <c:pt idx="165">
                  <c:v>4.566883036574213E-12</c:v>
                </c:pt>
                <c:pt idx="166">
                  <c:v>4.566883036574213E-12</c:v>
                </c:pt>
                <c:pt idx="167">
                  <c:v>4.566883036574213E-12</c:v>
                </c:pt>
                <c:pt idx="168">
                  <c:v>4.566883036574213E-12</c:v>
                </c:pt>
                <c:pt idx="169">
                  <c:v>4.566883036574213E-12</c:v>
                </c:pt>
                <c:pt idx="170">
                  <c:v>4.566883036574213E-12</c:v>
                </c:pt>
                <c:pt idx="171">
                  <c:v>4.566883036574213E-12</c:v>
                </c:pt>
                <c:pt idx="172">
                  <c:v>4.566883036574213E-12</c:v>
                </c:pt>
                <c:pt idx="173">
                  <c:v>4.566883036574213E-12</c:v>
                </c:pt>
                <c:pt idx="174">
                  <c:v>4.566883036574213E-12</c:v>
                </c:pt>
                <c:pt idx="175">
                  <c:v>4.566883036574213E-12</c:v>
                </c:pt>
                <c:pt idx="176">
                  <c:v>4.566883036574213E-12</c:v>
                </c:pt>
                <c:pt idx="177">
                  <c:v>4.566883036574213E-12</c:v>
                </c:pt>
                <c:pt idx="178">
                  <c:v>4.566883036574213E-12</c:v>
                </c:pt>
                <c:pt idx="179">
                  <c:v>4.566883036574213E-12</c:v>
                </c:pt>
                <c:pt idx="180">
                  <c:v>4.566883036574213E-12</c:v>
                </c:pt>
                <c:pt idx="181">
                  <c:v>4.566883036574213E-12</c:v>
                </c:pt>
                <c:pt idx="182">
                  <c:v>4.566883036574213E-12</c:v>
                </c:pt>
                <c:pt idx="183">
                  <c:v>4.566883036574213E-12</c:v>
                </c:pt>
                <c:pt idx="184">
                  <c:v>4.566883036574213E-12</c:v>
                </c:pt>
                <c:pt idx="185">
                  <c:v>4.566883036574213E-12</c:v>
                </c:pt>
                <c:pt idx="186">
                  <c:v>4.566883036574213E-12</c:v>
                </c:pt>
                <c:pt idx="187">
                  <c:v>4.566883036574213E-12</c:v>
                </c:pt>
                <c:pt idx="188">
                  <c:v>4.566883036574213E-12</c:v>
                </c:pt>
                <c:pt idx="189">
                  <c:v>4.566883036574213E-12</c:v>
                </c:pt>
                <c:pt idx="190">
                  <c:v>4.566883036574213E-12</c:v>
                </c:pt>
                <c:pt idx="191">
                  <c:v>4.566883036574213E-12</c:v>
                </c:pt>
                <c:pt idx="192">
                  <c:v>4.566883036574213E-12</c:v>
                </c:pt>
                <c:pt idx="193">
                  <c:v>4.566883036574213E-12</c:v>
                </c:pt>
                <c:pt idx="194">
                  <c:v>4.566883036574213E-12</c:v>
                </c:pt>
                <c:pt idx="195">
                  <c:v>4.566883036574213E-12</c:v>
                </c:pt>
                <c:pt idx="196">
                  <c:v>4.566883036574213E-12</c:v>
                </c:pt>
                <c:pt idx="197">
                  <c:v>4.566883036574213E-12</c:v>
                </c:pt>
                <c:pt idx="198">
                  <c:v>4.566883036574213E-12</c:v>
                </c:pt>
                <c:pt idx="199">
                  <c:v>4.566883036574213E-12</c:v>
                </c:pt>
                <c:pt idx="200">
                  <c:v>4.566883036574213E-12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149.95176191502506</c:v>
                </c:pt>
                <c:pt idx="22">
                  <c:v>164.11390630042692</c:v>
                </c:pt>
                <c:pt idx="23">
                  <c:v>178.24716715271646</c:v>
                </c:pt>
                <c:pt idx="24">
                  <c:v>192.35415851868379</c:v>
                </c:pt>
                <c:pt idx="25">
                  <c:v>206.43707921846078</c:v>
                </c:pt>
                <c:pt idx="26">
                  <c:v>169.613452288893</c:v>
                </c:pt>
                <c:pt idx="27">
                  <c:v>187.65460373716556</c:v>
                </c:pt>
                <c:pt idx="28">
                  <c:v>205.65529308794461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208.00044644770739</c:v>
                </c:pt>
                <c:pt idx="32">
                  <c:v>229.08024217931529</c:v>
                </c:pt>
                <c:pt idx="33">
                  <c:v>250.11566977871598</c:v>
                </c:pt>
                <c:pt idx="34">
                  <c:v>271.11098488765998</c:v>
                </c:pt>
                <c:pt idx="35">
                  <c:v>292.06972985560316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</c:v>
                </c:pt>
                <c:pt idx="39">
                  <c:v>324.60643807826506</c:v>
                </c:pt>
                <c:pt idx="40">
                  <c:v>346.25704166537031</c:v>
                </c:pt>
                <c:pt idx="41">
                  <c:v>314.15647495690467</c:v>
                </c:pt>
                <c:pt idx="42">
                  <c:v>336.20880231759617</c:v>
                </c:pt>
                <c:pt idx="43">
                  <c:v>358.22928558083089</c:v>
                </c:pt>
                <c:pt idx="44">
                  <c:v>380.22015624917964</c:v>
                </c:pt>
                <c:pt idx="45">
                  <c:v>402.18336673633218</c:v>
                </c:pt>
                <c:pt idx="46">
                  <c:v>369.42119511414558</c:v>
                </c:pt>
                <c:pt idx="47">
                  <c:v>390.62711987431999</c:v>
                </c:pt>
                <c:pt idx="48">
                  <c:v>411.80807637868764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419.88907590240791</c:v>
                </c:pt>
                <c:pt idx="52">
                  <c:v>439.50055712660469</c:v>
                </c:pt>
                <c:pt idx="53">
                  <c:v>459.09327985807062</c:v>
                </c:pt>
                <c:pt idx="54">
                  <c:v>478.66815678776129</c:v>
                </c:pt>
                <c:pt idx="55">
                  <c:v>498.22601991660639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497.84269099902531</c:v>
                </c:pt>
                <c:pt idx="62">
                  <c:v>514.70332559574479</c:v>
                </c:pt>
                <c:pt idx="63">
                  <c:v>531.55230561741564</c:v>
                </c:pt>
                <c:pt idx="64">
                  <c:v>548.39005229891859</c:v>
                </c:pt>
                <c:pt idx="65">
                  <c:v>565.21695891368086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551.067775468881</c:v>
                </c:pt>
                <c:pt idx="72">
                  <c:v>565.5992655562859</c:v>
                </c:pt>
                <c:pt idx="73">
                  <c:v>580.12295123245474</c:v>
                </c:pt>
                <c:pt idx="74">
                  <c:v>594.63905531968851</c:v>
                </c:pt>
                <c:pt idx="75">
                  <c:v>609.14778887966054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583.94370486394735</c:v>
                </c:pt>
                <c:pt idx="82">
                  <c:v>596.93039273337797</c:v>
                </c:pt>
                <c:pt idx="83">
                  <c:v>609.91120610652649</c:v>
                </c:pt>
                <c:pt idx="84">
                  <c:v>622.88628757946492</c:v>
                </c:pt>
                <c:pt idx="85">
                  <c:v>635.85577332565333</c:v>
                </c:pt>
                <c:pt idx="86">
                  <c:v>594.63905531968851</c:v>
                </c:pt>
                <c:pt idx="87">
                  <c:v>606.85741792448357</c:v>
                </c:pt>
                <c:pt idx="88">
                  <c:v>619.07067399707296</c:v>
                </c:pt>
                <c:pt idx="89">
                  <c:v>631.27893844334869</c:v>
                </c:pt>
                <c:pt idx="90">
                  <c:v>643.48232136416652</c:v>
                </c:pt>
                <c:pt idx="91">
                  <c:v>601.8943306586167</c:v>
                </c:pt>
                <c:pt idx="92">
                  <c:v>613.72799533010163</c:v>
                </c:pt>
                <c:pt idx="93">
                  <c:v>625.55692889431919</c:v>
                </c:pt>
                <c:pt idx="94">
                  <c:v>637.3812333927383</c:v>
                </c:pt>
                <c:pt idx="95">
                  <c:v>649.20100677344158</c:v>
                </c:pt>
                <c:pt idx="96">
                  <c:v>606.4756720002963</c:v>
                </c:pt>
                <c:pt idx="97">
                  <c:v>617.16268463508527</c:v>
                </c:pt>
                <c:pt idx="98">
                  <c:v>627.84586213083401</c:v>
                </c:pt>
                <c:pt idx="99">
                  <c:v>638.52527892770956</c:v>
                </c:pt>
                <c:pt idx="100">
                  <c:v>649.2010067734418</c:v>
                </c:pt>
                <c:pt idx="101">
                  <c:v>608.00262579276773</c:v>
                </c:pt>
                <c:pt idx="102">
                  <c:v>618.30749289907283</c:v>
                </c:pt>
                <c:pt idx="103">
                  <c:v>628.60880146856778</c:v>
                </c:pt>
                <c:pt idx="104">
                  <c:v>638.90661802503598</c:v>
                </c:pt>
                <c:pt idx="105">
                  <c:v>649.20100677344158</c:v>
                </c:pt>
                <c:pt idx="106">
                  <c:v>609.14778887966042</c:v>
                </c:pt>
                <c:pt idx="107">
                  <c:v>618.68908588691181</c:v>
                </c:pt>
                <c:pt idx="108">
                  <c:v>628.22733419630015</c:v>
                </c:pt>
                <c:pt idx="109">
                  <c:v>637.76258661477357</c:v>
                </c:pt>
                <c:pt idx="110">
                  <c:v>647.29489424172459</c:v>
                </c:pt>
                <c:pt idx="111">
                  <c:v>604.94863836746174</c:v>
                </c:pt>
                <c:pt idx="112">
                  <c:v>610.29290728129274</c:v>
                </c:pt>
                <c:pt idx="113">
                  <c:v>615.63620511985016</c:v>
                </c:pt>
                <c:pt idx="114">
                  <c:v>620.97854150271473</c:v>
                </c:pt>
                <c:pt idx="115">
                  <c:v>626.31992587040452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2.1741481815660317</c:v>
                </c:pt>
                <c:pt idx="2">
                  <c:v>3.3279919278058419</c:v>
                </c:pt>
                <c:pt idx="3">
                  <c:v>5.0970686122234934</c:v>
                </c:pt>
                <c:pt idx="4">
                  <c:v>7.8108603439262572</c:v>
                </c:pt>
                <c:pt idx="5">
                  <c:v>11.976016001557646</c:v>
                </c:pt>
                <c:pt idx="6">
                  <c:v>18.371970801719861</c:v>
                </c:pt>
                <c:pt idx="7">
                  <c:v>28.198348261169219</c:v>
                </c:pt>
                <c:pt idx="8">
                  <c:v>43.302273190862593</c:v>
                </c:pt>
                <c:pt idx="9">
                  <c:v>66.529046266496863</c:v>
                </c:pt>
                <c:pt idx="10">
                  <c:v>102.26331921155065</c:v>
                </c:pt>
                <c:pt idx="11">
                  <c:v>99.383832042107713</c:v>
                </c:pt>
                <c:pt idx="12">
                  <c:v>127.61811425323567</c:v>
                </c:pt>
                <c:pt idx="13">
                  <c:v>155.70032484556364</c:v>
                </c:pt>
                <c:pt idx="14">
                  <c:v>183.66187873507451</c:v>
                </c:pt>
                <c:pt idx="15">
                  <c:v>211.5237693240953</c:v>
                </c:pt>
                <c:pt idx="16">
                  <c:v>177.273330248728</c:v>
                </c:pt>
                <c:pt idx="17">
                  <c:v>206.80772973999618</c:v>
                </c:pt>
                <c:pt idx="18">
                  <c:v>236.24455995422252</c:v>
                </c:pt>
                <c:pt idx="19">
                  <c:v>265.59769251928259</c:v>
                </c:pt>
                <c:pt idx="20">
                  <c:v>294.87767605242158</c:v>
                </c:pt>
                <c:pt idx="21">
                  <c:v>249.16956379358496</c:v>
                </c:pt>
                <c:pt idx="22">
                  <c:v>274.97481117699641</c:v>
                </c:pt>
                <c:pt idx="23">
                  <c:v>300.72565518272023</c:v>
                </c:pt>
                <c:pt idx="24">
                  <c:v>326.42740643086165</c:v>
                </c:pt>
                <c:pt idx="25">
                  <c:v>352.08447089489545</c:v>
                </c:pt>
                <c:pt idx="26">
                  <c:v>306.3373322127826</c:v>
                </c:pt>
                <c:pt idx="27">
                  <c:v>327.12771904371101</c:v>
                </c:pt>
                <c:pt idx="28">
                  <c:v>347.88893729723378</c:v>
                </c:pt>
                <c:pt idx="29">
                  <c:v>368.62297160187927</c:v>
                </c:pt>
                <c:pt idx="30">
                  <c:v>389.33156517747528</c:v>
                </c:pt>
                <c:pt idx="31">
                  <c:v>349.28757120195638</c:v>
                </c:pt>
                <c:pt idx="32">
                  <c:v>365.13029886543012</c:v>
                </c:pt>
                <c:pt idx="33">
                  <c:v>380.95801656536122</c:v>
                </c:pt>
                <c:pt idx="34">
                  <c:v>396.77143560147573</c:v>
                </c:pt>
                <c:pt idx="35">
                  <c:v>412.57120595911425</c:v>
                </c:pt>
                <c:pt idx="36">
                  <c:v>380.26004138661079</c:v>
                </c:pt>
                <c:pt idx="37">
                  <c:v>392.12187483767138</c:v>
                </c:pt>
                <c:pt idx="38">
                  <c:v>403.97592783450415</c:v>
                </c:pt>
                <c:pt idx="39">
                  <c:v>415.82246089092337</c:v>
                </c:pt>
                <c:pt idx="40">
                  <c:v>427.66171846396492</c:v>
                </c:pt>
                <c:pt idx="41">
                  <c:v>403.74356852619422</c:v>
                </c:pt>
                <c:pt idx="42">
                  <c:v>412.33895235831295</c:v>
                </c:pt>
                <c:pt idx="43">
                  <c:v>420.93047014195105</c:v>
                </c:pt>
                <c:pt idx="44">
                  <c:v>429.51821195249221</c:v>
                </c:pt>
                <c:pt idx="45">
                  <c:v>438.10226396786584</c:v>
                </c:pt>
                <c:pt idx="46">
                  <c:v>419.76967683146569</c:v>
                </c:pt>
                <c:pt idx="47">
                  <c:v>425.80505163704908</c:v>
                </c:pt>
                <c:pt idx="48">
                  <c:v>431.83858635941425</c:v>
                </c:pt>
                <c:pt idx="49">
                  <c:v>437.87031035511887</c:v>
                </c:pt>
                <c:pt idx="50">
                  <c:v>443.90025210533031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2.3871399750424356</c:v>
                </c:pt>
                <c:pt idx="2">
                  <c:v>3.0201637833444726</c:v>
                </c:pt>
                <c:pt idx="3">
                  <c:v>3.8217146582071053</c:v>
                </c:pt>
                <c:pt idx="4">
                  <c:v>4.8368248152016493</c:v>
                </c:pt>
                <c:pt idx="5">
                  <c:v>6.1226010702347189</c:v>
                </c:pt>
                <c:pt idx="6">
                  <c:v>7.7514727758567341</c:v>
                </c:pt>
                <c:pt idx="7">
                  <c:v>9.8153159853779375</c:v>
                </c:pt>
                <c:pt idx="8">
                  <c:v>12.430690869046932</c:v>
                </c:pt>
                <c:pt idx="9">
                  <c:v>15.745493679721234</c:v>
                </c:pt>
                <c:pt idx="10">
                  <c:v>19.947406306007654</c:v>
                </c:pt>
                <c:pt idx="11">
                  <c:v>25.274630415319805</c:v>
                </c:pt>
                <c:pt idx="12">
                  <c:v>32.029525431815308</c:v>
                </c:pt>
                <c:pt idx="13">
                  <c:v>40.595937820986101</c:v>
                </c:pt>
                <c:pt idx="14">
                  <c:v>51.461223173712426</c:v>
                </c:pt>
                <c:pt idx="15">
                  <c:v>65.244234886618145</c:v>
                </c:pt>
                <c:pt idx="16">
                  <c:v>82.730899722789943</c:v>
                </c:pt>
                <c:pt idx="17">
                  <c:v>104.9194414522306</c:v>
                </c:pt>
                <c:pt idx="18">
                  <c:v>133.07787489323368</c:v>
                </c:pt>
                <c:pt idx="19">
                  <c:v>168.81710683074621</c:v>
                </c:pt>
                <c:pt idx="20">
                  <c:v>214.1838892800744</c:v>
                </c:pt>
                <c:pt idx="21">
                  <c:v>154.15340071352935</c:v>
                </c:pt>
                <c:pt idx="22">
                  <c:v>173.57971788519089</c:v>
                </c:pt>
                <c:pt idx="23">
                  <c:v>192.95491309455588</c:v>
                </c:pt>
                <c:pt idx="24">
                  <c:v>212.28484399685968</c:v>
                </c:pt>
                <c:pt idx="25">
                  <c:v>231.57421272848467</c:v>
                </c:pt>
                <c:pt idx="26">
                  <c:v>191.05124830668237</c:v>
                </c:pt>
                <c:pt idx="27">
                  <c:v>209.11889593919315</c:v>
                </c:pt>
                <c:pt idx="28">
                  <c:v>227.15051827180909</c:v>
                </c:pt>
                <c:pt idx="29">
                  <c:v>245.14937764064459</c:v>
                </c:pt>
                <c:pt idx="30">
                  <c:v>263.11821789263303</c:v>
                </c:pt>
                <c:pt idx="31">
                  <c:v>221.46000423097374</c:v>
                </c:pt>
                <c:pt idx="32">
                  <c:v>238.2061468968584</c:v>
                </c:pt>
                <c:pt idx="33">
                  <c:v>254.92547072290634</c:v>
                </c:pt>
                <c:pt idx="34">
                  <c:v>271.61998220138389</c:v>
                </c:pt>
                <c:pt idx="35">
                  <c:v>288.29142094764012</c:v>
                </c:pt>
                <c:pt idx="36">
                  <c:v>246.7267563712569</c:v>
                </c:pt>
                <c:pt idx="37">
                  <c:v>261.85817498084748</c:v>
                </c:pt>
                <c:pt idx="38">
                  <c:v>276.96986127985076</c:v>
                </c:pt>
                <c:pt idx="39">
                  <c:v>292.06304355226092</c:v>
                </c:pt>
                <c:pt idx="40">
                  <c:v>307.1388127336478</c:v>
                </c:pt>
                <c:pt idx="41">
                  <c:v>268.78673634423711</c:v>
                </c:pt>
                <c:pt idx="42">
                  <c:v>282.31742057281878</c:v>
                </c:pt>
                <c:pt idx="43">
                  <c:v>295.83357840174</c:v>
                </c:pt>
                <c:pt idx="44">
                  <c:v>309.33596713943859</c:v>
                </c:pt>
                <c:pt idx="45">
                  <c:v>322.82527256570927</c:v>
                </c:pt>
                <c:pt idx="46">
                  <c:v>286.40519666282768</c:v>
                </c:pt>
                <c:pt idx="47">
                  <c:v>298.66077524812391</c:v>
                </c:pt>
                <c:pt idx="48">
                  <c:v>310.90515078463829</c:v>
                </c:pt>
                <c:pt idx="49">
                  <c:v>323.13882679062425</c:v>
                </c:pt>
                <c:pt idx="50">
                  <c:v>335.36226553348371</c:v>
                </c:pt>
                <c:pt idx="51">
                  <c:v>302.11542875887409</c:v>
                </c:pt>
                <c:pt idx="52">
                  <c:v>312.78793918133044</c:v>
                </c:pt>
                <c:pt idx="53">
                  <c:v>323.45237428691689</c:v>
                </c:pt>
                <c:pt idx="54">
                  <c:v>334.10903798451079</c:v>
                </c:pt>
                <c:pt idx="55">
                  <c:v>344.75821320428196</c:v>
                </c:pt>
                <c:pt idx="56">
                  <c:v>314.98420799591565</c:v>
                </c:pt>
                <c:pt idx="57">
                  <c:v>324.39297647857364</c:v>
                </c:pt>
                <c:pt idx="58">
                  <c:v>333.79571492319093</c:v>
                </c:pt>
                <c:pt idx="59">
                  <c:v>343.19261724903959</c:v>
                </c:pt>
                <c:pt idx="60">
                  <c:v>352.58386588275107</c:v>
                </c:pt>
                <c:pt idx="61">
                  <c:v>326.27400019116152</c:v>
                </c:pt>
                <c:pt idx="62">
                  <c:v>334.42235456926841</c:v>
                </c:pt>
                <c:pt idx="63">
                  <c:v>342.56633494631848</c:v>
                </c:pt>
                <c:pt idx="64">
                  <c:v>350.70606005556948</c:v>
                </c:pt>
                <c:pt idx="65">
                  <c:v>358.84164266475454</c:v>
                </c:pt>
                <c:pt idx="66">
                  <c:v>334.73566468440237</c:v>
                </c:pt>
                <c:pt idx="67">
                  <c:v>341.94002746741904</c:v>
                </c:pt>
                <c:pt idx="68">
                  <c:v>349.14105342258995</c:v>
                </c:pt>
                <c:pt idx="69">
                  <c:v>356.3388211431315</c:v>
                </c:pt>
                <c:pt idx="70">
                  <c:v>363.53340578528679</c:v>
                </c:pt>
                <c:pt idx="71">
                  <c:v>343.19261724903942</c:v>
                </c:pt>
                <c:pt idx="72">
                  <c:v>349.45406704137991</c:v>
                </c:pt>
                <c:pt idx="73">
                  <c:v>355.71305571649367</c:v>
                </c:pt>
                <c:pt idx="74">
                  <c:v>361.96963273404782</c:v>
                </c:pt>
                <c:pt idx="75">
                  <c:v>368.22384570264688</c:v>
                </c:pt>
                <c:pt idx="76">
                  <c:v>350.08007582809643</c:v>
                </c:pt>
                <c:pt idx="77">
                  <c:v>355.40016396306447</c:v>
                </c:pt>
                <c:pt idx="78">
                  <c:v>360.71850795210366</c:v>
                </c:pt>
                <c:pt idx="79">
                  <c:v>366.0351371693323</c:v>
                </c:pt>
                <c:pt idx="80">
                  <c:v>371.3500800649436</c:v>
                </c:pt>
                <c:pt idx="81">
                  <c:v>355.71305571649373</c:v>
                </c:pt>
                <c:pt idx="82">
                  <c:v>360.40571193829379</c:v>
                </c:pt>
                <c:pt idx="83">
                  <c:v>365.09703181844543</c:v>
                </c:pt>
                <c:pt idx="84">
                  <c:v>369.78703497321794</c:v>
                </c:pt>
                <c:pt idx="85">
                  <c:v>374.47574048007579</c:v>
                </c:pt>
                <c:pt idx="86">
                  <c:v>360.09290998539473</c:v>
                </c:pt>
                <c:pt idx="87">
                  <c:v>364.47159900114133</c:v>
                </c:pt>
                <c:pt idx="88">
                  <c:v>368.8491387569938</c:v>
                </c:pt>
                <c:pt idx="89">
                  <c:v>373.22554483512391</c:v>
                </c:pt>
                <c:pt idx="90">
                  <c:v>377.60083242198886</c:v>
                </c:pt>
                <c:pt idx="91">
                  <c:v>6.9073897607190981E-13</c:v>
                </c:pt>
                <c:pt idx="92">
                  <c:v>6.9073897607190981E-13</c:v>
                </c:pt>
                <c:pt idx="93">
                  <c:v>6.9073897607190981E-13</c:v>
                </c:pt>
                <c:pt idx="94">
                  <c:v>6.9073897607190981E-13</c:v>
                </c:pt>
                <c:pt idx="95">
                  <c:v>6.9073897607190981E-13</c:v>
                </c:pt>
                <c:pt idx="96">
                  <c:v>6.9073897607190981E-13</c:v>
                </c:pt>
                <c:pt idx="97">
                  <c:v>6.9073897607190981E-13</c:v>
                </c:pt>
                <c:pt idx="98">
                  <c:v>6.9073897607190981E-13</c:v>
                </c:pt>
                <c:pt idx="99">
                  <c:v>6.9073897607190981E-13</c:v>
                </c:pt>
                <c:pt idx="100">
                  <c:v>6.9073897607190981E-13</c:v>
                </c:pt>
                <c:pt idx="101">
                  <c:v>6.9073897607190981E-13</c:v>
                </c:pt>
                <c:pt idx="102">
                  <c:v>6.9073897607190981E-13</c:v>
                </c:pt>
                <c:pt idx="103">
                  <c:v>6.9073897607190981E-13</c:v>
                </c:pt>
                <c:pt idx="104">
                  <c:v>6.9073897607190981E-13</c:v>
                </c:pt>
                <c:pt idx="105">
                  <c:v>6.9073897607190981E-13</c:v>
                </c:pt>
                <c:pt idx="106">
                  <c:v>6.9073897607190981E-13</c:v>
                </c:pt>
                <c:pt idx="107">
                  <c:v>6.9073897607190981E-13</c:v>
                </c:pt>
                <c:pt idx="108">
                  <c:v>6.9073897607190981E-13</c:v>
                </c:pt>
                <c:pt idx="109">
                  <c:v>6.9073897607190981E-13</c:v>
                </c:pt>
                <c:pt idx="110">
                  <c:v>6.9073897607190981E-13</c:v>
                </c:pt>
                <c:pt idx="111">
                  <c:v>6.9073897607190981E-13</c:v>
                </c:pt>
                <c:pt idx="112">
                  <c:v>6.9073897607190981E-13</c:v>
                </c:pt>
                <c:pt idx="113">
                  <c:v>6.9073897607190981E-13</c:v>
                </c:pt>
                <c:pt idx="114">
                  <c:v>6.9073897607190981E-13</c:v>
                </c:pt>
                <c:pt idx="115">
                  <c:v>6.9073897607190981E-13</c:v>
                </c:pt>
                <c:pt idx="116">
                  <c:v>6.9073897607190981E-13</c:v>
                </c:pt>
                <c:pt idx="117">
                  <c:v>6.9073897607190981E-13</c:v>
                </c:pt>
                <c:pt idx="118">
                  <c:v>6.9073897607190981E-13</c:v>
                </c:pt>
                <c:pt idx="119">
                  <c:v>6.9073897607190981E-13</c:v>
                </c:pt>
                <c:pt idx="120">
                  <c:v>6.9073897607190981E-13</c:v>
                </c:pt>
                <c:pt idx="121">
                  <c:v>6.9073897607190981E-13</c:v>
                </c:pt>
                <c:pt idx="122">
                  <c:v>6.9073897607190981E-13</c:v>
                </c:pt>
                <c:pt idx="123">
                  <c:v>6.9073897607190981E-13</c:v>
                </c:pt>
                <c:pt idx="124">
                  <c:v>6.9073897607190981E-13</c:v>
                </c:pt>
                <c:pt idx="125">
                  <c:v>6.9073897607190981E-13</c:v>
                </c:pt>
                <c:pt idx="126">
                  <c:v>6.9073897607190981E-13</c:v>
                </c:pt>
                <c:pt idx="127">
                  <c:v>6.9073897607190981E-13</c:v>
                </c:pt>
                <c:pt idx="128">
                  <c:v>6.9073897607190981E-13</c:v>
                </c:pt>
                <c:pt idx="129">
                  <c:v>6.9073897607190981E-13</c:v>
                </c:pt>
                <c:pt idx="130">
                  <c:v>6.9073897607190981E-13</c:v>
                </c:pt>
                <c:pt idx="131">
                  <c:v>6.9073897607190981E-13</c:v>
                </c:pt>
                <c:pt idx="132">
                  <c:v>6.9073897607190981E-13</c:v>
                </c:pt>
                <c:pt idx="133">
                  <c:v>6.9073897607190981E-13</c:v>
                </c:pt>
                <c:pt idx="134">
                  <c:v>6.9073897607190981E-13</c:v>
                </c:pt>
                <c:pt idx="135">
                  <c:v>6.9073897607190981E-13</c:v>
                </c:pt>
                <c:pt idx="136">
                  <c:v>6.9073897607190981E-13</c:v>
                </c:pt>
                <c:pt idx="137">
                  <c:v>6.9073897607190981E-13</c:v>
                </c:pt>
                <c:pt idx="138">
                  <c:v>6.9073897607190981E-13</c:v>
                </c:pt>
                <c:pt idx="139">
                  <c:v>6.9073897607190981E-13</c:v>
                </c:pt>
                <c:pt idx="140">
                  <c:v>6.9073897607190981E-13</c:v>
                </c:pt>
                <c:pt idx="141">
                  <c:v>6.9073897607190981E-13</c:v>
                </c:pt>
                <c:pt idx="142">
                  <c:v>6.9073897607190981E-13</c:v>
                </c:pt>
                <c:pt idx="143">
                  <c:v>6.9073897607190981E-13</c:v>
                </c:pt>
                <c:pt idx="144">
                  <c:v>6.9073897607190981E-13</c:v>
                </c:pt>
                <c:pt idx="145">
                  <c:v>6.9073897607190981E-13</c:v>
                </c:pt>
                <c:pt idx="146">
                  <c:v>6.9073897607190981E-13</c:v>
                </c:pt>
                <c:pt idx="147">
                  <c:v>6.9073897607190981E-13</c:v>
                </c:pt>
                <c:pt idx="148">
                  <c:v>6.9073897607190981E-13</c:v>
                </c:pt>
                <c:pt idx="149">
                  <c:v>6.9073897607190981E-13</c:v>
                </c:pt>
                <c:pt idx="150">
                  <c:v>6.9073897607190981E-13</c:v>
                </c:pt>
                <c:pt idx="151">
                  <c:v>6.9073897607190981E-13</c:v>
                </c:pt>
                <c:pt idx="152">
                  <c:v>6.9073897607190981E-13</c:v>
                </c:pt>
                <c:pt idx="153">
                  <c:v>6.9073897607190981E-13</c:v>
                </c:pt>
                <c:pt idx="154">
                  <c:v>6.9073897607190981E-13</c:v>
                </c:pt>
                <c:pt idx="155">
                  <c:v>6.9073897607190981E-13</c:v>
                </c:pt>
                <c:pt idx="156">
                  <c:v>6.9073897607190981E-13</c:v>
                </c:pt>
                <c:pt idx="157">
                  <c:v>6.9073897607190981E-13</c:v>
                </c:pt>
                <c:pt idx="158">
                  <c:v>6.9073897607190981E-13</c:v>
                </c:pt>
                <c:pt idx="159">
                  <c:v>6.9073897607190981E-13</c:v>
                </c:pt>
                <c:pt idx="160">
                  <c:v>6.9073897607190981E-13</c:v>
                </c:pt>
                <c:pt idx="161">
                  <c:v>6.9073897607190981E-13</c:v>
                </c:pt>
                <c:pt idx="162">
                  <c:v>6.9073897607190981E-13</c:v>
                </c:pt>
                <c:pt idx="163">
                  <c:v>6.9073897607190981E-13</c:v>
                </c:pt>
                <c:pt idx="164">
                  <c:v>6.9073897607190981E-13</c:v>
                </c:pt>
                <c:pt idx="165">
                  <c:v>6.9073897607190981E-13</c:v>
                </c:pt>
                <c:pt idx="166">
                  <c:v>6.9073897607190981E-13</c:v>
                </c:pt>
                <c:pt idx="167">
                  <c:v>6.9073897607190981E-13</c:v>
                </c:pt>
                <c:pt idx="168">
                  <c:v>6.9073897607190981E-13</c:v>
                </c:pt>
                <c:pt idx="169">
                  <c:v>6.9073897607190981E-13</c:v>
                </c:pt>
                <c:pt idx="170">
                  <c:v>6.9073897607190981E-13</c:v>
                </c:pt>
                <c:pt idx="171">
                  <c:v>6.9073897607190981E-13</c:v>
                </c:pt>
                <c:pt idx="172">
                  <c:v>6.9073897607190981E-13</c:v>
                </c:pt>
                <c:pt idx="173">
                  <c:v>6.9073897607190981E-13</c:v>
                </c:pt>
                <c:pt idx="174">
                  <c:v>6.9073897607190981E-13</c:v>
                </c:pt>
                <c:pt idx="175">
                  <c:v>6.9073897607190981E-13</c:v>
                </c:pt>
                <c:pt idx="176">
                  <c:v>6.9073897607190981E-13</c:v>
                </c:pt>
                <c:pt idx="177">
                  <c:v>6.9073897607190981E-13</c:v>
                </c:pt>
                <c:pt idx="178">
                  <c:v>6.9073897607190981E-13</c:v>
                </c:pt>
                <c:pt idx="179">
                  <c:v>6.9073897607190981E-13</c:v>
                </c:pt>
                <c:pt idx="180">
                  <c:v>6.9073897607190981E-13</c:v>
                </c:pt>
                <c:pt idx="181">
                  <c:v>6.9073897607190981E-13</c:v>
                </c:pt>
                <c:pt idx="182">
                  <c:v>6.9073897607190981E-13</c:v>
                </c:pt>
                <c:pt idx="183">
                  <c:v>6.9073897607190981E-13</c:v>
                </c:pt>
                <c:pt idx="184">
                  <c:v>6.9073897607190981E-13</c:v>
                </c:pt>
                <c:pt idx="185">
                  <c:v>6.9073897607190981E-13</c:v>
                </c:pt>
                <c:pt idx="186">
                  <c:v>6.9073897607190981E-13</c:v>
                </c:pt>
                <c:pt idx="187">
                  <c:v>6.9073897607190981E-13</c:v>
                </c:pt>
                <c:pt idx="188">
                  <c:v>6.9073897607190981E-13</c:v>
                </c:pt>
                <c:pt idx="189">
                  <c:v>6.9073897607190981E-13</c:v>
                </c:pt>
                <c:pt idx="190">
                  <c:v>6.9073897607190981E-13</c:v>
                </c:pt>
                <c:pt idx="191">
                  <c:v>6.9073897607190981E-13</c:v>
                </c:pt>
                <c:pt idx="192">
                  <c:v>6.9073897607190981E-13</c:v>
                </c:pt>
                <c:pt idx="193">
                  <c:v>6.9073897607190981E-13</c:v>
                </c:pt>
                <c:pt idx="194">
                  <c:v>6.9073897607190981E-13</c:v>
                </c:pt>
                <c:pt idx="195">
                  <c:v>6.9073897607190981E-13</c:v>
                </c:pt>
                <c:pt idx="196">
                  <c:v>6.9073897607190981E-13</c:v>
                </c:pt>
                <c:pt idx="197">
                  <c:v>6.9073897607190981E-13</c:v>
                </c:pt>
                <c:pt idx="198">
                  <c:v>6.9073897607190981E-13</c:v>
                </c:pt>
                <c:pt idx="199">
                  <c:v>6.9073897607190981E-13</c:v>
                </c:pt>
                <c:pt idx="200">
                  <c:v>6.9073897607190981E-13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82" zoomScale="90" zoomScaleNormal="90" workbookViewId="0">
      <selection activeCell="E130" sqref="E130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6.4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18</v>
      </c>
      <c r="C9" s="35">
        <v>0.57199999999999995</v>
      </c>
      <c r="D9" s="36">
        <f t="shared" ref="D9:D18" si="0">C9*$C$5</f>
        <v>3.6608000000000001</v>
      </c>
      <c r="E9" s="37">
        <v>60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13</v>
      </c>
      <c r="C10" s="35">
        <v>4.8000000000000001E-2</v>
      </c>
      <c r="D10" s="36">
        <f t="shared" si="0"/>
        <v>0.30720000000000003</v>
      </c>
      <c r="E10" s="37">
        <v>70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14</v>
      </c>
      <c r="C11" s="35">
        <v>4.7E-2</v>
      </c>
      <c r="D11" s="36">
        <f t="shared" si="0"/>
        <v>0.30080000000000001</v>
      </c>
      <c r="E11" s="37">
        <v>115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 t="s">
        <v>81</v>
      </c>
      <c r="C12" s="35">
        <v>0.28599999999999998</v>
      </c>
      <c r="D12" s="36">
        <f t="shared" si="0"/>
        <v>1.8304</v>
      </c>
      <c r="E12" s="37">
        <v>50</v>
      </c>
      <c r="F12" s="38" t="str">
        <f t="array" ref="F12">IF(E12="","",IF(INDEX(A:A,MAX(IF(ISNUMBER($A$114:$A$133),ROW($A$114:$A$133),"")))&lt;&gt;E12,"Corrigez : révolution incorrecte","OK"))</f>
        <v>OK</v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 t="s">
        <v>8</v>
      </c>
      <c r="C13" s="35">
        <v>4.7E-2</v>
      </c>
      <c r="D13" s="36">
        <f t="shared" si="0"/>
        <v>0.30080000000000001</v>
      </c>
      <c r="E13" s="37">
        <v>90</v>
      </c>
      <c r="F13" s="38" t="str">
        <f t="array" ref="F13">IF(E13="","",IF(INDEX(A:A,MAX(IF(ISNUMBER($A$140:$A$159),ROW($A$140:$A$159),"")))&lt;&gt;E13,"Corrigez : révolution incorrecte","OK"))</f>
        <v>OK</v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6.3999999999999995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Douglas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19</v>
      </c>
      <c r="B36" s="63">
        <v>162</v>
      </c>
      <c r="C36" s="63">
        <v>1</v>
      </c>
      <c r="D36" s="63">
        <v>0</v>
      </c>
      <c r="E36" s="54"/>
      <c r="F36" s="54"/>
      <c r="G36" s="54"/>
      <c r="H36" s="54"/>
      <c r="I36" s="52">
        <f>IFERROR(B36/A36,"")</f>
        <v>8.526315789473685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25</v>
      </c>
      <c r="B37" s="63">
        <v>335</v>
      </c>
      <c r="C37" s="63">
        <v>2</v>
      </c>
      <c r="D37" s="63">
        <v>54</v>
      </c>
      <c r="E37" s="54">
        <v>0.1</v>
      </c>
      <c r="F37" s="54">
        <v>0.4</v>
      </c>
      <c r="G37" s="54">
        <v>0.5</v>
      </c>
      <c r="H37" s="54">
        <v>0</v>
      </c>
      <c r="I37" s="56">
        <f t="shared" ref="I37:I55" si="1">IF(A37&lt;&gt;0,(B37-(B36-D36))/(A37-A36),"")</f>
        <v>28.833333333333332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30</v>
      </c>
      <c r="B38" s="63">
        <v>421</v>
      </c>
      <c r="C38" s="63">
        <v>3</v>
      </c>
      <c r="D38" s="63">
        <v>54</v>
      </c>
      <c r="E38" s="54">
        <v>0.4</v>
      </c>
      <c r="F38" s="54">
        <v>0.3</v>
      </c>
      <c r="G38" s="54">
        <v>0.3</v>
      </c>
      <c r="H38" s="54">
        <v>0</v>
      </c>
      <c r="I38" s="56">
        <f t="shared" si="1"/>
        <v>28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35</v>
      </c>
      <c r="B39" s="63">
        <v>515</v>
      </c>
      <c r="C39" s="63">
        <v>4</v>
      </c>
      <c r="D39" s="63">
        <v>69</v>
      </c>
      <c r="E39" s="54"/>
      <c r="F39" s="54"/>
      <c r="G39" s="54"/>
      <c r="H39" s="54"/>
      <c r="I39" s="52">
        <f t="shared" si="1"/>
        <v>29.6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40</v>
      </c>
      <c r="B40" s="63">
        <v>564</v>
      </c>
      <c r="C40" s="63">
        <v>5</v>
      </c>
      <c r="D40" s="63">
        <v>72</v>
      </c>
      <c r="E40" s="54"/>
      <c r="F40" s="54"/>
      <c r="G40" s="54"/>
      <c r="H40" s="54"/>
      <c r="I40" s="52">
        <f t="shared" si="1"/>
        <v>23.6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45</v>
      </c>
      <c r="B41" s="63">
        <v>606</v>
      </c>
      <c r="C41" s="63">
        <v>6</v>
      </c>
      <c r="D41" s="63">
        <v>66</v>
      </c>
      <c r="E41" s="54"/>
      <c r="F41" s="54"/>
      <c r="G41" s="54"/>
      <c r="H41" s="54"/>
      <c r="I41" s="56">
        <f t="shared" si="1"/>
        <v>22.8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50</v>
      </c>
      <c r="B42" s="63">
        <v>629</v>
      </c>
      <c r="C42" s="63">
        <v>7</v>
      </c>
      <c r="D42" s="63">
        <v>48</v>
      </c>
      <c r="E42" s="54"/>
      <c r="F42" s="54"/>
      <c r="G42" s="54"/>
      <c r="H42" s="54"/>
      <c r="I42" s="56">
        <f t="shared" si="1"/>
        <v>17.8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>
        <v>55</v>
      </c>
      <c r="B43" s="63">
        <v>650</v>
      </c>
      <c r="C43" s="63">
        <v>8</v>
      </c>
      <c r="D43" s="63">
        <v>35</v>
      </c>
      <c r="E43" s="54"/>
      <c r="F43" s="54"/>
      <c r="G43" s="54"/>
      <c r="H43" s="54"/>
      <c r="I43" s="52">
        <f t="shared" si="1"/>
        <v>13.8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>
        <v>60</v>
      </c>
      <c r="B44" s="63">
        <v>656</v>
      </c>
      <c r="C44" s="63">
        <v>9</v>
      </c>
      <c r="D44" s="63">
        <v>656</v>
      </c>
      <c r="E44" s="54"/>
      <c r="F44" s="54"/>
      <c r="G44" s="54"/>
      <c r="H44" s="54"/>
      <c r="I44" s="52">
        <f t="shared" si="1"/>
        <v>8.1999999999999993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Chêne rouge d'Amérique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15</v>
      </c>
      <c r="B62" s="63">
        <v>87</v>
      </c>
      <c r="C62" s="63">
        <v>1</v>
      </c>
      <c r="D62" s="63">
        <v>21</v>
      </c>
      <c r="E62" s="54"/>
      <c r="F62" s="54"/>
      <c r="G62" s="54"/>
      <c r="H62" s="54">
        <v>1</v>
      </c>
      <c r="I62" s="56">
        <f>IFERROR(B62/A62,"")</f>
        <v>5.8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20</v>
      </c>
      <c r="B63" s="63">
        <v>137</v>
      </c>
      <c r="C63" s="63">
        <v>2</v>
      </c>
      <c r="D63" s="63">
        <v>43</v>
      </c>
      <c r="E63" s="54"/>
      <c r="F63" s="54">
        <v>0.5</v>
      </c>
      <c r="G63" s="54">
        <v>0.5</v>
      </c>
      <c r="H63" s="54"/>
      <c r="I63" s="52">
        <f>IF(A63&lt;&gt;0,(B63-(B62-D62))/(A63-A62),"")</f>
        <v>14.2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25</v>
      </c>
      <c r="B64" s="63">
        <v>163</v>
      </c>
      <c r="C64" s="63">
        <v>3</v>
      </c>
      <c r="D64" s="63">
        <v>44</v>
      </c>
      <c r="E64" s="54"/>
      <c r="F64" s="54">
        <v>0.5</v>
      </c>
      <c r="G64" s="54">
        <v>0.5</v>
      </c>
      <c r="H64" s="54"/>
      <c r="I64" s="52">
        <f>IF(A64&lt;&gt;0,(B64-(B63-D63))/(A64-A63),"")</f>
        <v>13.8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184</v>
      </c>
      <c r="C65" s="63">
        <v>4</v>
      </c>
      <c r="D65" s="63">
        <v>44</v>
      </c>
      <c r="E65" s="54"/>
      <c r="F65" s="54">
        <v>0.6</v>
      </c>
      <c r="G65" s="54">
        <v>0.4</v>
      </c>
      <c r="H65" s="54"/>
      <c r="I65" s="52">
        <f>IF(A65&lt;&gt;0,(B65-(B64-D64))/(A65-A64),"")</f>
        <v>13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35</v>
      </c>
      <c r="B66" s="63">
        <v>201</v>
      </c>
      <c r="C66" s="63">
        <v>5</v>
      </c>
      <c r="D66" s="63">
        <v>42</v>
      </c>
      <c r="E66" s="54"/>
      <c r="F66" s="54"/>
      <c r="G66" s="54"/>
      <c r="H66" s="54"/>
      <c r="I66" s="52">
        <f t="shared" ref="I66:I81" si="2">IF(A66&lt;&gt;0,(B66-(B65-D65))/(A66-A65),"")</f>
        <v>12.2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40</v>
      </c>
      <c r="B67" s="63">
        <v>213</v>
      </c>
      <c r="C67" s="63">
        <v>6</v>
      </c>
      <c r="D67" s="63">
        <v>39</v>
      </c>
      <c r="E67" s="54"/>
      <c r="F67" s="54"/>
      <c r="G67" s="54"/>
      <c r="H67" s="54"/>
      <c r="I67" s="52">
        <f t="shared" si="2"/>
        <v>10.8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45</v>
      </c>
      <c r="B68" s="63">
        <v>223</v>
      </c>
      <c r="C68" s="63">
        <v>7</v>
      </c>
      <c r="D68" s="63">
        <v>36</v>
      </c>
      <c r="E68" s="54"/>
      <c r="F68" s="54"/>
      <c r="G68" s="54"/>
      <c r="H68" s="54"/>
      <c r="I68" s="52">
        <f t="shared" si="2"/>
        <v>9.8000000000000007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>
        <v>50</v>
      </c>
      <c r="B69" s="53">
        <v>231</v>
      </c>
      <c r="C69" s="53">
        <v>8</v>
      </c>
      <c r="D69" s="53">
        <v>33</v>
      </c>
      <c r="E69" s="54"/>
      <c r="F69" s="54"/>
      <c r="G69" s="54"/>
      <c r="H69" s="54"/>
      <c r="I69" s="52">
        <f t="shared" si="2"/>
        <v>8.8000000000000007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>
        <v>55</v>
      </c>
      <c r="B70" s="53">
        <v>237</v>
      </c>
      <c r="C70" s="53">
        <v>9</v>
      </c>
      <c r="D70" s="53">
        <v>29</v>
      </c>
      <c r="E70" s="54"/>
      <c r="F70" s="54"/>
      <c r="G70" s="54"/>
      <c r="H70" s="54"/>
      <c r="I70" s="52">
        <f t="shared" si="2"/>
        <v>7.8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>
        <v>60</v>
      </c>
      <c r="B71" s="53">
        <v>242</v>
      </c>
      <c r="C71" s="53">
        <v>10</v>
      </c>
      <c r="D71" s="53">
        <v>26</v>
      </c>
      <c r="E71" s="54"/>
      <c r="F71" s="54"/>
      <c r="G71" s="54"/>
      <c r="H71" s="54"/>
      <c r="I71" s="52">
        <f t="shared" si="2"/>
        <v>6.8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>
        <v>65</v>
      </c>
      <c r="B72" s="53">
        <v>246</v>
      </c>
      <c r="C72" s="53">
        <v>11</v>
      </c>
      <c r="D72" s="53">
        <v>23</v>
      </c>
      <c r="E72" s="54"/>
      <c r="F72" s="54"/>
      <c r="G72" s="54"/>
      <c r="H72" s="54"/>
      <c r="I72" s="52">
        <f t="shared" si="2"/>
        <v>6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>
        <v>70</v>
      </c>
      <c r="B73" s="53">
        <v>249</v>
      </c>
      <c r="C73" s="53">
        <v>12</v>
      </c>
      <c r="D73" s="53">
        <v>249</v>
      </c>
      <c r="E73" s="54"/>
      <c r="F73" s="54"/>
      <c r="G73" s="54"/>
      <c r="H73" s="54"/>
      <c r="I73" s="52">
        <f t="shared" si="2"/>
        <v>5.2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Chêne sessile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20</v>
      </c>
      <c r="B88" s="63">
        <v>73</v>
      </c>
      <c r="C88" s="63">
        <v>1</v>
      </c>
      <c r="D88" s="63">
        <v>6</v>
      </c>
      <c r="E88" s="54"/>
      <c r="F88" s="54"/>
      <c r="G88" s="54"/>
      <c r="H88" s="93">
        <v>1</v>
      </c>
      <c r="I88" s="56">
        <f>IFERROR(B88/A88,"")</f>
        <v>3.65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25</v>
      </c>
      <c r="B89" s="63">
        <v>103</v>
      </c>
      <c r="C89" s="63">
        <v>2</v>
      </c>
      <c r="D89" s="63">
        <v>28</v>
      </c>
      <c r="E89" s="54"/>
      <c r="F89" s="54">
        <v>0.3</v>
      </c>
      <c r="G89" s="54">
        <v>0.7</v>
      </c>
      <c r="H89" s="93"/>
      <c r="I89" s="56">
        <f t="shared" ref="I89:I107" si="3">IF(A89&lt;&gt;0,(B89-(B88-D88))/(A89-A88),"")</f>
        <v>7.2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30</v>
      </c>
      <c r="B90" s="63">
        <v>121</v>
      </c>
      <c r="C90" s="63">
        <v>3</v>
      </c>
      <c r="D90" s="63">
        <v>28</v>
      </c>
      <c r="E90" s="93"/>
      <c r="F90" s="93">
        <v>0.5</v>
      </c>
      <c r="G90" s="93">
        <v>0.5</v>
      </c>
      <c r="H90" s="93"/>
      <c r="I90" s="56">
        <f t="shared" si="3"/>
        <v>9.1999999999999993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35</v>
      </c>
      <c r="B91" s="63">
        <v>147</v>
      </c>
      <c r="C91" s="63">
        <v>4</v>
      </c>
      <c r="D91" s="63">
        <v>28</v>
      </c>
      <c r="E91" s="93"/>
      <c r="F91" s="93"/>
      <c r="G91" s="93"/>
      <c r="H91" s="93"/>
      <c r="I91" s="56">
        <f t="shared" si="3"/>
        <v>10.8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40</v>
      </c>
      <c r="B92" s="63">
        <v>175</v>
      </c>
      <c r="C92" s="63">
        <v>5</v>
      </c>
      <c r="D92" s="63">
        <v>28</v>
      </c>
      <c r="E92" s="93"/>
      <c r="F92" s="93"/>
      <c r="G92" s="93"/>
      <c r="H92" s="93"/>
      <c r="I92" s="56">
        <f t="shared" si="3"/>
        <v>11.2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45</v>
      </c>
      <c r="B93" s="63">
        <v>204</v>
      </c>
      <c r="C93" s="63">
        <v>6</v>
      </c>
      <c r="D93" s="63">
        <v>28</v>
      </c>
      <c r="E93" s="93"/>
      <c r="F93" s="93"/>
      <c r="G93" s="93"/>
      <c r="H93" s="93"/>
      <c r="I93" s="56">
        <f t="shared" si="3"/>
        <v>11.4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50</v>
      </c>
      <c r="B94" s="63">
        <v>231</v>
      </c>
      <c r="C94" s="63">
        <v>7</v>
      </c>
      <c r="D94" s="63">
        <v>28</v>
      </c>
      <c r="E94" s="93"/>
      <c r="F94" s="93"/>
      <c r="G94" s="93"/>
      <c r="H94" s="93"/>
      <c r="I94" s="56">
        <f t="shared" si="3"/>
        <v>11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>
        <v>55</v>
      </c>
      <c r="B95" s="63">
        <v>254</v>
      </c>
      <c r="C95" s="63">
        <v>8</v>
      </c>
      <c r="D95" s="63">
        <v>28</v>
      </c>
      <c r="E95" s="93"/>
      <c r="F95" s="93"/>
      <c r="G95" s="93"/>
      <c r="H95" s="93"/>
      <c r="I95" s="56">
        <f t="shared" si="3"/>
        <v>10.199999999999999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>
        <v>60</v>
      </c>
      <c r="B96" s="63">
        <v>273</v>
      </c>
      <c r="C96" s="63">
        <v>9</v>
      </c>
      <c r="D96" s="63">
        <v>28</v>
      </c>
      <c r="E96" s="93"/>
      <c r="F96" s="93"/>
      <c r="G96" s="93"/>
      <c r="H96" s="93"/>
      <c r="I96" s="56">
        <f t="shared" si="3"/>
        <v>9.4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>
        <v>65</v>
      </c>
      <c r="B97" s="63">
        <v>289</v>
      </c>
      <c r="C97" s="63">
        <v>10</v>
      </c>
      <c r="D97" s="63">
        <v>28</v>
      </c>
      <c r="E97" s="93"/>
      <c r="F97" s="93"/>
      <c r="G97" s="93"/>
      <c r="H97" s="93"/>
      <c r="I97" s="56">
        <f t="shared" si="3"/>
        <v>8.8000000000000007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>
        <v>70</v>
      </c>
      <c r="B98" s="63">
        <v>302</v>
      </c>
      <c r="C98" s="63">
        <v>11</v>
      </c>
      <c r="D98" s="63">
        <v>28</v>
      </c>
      <c r="E98" s="93"/>
      <c r="F98" s="93"/>
      <c r="G98" s="93"/>
      <c r="H98" s="93"/>
      <c r="I98" s="56">
        <f t="shared" si="3"/>
        <v>8.1999999999999993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>
        <v>75</v>
      </c>
      <c r="B99" s="63">
        <v>312</v>
      </c>
      <c r="C99" s="63">
        <v>12</v>
      </c>
      <c r="D99" s="63">
        <v>28</v>
      </c>
      <c r="E99" s="93"/>
      <c r="F99" s="93"/>
      <c r="G99" s="93"/>
      <c r="H99" s="93"/>
      <c r="I99" s="56">
        <f t="shared" si="3"/>
        <v>7.6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>
        <v>80</v>
      </c>
      <c r="B100" s="63">
        <v>320</v>
      </c>
      <c r="C100" s="63">
        <v>13</v>
      </c>
      <c r="D100" s="63">
        <v>28</v>
      </c>
      <c r="E100" s="68"/>
      <c r="F100" s="68"/>
      <c r="G100" s="68"/>
      <c r="H100" s="68"/>
      <c r="I100" s="56">
        <f t="shared" si="3"/>
        <v>7.2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>
        <v>85</v>
      </c>
      <c r="B101" s="63">
        <v>326</v>
      </c>
      <c r="C101" s="63">
        <v>14</v>
      </c>
      <c r="D101" s="63">
        <v>28</v>
      </c>
      <c r="E101" s="68"/>
      <c r="F101" s="68"/>
      <c r="G101" s="68"/>
      <c r="H101" s="68"/>
      <c r="I101" s="56">
        <f t="shared" si="3"/>
        <v>6.8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>
        <v>90</v>
      </c>
      <c r="B102" s="53">
        <v>330</v>
      </c>
      <c r="C102" s="63">
        <v>15</v>
      </c>
      <c r="D102" s="53">
        <v>28</v>
      </c>
      <c r="E102" s="57"/>
      <c r="F102" s="57"/>
      <c r="G102" s="57"/>
      <c r="H102" s="57"/>
      <c r="I102" s="56">
        <f t="shared" si="3"/>
        <v>6.4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>
        <v>95</v>
      </c>
      <c r="B103" s="53">
        <v>333</v>
      </c>
      <c r="C103" s="63">
        <v>16</v>
      </c>
      <c r="D103" s="53">
        <v>28</v>
      </c>
      <c r="E103" s="57"/>
      <c r="F103" s="57"/>
      <c r="G103" s="57"/>
      <c r="H103" s="57"/>
      <c r="I103" s="56">
        <f t="shared" si="3"/>
        <v>6.2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>
        <v>100</v>
      </c>
      <c r="B104" s="53">
        <v>333</v>
      </c>
      <c r="C104" s="63">
        <v>17</v>
      </c>
      <c r="D104" s="53">
        <v>27</v>
      </c>
      <c r="E104" s="57"/>
      <c r="F104" s="57"/>
      <c r="G104" s="57"/>
      <c r="H104" s="57"/>
      <c r="I104" s="56">
        <f t="shared" si="3"/>
        <v>5.6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>
        <v>105</v>
      </c>
      <c r="B105" s="53">
        <v>333</v>
      </c>
      <c r="C105" s="53">
        <v>18</v>
      </c>
      <c r="D105" s="53">
        <v>26</v>
      </c>
      <c r="E105" s="57"/>
      <c r="F105" s="57"/>
      <c r="G105" s="57"/>
      <c r="H105" s="57"/>
      <c r="I105" s="56">
        <f t="shared" si="3"/>
        <v>5.4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>
        <v>110</v>
      </c>
      <c r="B106" s="53">
        <v>332</v>
      </c>
      <c r="C106" s="53">
        <v>19</v>
      </c>
      <c r="D106" s="53">
        <v>25</v>
      </c>
      <c r="E106" s="57"/>
      <c r="F106" s="57"/>
      <c r="G106" s="57"/>
      <c r="H106" s="57"/>
      <c r="I106" s="56">
        <f t="shared" si="3"/>
        <v>5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>
        <v>115</v>
      </c>
      <c r="B107" s="53">
        <v>321</v>
      </c>
      <c r="C107" s="53">
        <v>20</v>
      </c>
      <c r="D107" s="53">
        <v>321</v>
      </c>
      <c r="E107" s="57"/>
      <c r="F107" s="57"/>
      <c r="G107" s="57"/>
      <c r="H107" s="57"/>
      <c r="I107" s="56">
        <f t="shared" si="3"/>
        <v>2.8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>Mélèze hybride</v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>
        <v>10</v>
      </c>
      <c r="B114" s="63">
        <v>83</v>
      </c>
      <c r="C114" s="53">
        <v>1</v>
      </c>
      <c r="D114" s="63">
        <v>26</v>
      </c>
      <c r="E114" s="54"/>
      <c r="F114" s="54"/>
      <c r="G114" s="54">
        <v>1</v>
      </c>
      <c r="H114" s="54"/>
      <c r="I114" s="56">
        <f>IFERROR(B114/A114,"")</f>
        <v>8.3000000000000007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>
        <v>15</v>
      </c>
      <c r="B115" s="63">
        <v>175</v>
      </c>
      <c r="C115" s="53">
        <v>2</v>
      </c>
      <c r="D115" s="63">
        <v>54</v>
      </c>
      <c r="E115" s="54"/>
      <c r="F115" s="54"/>
      <c r="G115" s="54">
        <v>1</v>
      </c>
      <c r="H115" s="54"/>
      <c r="I115" s="56">
        <f t="shared" ref="I115:I133" si="4">IF(A115&lt;&gt;0,(B115-(B114-D114))/(A115-A114),"")</f>
        <v>23.6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>
        <v>20</v>
      </c>
      <c r="B116" s="63">
        <v>246</v>
      </c>
      <c r="C116" s="53">
        <v>3</v>
      </c>
      <c r="D116" s="63">
        <v>61</v>
      </c>
      <c r="E116" s="54"/>
      <c r="F116" s="54"/>
      <c r="G116" s="54">
        <v>1</v>
      </c>
      <c r="H116" s="54"/>
      <c r="I116" s="56">
        <f t="shared" si="4"/>
        <v>25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>
        <v>25</v>
      </c>
      <c r="B117" s="63">
        <v>295</v>
      </c>
      <c r="C117" s="53">
        <v>4</v>
      </c>
      <c r="D117" s="63">
        <v>57</v>
      </c>
      <c r="E117" s="54">
        <v>0.15</v>
      </c>
      <c r="F117" s="54">
        <v>0.4</v>
      </c>
      <c r="G117" s="54">
        <v>0.45</v>
      </c>
      <c r="H117" s="54"/>
      <c r="I117" s="56">
        <f t="shared" si="4"/>
        <v>22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>
        <v>30</v>
      </c>
      <c r="B118" s="63">
        <v>327</v>
      </c>
      <c r="C118" s="53">
        <v>5</v>
      </c>
      <c r="D118" s="63">
        <v>48</v>
      </c>
      <c r="E118" s="54">
        <v>0.2</v>
      </c>
      <c r="F118" s="54">
        <v>0.4</v>
      </c>
      <c r="G118" s="54">
        <v>0.4</v>
      </c>
      <c r="H118" s="54"/>
      <c r="I118" s="56">
        <f t="shared" si="4"/>
        <v>17.8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>
        <v>35</v>
      </c>
      <c r="B119" s="63">
        <v>347</v>
      </c>
      <c r="C119" s="53">
        <v>6</v>
      </c>
      <c r="D119" s="63">
        <v>38</v>
      </c>
      <c r="E119" s="54"/>
      <c r="F119" s="54"/>
      <c r="G119" s="54"/>
      <c r="H119" s="54"/>
      <c r="I119" s="56">
        <f t="shared" si="4"/>
        <v>13.6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>
        <v>40</v>
      </c>
      <c r="B120" s="63">
        <v>360</v>
      </c>
      <c r="C120" s="63">
        <v>7</v>
      </c>
      <c r="D120" s="63">
        <v>28</v>
      </c>
      <c r="E120" s="93"/>
      <c r="F120" s="93"/>
      <c r="G120" s="93"/>
      <c r="H120" s="93"/>
      <c r="I120" s="56">
        <f t="shared" si="4"/>
        <v>10.199999999999999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>
        <v>45</v>
      </c>
      <c r="B121" s="63">
        <v>369</v>
      </c>
      <c r="C121" s="63">
        <v>8</v>
      </c>
      <c r="D121" s="63">
        <v>21</v>
      </c>
      <c r="E121" s="93"/>
      <c r="F121" s="93"/>
      <c r="G121" s="93"/>
      <c r="H121" s="93"/>
      <c r="I121" s="56">
        <f t="shared" si="4"/>
        <v>7.4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>
        <v>50</v>
      </c>
      <c r="B122" s="63">
        <v>374</v>
      </c>
      <c r="C122" s="63">
        <v>9</v>
      </c>
      <c r="D122" s="63">
        <v>374</v>
      </c>
      <c r="E122" s="93"/>
      <c r="F122" s="93"/>
      <c r="G122" s="93"/>
      <c r="H122" s="93"/>
      <c r="I122" s="56">
        <f t="shared" si="4"/>
        <v>5.2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>Châtaignier</v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>
        <v>20</v>
      </c>
      <c r="B140" s="63">
        <v>132</v>
      </c>
      <c r="C140" s="53">
        <v>1</v>
      </c>
      <c r="D140" s="63">
        <v>50</v>
      </c>
      <c r="E140" s="54"/>
      <c r="F140" s="54"/>
      <c r="G140" s="54"/>
      <c r="H140" s="54">
        <v>1</v>
      </c>
      <c r="I140" s="60">
        <f>IFERROR(B140/A140,"")</f>
        <v>6.6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>
        <v>25</v>
      </c>
      <c r="B141" s="63">
        <v>143</v>
      </c>
      <c r="C141" s="53">
        <v>2</v>
      </c>
      <c r="D141" s="63">
        <v>37</v>
      </c>
      <c r="E141" s="54"/>
      <c r="F141" s="54">
        <v>0.5</v>
      </c>
      <c r="G141" s="54">
        <v>0.5</v>
      </c>
      <c r="H141" s="54"/>
      <c r="I141" s="60">
        <f t="shared" ref="I141:I159" si="5">IF(A141&lt;&gt;0,(B141-(B140-D140))/(A141-A140),"")</f>
        <v>12.2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>
        <v>30</v>
      </c>
      <c r="B142" s="63">
        <v>163</v>
      </c>
      <c r="C142" s="53">
        <v>3</v>
      </c>
      <c r="D142" s="63">
        <v>37</v>
      </c>
      <c r="E142" s="54"/>
      <c r="F142" s="54">
        <v>0.5</v>
      </c>
      <c r="G142" s="54">
        <v>0.5</v>
      </c>
      <c r="H142" s="54"/>
      <c r="I142" s="60">
        <f t="shared" si="5"/>
        <v>11.4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>
        <v>35</v>
      </c>
      <c r="B143" s="63">
        <v>179</v>
      </c>
      <c r="C143" s="53">
        <v>4</v>
      </c>
      <c r="D143" s="63">
        <v>36</v>
      </c>
      <c r="E143" s="54"/>
      <c r="F143" s="54"/>
      <c r="G143" s="54"/>
      <c r="H143" s="54"/>
      <c r="I143" s="60">
        <f t="shared" si="5"/>
        <v>10.6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>
        <v>40</v>
      </c>
      <c r="B144" s="63">
        <v>191</v>
      </c>
      <c r="C144" s="53">
        <v>5</v>
      </c>
      <c r="D144" s="63">
        <v>33</v>
      </c>
      <c r="E144" s="54"/>
      <c r="F144" s="54"/>
      <c r="G144" s="54"/>
      <c r="H144" s="54"/>
      <c r="I144" s="60">
        <f t="shared" si="5"/>
        <v>9.6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>
        <v>45</v>
      </c>
      <c r="B145" s="63">
        <v>201</v>
      </c>
      <c r="C145" s="53">
        <v>6</v>
      </c>
      <c r="D145" s="63">
        <v>31</v>
      </c>
      <c r="E145" s="54"/>
      <c r="F145" s="54"/>
      <c r="G145" s="54"/>
      <c r="H145" s="54"/>
      <c r="I145" s="60">
        <f t="shared" si="5"/>
        <v>8.6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>
        <v>50</v>
      </c>
      <c r="B146" s="63">
        <v>209</v>
      </c>
      <c r="C146" s="53">
        <v>7</v>
      </c>
      <c r="D146" s="63">
        <v>28</v>
      </c>
      <c r="E146" s="54"/>
      <c r="F146" s="54"/>
      <c r="G146" s="54"/>
      <c r="H146" s="54"/>
      <c r="I146" s="60">
        <f t="shared" si="5"/>
        <v>7.8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>
        <v>55</v>
      </c>
      <c r="B147" s="63">
        <v>215</v>
      </c>
      <c r="C147" s="53">
        <v>8</v>
      </c>
      <c r="D147" s="63">
        <v>25</v>
      </c>
      <c r="E147" s="54"/>
      <c r="F147" s="54"/>
      <c r="G147" s="54"/>
      <c r="H147" s="54"/>
      <c r="I147" s="60">
        <f>IF(A147&lt;&gt;0,(B147-(B146-D146))/(A147-A146),"")</f>
        <v>6.8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>
        <v>60</v>
      </c>
      <c r="B148" s="63">
        <v>220</v>
      </c>
      <c r="C148" s="53">
        <v>9</v>
      </c>
      <c r="D148" s="63">
        <v>22</v>
      </c>
      <c r="E148" s="54"/>
      <c r="F148" s="54"/>
      <c r="G148" s="54"/>
      <c r="H148" s="54"/>
      <c r="I148" s="60">
        <f t="shared" si="5"/>
        <v>6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>
        <v>65</v>
      </c>
      <c r="B149" s="63">
        <v>224</v>
      </c>
      <c r="C149" s="53">
        <v>10</v>
      </c>
      <c r="D149" s="63">
        <v>20</v>
      </c>
      <c r="E149" s="54"/>
      <c r="F149" s="54"/>
      <c r="G149" s="54"/>
      <c r="H149" s="54"/>
      <c r="I149" s="60">
        <f t="shared" si="5"/>
        <v>5.2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>
        <v>70</v>
      </c>
      <c r="B150" s="63">
        <v>227</v>
      </c>
      <c r="C150" s="53">
        <v>11</v>
      </c>
      <c r="D150" s="63">
        <v>17</v>
      </c>
      <c r="E150" s="54"/>
      <c r="F150" s="54"/>
      <c r="G150" s="54"/>
      <c r="H150" s="54"/>
      <c r="I150" s="60">
        <f t="shared" si="5"/>
        <v>4.5999999999999996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>
        <v>75</v>
      </c>
      <c r="B151" s="63">
        <v>230</v>
      </c>
      <c r="C151" s="53">
        <v>12</v>
      </c>
      <c r="D151" s="63">
        <v>15</v>
      </c>
      <c r="E151" s="54"/>
      <c r="F151" s="54"/>
      <c r="G151" s="54"/>
      <c r="H151" s="54"/>
      <c r="I151" s="60">
        <f t="shared" si="5"/>
        <v>4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>
        <v>80</v>
      </c>
      <c r="B152" s="63">
        <v>232</v>
      </c>
      <c r="C152" s="53">
        <v>13</v>
      </c>
      <c r="D152" s="63">
        <v>13</v>
      </c>
      <c r="E152" s="57"/>
      <c r="F152" s="57"/>
      <c r="G152" s="57"/>
      <c r="H152" s="57"/>
      <c r="I152" s="60">
        <f t="shared" si="5"/>
        <v>3.4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>
        <v>85</v>
      </c>
      <c r="B153" s="63">
        <v>234</v>
      </c>
      <c r="C153" s="53">
        <v>14</v>
      </c>
      <c r="D153" s="63">
        <v>12</v>
      </c>
      <c r="E153" s="57"/>
      <c r="F153" s="57"/>
      <c r="G153" s="57"/>
      <c r="H153" s="57"/>
      <c r="I153" s="60">
        <f t="shared" si="5"/>
        <v>3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>
        <v>90</v>
      </c>
      <c r="B154" s="59">
        <v>236</v>
      </c>
      <c r="C154" s="53">
        <v>15</v>
      </c>
      <c r="D154" s="53">
        <v>236</v>
      </c>
      <c r="E154" s="57"/>
      <c r="F154" s="57"/>
      <c r="G154" s="57"/>
      <c r="H154" s="57"/>
      <c r="I154" s="60">
        <f t="shared" si="5"/>
        <v>2.8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4" sqref="G24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138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0.71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0.28999999999999998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Douglas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Chêne rouge d'Amérique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>Chêne sessile</v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>Mélèze hybride</v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>Châtaignier</v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3.55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13.016666666666666</v>
      </c>
      <c r="H3" s="70">
        <f>(B3+E3+F3)*44/12+(C3+D3)*0.475*44/12</f>
        <v>204.6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52.25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191.58333333333334</v>
      </c>
      <c r="S3" s="62">
        <f ca="1">AVERAGE(OFFSET($R$3,0,0,'Données projet'!$E$9+1,1))-AVERAGE(OFFSET($H$3,0,0,'Données projet'!$E$9+1,1))</f>
        <v>455.44531340185631</v>
      </c>
      <c r="T3" s="62">
        <f>IF('Données projet'!E9&gt;30,$R$33-$H$33,LOOKUP('Données projet'!$E$9,$A$3:$A$203,R3:R203)-LOOKUP('Données projet'!$E$9,$A$3:$A$203,$H$3:$H$203))</f>
        <v>560.14861617544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52.25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191.58333333333334</v>
      </c>
      <c r="AN3" s="62">
        <f ca="1">AVERAGE(OFFSET($AM$3,0,0,'Données projet'!$E$10+1,1))-AVERAGE(OFFSET($H$3,0,0,'Données projet'!$E$10+1,1))</f>
        <v>335.71510570470264</v>
      </c>
      <c r="AO3" s="62">
        <f>IF('Données projet'!E10&gt;30,$AM$33-$H$33,LOOKUP('Données projet'!$E$10,$A$3:$A$203,AM3:AM203)-LOOKUP('Données projet'!$E$10,$A$3:$A$203,$H$3:$H$203))</f>
        <v>401.61823018046482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52.25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191.58333333333334</v>
      </c>
      <c r="BI3" s="62">
        <f ca="1">AVERAGE(OFFSET($BH$3,0,0,'Données projet'!$E$11+1,1))-AVERAGE(OFFSET($H$3,0,0,'Données projet'!$E$11+1,1))</f>
        <v>462.677457131175</v>
      </c>
      <c r="BJ3" s="62">
        <f>IF('Données projet'!E11&gt;30,$BH$33-$H$33,LOOKUP('Données projet'!$E$11,$A$3:$A$203,BH3:BH203)-LOOKUP('Données projet'!$E$11,$A$3:$A$203,$H$3:$H$203))</f>
        <v>291.78368401945909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52.25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191.58333333333334</v>
      </c>
      <c r="CD3" s="62">
        <f ca="1">AVERAGE(OFFSET($CC$3,0,0,'Données projet'!$E$12+1,1))-AVERAGE(OFFSET($H$3,0,0,'Données projet'!$E$12+1,1))</f>
        <v>302.37244372118971</v>
      </c>
      <c r="CE3" s="62">
        <f>IF('Données projet'!E12&gt;30,$CC$33-$H$33,LOOKUP('Données projet'!$E$12,$A$3:$A$203,CC3:CC203)-LOOKUP('Données projet'!$E$12,$A$3:$A$203,$H$3:$H$203))</f>
        <v>439.56450354660171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52.25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191.58333333333334</v>
      </c>
      <c r="CY3" s="62">
        <f ca="1">AVERAGE(OFFSET($CX$3,0,0,'Données projet'!$E$13+1,1))-AVERAGE(OFFSET($H$3,0,0,'Données projet'!$E$13+1,1))</f>
        <v>300.12722359176314</v>
      </c>
      <c r="CZ3" s="62">
        <f>IF('Données projet'!E13&gt;30,$CX$33-$H$33,LOOKUP('Données projet'!$E$13,$A$3:$A$203,CX3:CX203)-LOOKUP('Données projet'!$E$13,$A$3:$A$203,$H$3:$H$203))</f>
        <v>313.35115626175946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52.25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52.25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52.25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52.25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52.25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3.55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13.016666666666666</v>
      </c>
      <c r="H4" s="70">
        <f t="shared" ref="H4:H67" si="1">(B4+E4+F4)*44/12+(C4+D4)*0.475*44/12</f>
        <v>204.6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52.557922816944945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8.526315789473685</v>
      </c>
      <c r="N4" s="14">
        <f>IF('Données projet'!$A$36&gt;35,N3+M4-V3,IF(A4&lt;'Données projet'!$A$36,$K$205^A4,IF(A4='Données projet'!$A$36,'Données projet'!$B$36,N3+M4-V3)))</f>
        <v>1.3070441688874561</v>
      </c>
      <c r="O4" s="14">
        <f>N4*VLOOKUP('Données projet'!$B$9,Paramètres!$A$1:$I$89,3,0)*VLOOKUP('Données projet'!$B$9,Paramètres!$A$1:$I$89,5,0)</f>
        <v>0.73063769040808801</v>
      </c>
      <c r="P4" s="14">
        <f>EXP(-1.0587+0.8836*LN(O4)+0.284)</f>
        <v>0.34923616900555043</v>
      </c>
      <c r="Q4" s="22">
        <f t="shared" ref="Q4:Q34" si="2">(O4+P4)*0.475*44/12</f>
        <v>1.8807803051454206</v>
      </c>
      <c r="R4" s="62">
        <f t="shared" si="0"/>
        <v>195.81538618949909</v>
      </c>
      <c r="S4" s="62">
        <f ca="1">AVERAGE(OFFSET($R$3,0,0,'Données projet'!$E$9+1,1))-AVERAGE(OFFSET($H$3,0,0,'Données projet'!$E$9+1,1))</f>
        <v>455.44531340185631</v>
      </c>
      <c r="T4" s="62">
        <f>$T$3</f>
        <v>560.14861617544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52.557922816944945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5.8</v>
      </c>
      <c r="AI4" s="14">
        <f>IF('Données projet'!$A$62&gt;35,AI3+AH4-AQ3,IF(A4&lt;'Données projet'!$A$62,$AF$205^A4,IF(A4='Données projet'!$A$62,'Données projet'!$B$62,AI3+AH4-AQ3)))</f>
        <v>1.3467943429205997</v>
      </c>
      <c r="AJ4" s="14">
        <f>AI4*VLOOKUP('Données projet'!$B$10,Paramètres!$A$1:$I$89,3,0)*VLOOKUP('Données projet'!$B$10,Paramètres!$A$1:$I$89,5,0)</f>
        <v>1.1765595379754361</v>
      </c>
      <c r="AK4" s="14">
        <f>EXP(-1.0587+0.8836*LN(AJ4)+0.284)</f>
        <v>0.53204273185561757</v>
      </c>
      <c r="AL4" s="22">
        <f t="shared" ref="AL4:AL67" si="4">(AJ4+AK4)*0.475*44/12</f>
        <v>2.9758156199557515</v>
      </c>
      <c r="AM4" s="62">
        <f t="shared" ref="AM4:AM67" si="5">AL4+(AD4+AE4)*44/12</f>
        <v>196.91042150430943</v>
      </c>
      <c r="AN4" s="62">
        <f ca="1">AVERAGE(OFFSET($AM$3,0,0,'Données projet'!$E$10+1,1))-AVERAGE(OFFSET($H$3,0,0,'Données projet'!$E$10+1,1))</f>
        <v>335.71510570470264</v>
      </c>
      <c r="AO4" s="62">
        <f>$AO$3</f>
        <v>401.61823018046482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52.557922816944945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3.65</v>
      </c>
      <c r="BD4" s="13">
        <f>IF('Données projet'!$A$88&gt;35,BD3+BC4-BL3,IF(A4&lt;'Données projet'!$A$88,$BA$205^A4,IF(A4='Données projet'!$A$88,'Données projet'!$B$88,BD3+BC4-BL3)))</f>
        <v>1.2392705892426346</v>
      </c>
      <c r="BE4" s="14">
        <f>BD4*VLOOKUP('Données projet'!$B$11,Paramètres!$A$1:$I$89,3,0)*VLOOKUP('Données projet'!$B$11,Paramètres!$A$1:$I$89,5,0)</f>
        <v>1.1212920291467359</v>
      </c>
      <c r="BF4" s="14">
        <f>EXP(-1.0587+0.8836*LN(BE4)+0.284)</f>
        <v>0.50989827066551541</v>
      </c>
      <c r="BG4" s="22">
        <f t="shared" ref="BG4:BG67" si="7">(BE4+BF4)*0.475*44/12</f>
        <v>2.8409897721730037</v>
      </c>
      <c r="BH4" s="62">
        <f t="shared" ref="BH4:BH67" si="8">BG4+(AY4+AZ4)*44/12</f>
        <v>196.77559565652669</v>
      </c>
      <c r="BI4" s="62">
        <f ca="1">AVERAGE(OFFSET($BH$3,0,0,'Données projet'!$E$11+1,1))-AVERAGE(OFFSET($H$3,0,0,'Données projet'!$E$11+1,1))</f>
        <v>462.677457131175</v>
      </c>
      <c r="BJ4" s="62">
        <f>$BJ$3</f>
        <v>291.78368401945909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52.557922816944945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8.3000000000000007</v>
      </c>
      <c r="BY4" s="13">
        <f>IF('Données projet'!$A$114&gt;35,BY3+BX4-CG3,IF(A4&lt;'Données projet'!$A$114,$BV$205^A4,IF(A4='Données projet'!$A$114,'Données projet'!$B$114,BY3+BX4-CG3)))</f>
        <v>1.5556353708263266</v>
      </c>
      <c r="BZ4" s="14">
        <f>BY4*VLOOKUP('Données projet'!$B$12,Paramètres!$A$1:$I$89,3,0)*VLOOKUP('Données projet'!$B$12,Paramètres!$A$1:$I$89,5,0)</f>
        <v>0.84937691247117442</v>
      </c>
      <c r="CA4" s="14">
        <f>EXP(-1.0587+0.8836*LN(BZ4)+0.284)</f>
        <v>0.39893783292559054</v>
      </c>
      <c r="CB4" s="22">
        <f t="shared" ref="CB4:CB67" si="10">(BZ4+CA4)*0.475*44/12</f>
        <v>2.1741481815660317</v>
      </c>
      <c r="CC4" s="62">
        <f t="shared" ref="CC4:CC67" si="11">CB4+(BT4+BU4)*44/12</f>
        <v>196.10875406591973</v>
      </c>
      <c r="CD4" s="62">
        <f ca="1">AVERAGE(OFFSET($CC$3,0,0,'Données projet'!$E$12+1,1))-AVERAGE(OFFSET($H$3,0,0,'Données projet'!$E$12+1,1))</f>
        <v>302.37244372118971</v>
      </c>
      <c r="CE4" s="62">
        <f>$CE$3</f>
        <v>439.56450354660171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52.557922816944945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6.6</v>
      </c>
      <c r="CT4" s="13">
        <f>IF('Données projet'!$A$140&gt;35,CT3+CS4-DB3,IF(A4&lt;'Données projet'!$A$140,$CQ$205^A4,IF(A4='Données projet'!$A$140,'Données projet'!$B$140,CT3+CS4-DB3)))</f>
        <v>1.2765231539157764</v>
      </c>
      <c r="CU4" s="18">
        <f>CT4*VLOOKUP('Données projet'!$B$13,Paramètres!$A$1:$I$89,3,0)*VLOOKUP('Données projet'!$B$13,Paramètres!$A$1:$I$89,5,0)</f>
        <v>0.93594677645104729</v>
      </c>
      <c r="CV4" s="14">
        <f>EXP(-1.0587+0.8836*LN(CU4)+0.284)</f>
        <v>0.434659907783844</v>
      </c>
      <c r="CW4" s="22">
        <f t="shared" ref="CW4:CW67" si="13">(CU4+CV4)*0.475*44/12</f>
        <v>2.3871399750424356</v>
      </c>
      <c r="CX4" s="62">
        <f t="shared" ref="CX4:CX67" si="14">CW4+(CO4+CP4)*44/12</f>
        <v>196.32174585939612</v>
      </c>
      <c r="CY4" s="62">
        <f ca="1">AVERAGE(OFFSET($CX$3,0,0,'Données projet'!$E$13+1,1))-AVERAGE(OFFSET($H$3,0,0,'Données projet'!$E$13+1,1))</f>
        <v>300.12722359176314</v>
      </c>
      <c r="CZ4" s="62">
        <f>$CZ$3</f>
        <v>313.35115626175946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52.557922816944945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52.557922816944945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52.557922816944945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52.557922816944945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52.557922816944945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3.55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13.016666666666666</v>
      </c>
      <c r="H5" s="70">
        <f t="shared" si="1"/>
        <v>204.6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52.860503861428192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8.526315789473685</v>
      </c>
      <c r="N5" s="14">
        <f>IF('Données projet'!$A$36&gt;35,N4+M5-V4,IF(A5&lt;'Données projet'!$A$36,$K$205^A5,IF(A5='Données projet'!$A$36,'Données projet'!$B$36,N4+M5-V4)))</f>
        <v>1.708364459422701</v>
      </c>
      <c r="O5" s="14">
        <f>N5*VLOOKUP('Données projet'!$B$9,Paramètres!$A$1:$I$89,3,0)*VLOOKUP('Données projet'!$B$9,Paramètres!$A$1:$I$89,5,0)</f>
        <v>0.95497573281728976</v>
      </c>
      <c r="P5" s="14">
        <f t="shared" ref="P5:P68" si="33">EXP(-1.0587+0.8836*LN(O5)+0.284)</f>
        <v>0.44245926414263009</v>
      </c>
      <c r="Q5" s="22">
        <f t="shared" si="2"/>
        <v>2.4338659530385267</v>
      </c>
      <c r="R5" s="62">
        <f t="shared" si="0"/>
        <v>198.70015788938633</v>
      </c>
      <c r="S5" s="62">
        <f ca="1">AVERAGE(OFFSET($R$3,0,0,'Données projet'!$E$9+1,1))-AVERAGE(OFFSET($H$3,0,0,'Données projet'!$E$9+1,1))</f>
        <v>455.44531340185631</v>
      </c>
      <c r="T5" s="62">
        <f t="shared" ref="T5:T68" si="34">$T$3</f>
        <v>560.14861617544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52.860503861428192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5.8</v>
      </c>
      <c r="AI5" s="14">
        <f>IF('Données projet'!$A$62&gt;35,AI4+AH5-AQ4,IF(A5&lt;'Données projet'!$A$62,$AF$205^A5,IF(A5='Données projet'!$A$62,'Données projet'!$B$62,AI4+AH5-AQ4)))</f>
        <v>1.81385500212293</v>
      </c>
      <c r="AJ5" s="14">
        <f>AI5*VLOOKUP('Données projet'!$B$10,Paramètres!$A$1:$I$89,3,0)*VLOOKUP('Données projet'!$B$10,Paramètres!$A$1:$I$89,5,0)</f>
        <v>1.5845837298545919</v>
      </c>
      <c r="AK5" s="14">
        <f t="shared" ref="AK5:AK68" si="35">EXP(-1.0587+0.8836*LN(AJ5)+0.284)</f>
        <v>0.69214506839939893</v>
      </c>
      <c r="AL5" s="22">
        <f t="shared" si="4"/>
        <v>3.9653026569590337</v>
      </c>
      <c r="AM5" s="62">
        <f t="shared" si="5"/>
        <v>200.23159459330685</v>
      </c>
      <c r="AN5" s="62">
        <f ca="1">AVERAGE(OFFSET($AM$3,0,0,'Données projet'!$E$10+1,1))-AVERAGE(OFFSET($H$3,0,0,'Données projet'!$E$10+1,1))</f>
        <v>335.71510570470264</v>
      </c>
      <c r="AO5" s="62">
        <f t="shared" ref="AO5:AO68" si="36">$AO$3</f>
        <v>401.61823018046482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52.860503861428192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3.65</v>
      </c>
      <c r="BD5" s="13">
        <f>IF('Données projet'!$A$88&gt;35,BD4+BC5-BL4,IF(A5&lt;'Données projet'!$A$88,$BA$205^A5,IF(A5='Données projet'!$A$88,'Données projet'!$B$88,BD4+BC5-BL4)))</f>
        <v>1.5357915933617867</v>
      </c>
      <c r="BE5" s="14">
        <f>BD5*VLOOKUP('Données projet'!$B$11,Paramètres!$A$1:$I$89,3,0)*VLOOKUP('Données projet'!$B$11,Paramètres!$A$1:$I$89,5,0)</f>
        <v>1.3895842336737447</v>
      </c>
      <c r="BF5" s="14">
        <f t="shared" ref="BF5:BF68" si="37">EXP(-1.0587+0.8836*LN(BE5)+0.284)</f>
        <v>0.61631841327304715</v>
      </c>
      <c r="BG5" s="22">
        <f t="shared" si="7"/>
        <v>3.4936137767656628</v>
      </c>
      <c r="BH5" s="62">
        <f t="shared" si="8"/>
        <v>199.75990571311348</v>
      </c>
      <c r="BI5" s="62">
        <f ca="1">AVERAGE(OFFSET($BH$3,0,0,'Données projet'!$E$11+1,1))-AVERAGE(OFFSET($H$3,0,0,'Données projet'!$E$11+1,1))</f>
        <v>462.677457131175</v>
      </c>
      <c r="BJ5" s="62">
        <f t="shared" ref="BJ5:BJ68" si="38">$BJ$3</f>
        <v>291.78368401945909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52.860503861428192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8.3000000000000007</v>
      </c>
      <c r="BY5" s="13">
        <f>IF('Données projet'!$A$114&gt;35,BY4+BX5-CG4,IF(A5&lt;'Données projet'!$A$114,$BV$205^A5,IF(A5='Données projet'!$A$114,'Données projet'!$B$114,BY4+BX5-CG4)))</f>
        <v>2.4200014069659628</v>
      </c>
      <c r="BZ5" s="14">
        <f>BY5*VLOOKUP('Données projet'!$B$12,Paramètres!$A$1:$I$89,3,0)*VLOOKUP('Données projet'!$B$12,Paramètres!$A$1:$I$89,5,0)</f>
        <v>1.3213207682034156</v>
      </c>
      <c r="CA5" s="14">
        <f t="shared" ref="CA5:CA68" si="39">EXP(-1.0587+0.8836*LN(BZ5)+0.284)</f>
        <v>0.58948799417314446</v>
      </c>
      <c r="CB5" s="22">
        <f t="shared" si="10"/>
        <v>3.3279919278058419</v>
      </c>
      <c r="CC5" s="62">
        <f t="shared" si="11"/>
        <v>199.59428386415365</v>
      </c>
      <c r="CD5" s="62">
        <f ca="1">AVERAGE(OFFSET($CC$3,0,0,'Données projet'!$E$12+1,1))-AVERAGE(OFFSET($H$3,0,0,'Données projet'!$E$12+1,1))</f>
        <v>302.37244372118971</v>
      </c>
      <c r="CE5" s="62">
        <f t="shared" ref="CE5:CE68" si="40">$CE$3</f>
        <v>439.56450354660171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52.860503861428192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6.6</v>
      </c>
      <c r="CT5" s="13">
        <f>IF('Données projet'!$A$140&gt;35,CT4+CS5-DB4,IF(A5&lt;'Données projet'!$A$140,$CQ$205^A5,IF(A5='Données projet'!$A$140,'Données projet'!$B$140,CT4+CS5-DB4)))</f>
        <v>1.629511362483081</v>
      </c>
      <c r="CU5" s="18">
        <f>CT5*VLOOKUP('Données projet'!$B$13,Paramètres!$A$1:$I$89,3,0)*VLOOKUP('Données projet'!$B$13,Paramètres!$A$1:$I$89,5,0)</f>
        <v>1.194757730972595</v>
      </c>
      <c r="CV5" s="14">
        <f t="shared" ref="CV5:CV68" si="41">EXP(-1.0587+0.8836*LN(CU5)+0.284)</f>
        <v>0.53930759917734161</v>
      </c>
      <c r="CW5" s="22">
        <f t="shared" si="13"/>
        <v>3.0201637833444726</v>
      </c>
      <c r="CX5" s="62">
        <f t="shared" si="14"/>
        <v>199.2864557196923</v>
      </c>
      <c r="CY5" s="62">
        <f ca="1">AVERAGE(OFFSET($CX$3,0,0,'Données projet'!$E$13+1,1))-AVERAGE(OFFSET($H$3,0,0,'Données projet'!$E$13+1,1))</f>
        <v>300.12722359176314</v>
      </c>
      <c r="CZ5" s="62">
        <f t="shared" ref="CZ5:CZ68" si="42">$CZ$3</f>
        <v>313.35115626175946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52.860503861428192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52.860503861428192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52.860503861428192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52.860503861428192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52.860503861428192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3.55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13.016666666666666</v>
      </c>
      <c r="H6" s="70">
        <f t="shared" si="1"/>
        <v>204.6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53.157835801259523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8.526315789473685</v>
      </c>
      <c r="N6" s="14">
        <f>IF('Données projet'!$A$36&gt;35,N5+M6-V5,IF(A6&lt;'Données projet'!$A$36,$K$205^A6,IF(A6='Données projet'!$A$36,'Données projet'!$B$36,N5+M6-V5)))</f>
        <v>2.2329078050230127</v>
      </c>
      <c r="O6" s="14">
        <f>N6*VLOOKUP('Données projet'!$B$9,Paramètres!$A$1:$I$89,3,0)*VLOOKUP('Données projet'!$B$9,Paramètres!$A$1:$I$89,5,0)</f>
        <v>1.248195463007864</v>
      </c>
      <c r="P6" s="14">
        <f t="shared" si="33"/>
        <v>0.56056679634040518</v>
      </c>
      <c r="Q6" s="22">
        <f t="shared" si="2"/>
        <v>3.1502609350315693</v>
      </c>
      <c r="R6" s="62">
        <f t="shared" si="0"/>
        <v>201.72899220631649</v>
      </c>
      <c r="S6" s="62">
        <f ca="1">AVERAGE(OFFSET($R$3,0,0,'Données projet'!$E$9+1,1))-AVERAGE(OFFSET($H$3,0,0,'Données projet'!$E$9+1,1))</f>
        <v>455.44531340185631</v>
      </c>
      <c r="T6" s="62">
        <f t="shared" si="34"/>
        <v>560.14861617544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53.157835801259523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5.8</v>
      </c>
      <c r="AI6" s="14">
        <f>IF('Données projet'!$A$62&gt;35,AI5+AH6-AQ5,IF(A6&lt;'Données projet'!$A$62,$AF$205^A6,IF(A6='Données projet'!$A$62,'Données projet'!$B$62,AI5+AH6-AQ5)))</f>
        <v>2.4428896557373947</v>
      </c>
      <c r="AJ6" s="14">
        <f>AI6*VLOOKUP('Données projet'!$B$10,Paramètres!$A$1:$I$89,3,0)*VLOOKUP('Données projet'!$B$10,Paramètres!$A$1:$I$89,5,0)</f>
        <v>2.1341084032521884</v>
      </c>
      <c r="AK6" s="14">
        <f t="shared" si="35"/>
        <v>0.90042541139273424</v>
      </c>
      <c r="AL6" s="22">
        <f t="shared" si="4"/>
        <v>5.2851463938399075</v>
      </c>
      <c r="AM6" s="62">
        <f t="shared" si="5"/>
        <v>203.86387766512482</v>
      </c>
      <c r="AN6" s="62">
        <f ca="1">AVERAGE(OFFSET($AM$3,0,0,'Données projet'!$E$10+1,1))-AVERAGE(OFFSET($H$3,0,0,'Données projet'!$E$10+1,1))</f>
        <v>335.71510570470264</v>
      </c>
      <c r="AO6" s="62">
        <f t="shared" si="36"/>
        <v>401.61823018046482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53.157835801259523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3.65</v>
      </c>
      <c r="BD6" s="13">
        <f>IF('Données projet'!$A$88&gt;35,BD5+BC6-BL5,IF(A6&lt;'Données projet'!$A$88,$BA$205^A6,IF(A6='Données projet'!$A$88,'Données projet'!$B$88,BD5+BC6-BL5)))</f>
        <v>1.9032613528593461</v>
      </c>
      <c r="BE6" s="14">
        <f>BD6*VLOOKUP('Données projet'!$B$11,Paramètres!$A$1:$I$89,3,0)*VLOOKUP('Données projet'!$B$11,Paramètres!$A$1:$I$89,5,0)</f>
        <v>1.7220708720671365</v>
      </c>
      <c r="BF6" s="14">
        <f t="shared" si="37"/>
        <v>0.74494935243383209</v>
      </c>
      <c r="BG6" s="22">
        <f t="shared" si="7"/>
        <v>4.2967268910058536</v>
      </c>
      <c r="BH6" s="62">
        <f t="shared" si="8"/>
        <v>202.87545816229076</v>
      </c>
      <c r="BI6" s="62">
        <f ca="1">AVERAGE(OFFSET($BH$3,0,0,'Données projet'!$E$11+1,1))-AVERAGE(OFFSET($H$3,0,0,'Données projet'!$E$11+1,1))</f>
        <v>462.677457131175</v>
      </c>
      <c r="BJ6" s="62">
        <f t="shared" si="38"/>
        <v>291.78368401945909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53.157835801259523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8.3000000000000007</v>
      </c>
      <c r="BY6" s="13">
        <f>IF('Données projet'!$A$114&gt;35,BY5+BX6-CG5,IF(A6&lt;'Données projet'!$A$114,$BV$205^A6,IF(A6='Données projet'!$A$114,'Données projet'!$B$114,BY5+BX6-CG5)))</f>
        <v>3.7646397861257279</v>
      </c>
      <c r="BZ6" s="14">
        <f>BY6*VLOOKUP('Données projet'!$B$12,Paramètres!$A$1:$I$89,3,0)*VLOOKUP('Données projet'!$B$12,Paramètres!$A$1:$I$89,5,0)</f>
        <v>2.0554933232246473</v>
      </c>
      <c r="CA6" s="14">
        <f t="shared" si="39"/>
        <v>0.8710532483869281</v>
      </c>
      <c r="CB6" s="22">
        <f t="shared" si="10"/>
        <v>5.0970686122234934</v>
      </c>
      <c r="CC6" s="62">
        <f t="shared" si="11"/>
        <v>203.6757998835084</v>
      </c>
      <c r="CD6" s="62">
        <f ca="1">AVERAGE(OFFSET($CC$3,0,0,'Données projet'!$E$12+1,1))-AVERAGE(OFFSET($H$3,0,0,'Données projet'!$E$12+1,1))</f>
        <v>302.37244372118971</v>
      </c>
      <c r="CE6" s="62">
        <f t="shared" si="40"/>
        <v>439.56450354660171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53.157835801259523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6.6</v>
      </c>
      <c r="CT6" s="13">
        <f>IF('Données projet'!$A$140&gt;35,CT5+CS6-DB5,IF(A6&lt;'Données projet'!$A$140,$CQ$205^A6,IF(A6='Données projet'!$A$140,'Données projet'!$B$140,CT5+CS6-DB5)))</f>
        <v>2.0801089837784965</v>
      </c>
      <c r="CU6" s="18">
        <f>CT6*VLOOKUP('Données projet'!$B$13,Paramètres!$A$1:$I$89,3,0)*VLOOKUP('Données projet'!$B$13,Paramètres!$A$1:$I$89,5,0)</f>
        <v>1.5251359069063937</v>
      </c>
      <c r="CV6" s="14">
        <f t="shared" si="41"/>
        <v>0.66915002125079581</v>
      </c>
      <c r="CW6" s="22">
        <f t="shared" si="13"/>
        <v>3.8217146582071053</v>
      </c>
      <c r="CX6" s="62">
        <f t="shared" si="14"/>
        <v>202.40044592949201</v>
      </c>
      <c r="CY6" s="62">
        <f ca="1">AVERAGE(OFFSET($CX$3,0,0,'Données projet'!$E$13+1,1))-AVERAGE(OFFSET($H$3,0,0,'Données projet'!$E$13+1,1))</f>
        <v>300.12722359176314</v>
      </c>
      <c r="CZ6" s="62">
        <f t="shared" si="42"/>
        <v>313.35115626175946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53.157835801259523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53.157835801259523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53.157835801259523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53.157835801259523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53.157835801259523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3.55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13.016666666666666</v>
      </c>
      <c r="H7" s="70">
        <f t="shared" si="1"/>
        <v>204.6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53.450009696669412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8.526315789473685</v>
      </c>
      <c r="N7" s="14">
        <f>IF('Données projet'!$A$36&gt;35,N6+M7-V6,IF(A7&lt;'Données projet'!$A$36,$K$205^A7,IF(A7='Données projet'!$A$36,'Données projet'!$B$36,N6+M7-V6)))</f>
        <v>2.9185091262186176</v>
      </c>
      <c r="O7" s="14">
        <f>N7*VLOOKUP('Données projet'!$B$9,Paramètres!$A$1:$I$89,3,0)*VLOOKUP('Données projet'!$B$9,Paramètres!$A$1:$I$89,5,0)</f>
        <v>1.6314466015562072</v>
      </c>
      <c r="P7" s="14">
        <f t="shared" si="33"/>
        <v>0.71020127416305878</v>
      </c>
      <c r="Q7" s="22">
        <f t="shared" si="2"/>
        <v>4.0783700502110554</v>
      </c>
      <c r="R7" s="62">
        <f t="shared" si="0"/>
        <v>204.9506278268878</v>
      </c>
      <c r="S7" s="62">
        <f ca="1">AVERAGE(OFFSET($R$3,0,0,'Données projet'!$E$9+1,1))-AVERAGE(OFFSET($H$3,0,0,'Données projet'!$E$9+1,1))</f>
        <v>455.44531340185631</v>
      </c>
      <c r="T7" s="62">
        <f t="shared" si="34"/>
        <v>560.14861617544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53.450009696669412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5.8</v>
      </c>
      <c r="AI7" s="14">
        <f>IF('Données projet'!$A$62&gt;35,AI6+AH7-AQ6,IF(A7&lt;'Données projet'!$A$62,$AF$205^A7,IF(A7='Données projet'!$A$62,'Données projet'!$B$62,AI6+AH7-AQ6)))</f>
        <v>3.2900699687263746</v>
      </c>
      <c r="AJ7" s="14">
        <f>AI7*VLOOKUP('Données projet'!$B$10,Paramètres!$A$1:$I$89,3,0)*VLOOKUP('Données projet'!$B$10,Paramètres!$A$1:$I$89,5,0)</f>
        <v>2.874205124679361</v>
      </c>
      <c r="AK7" s="14">
        <f t="shared" si="35"/>
        <v>1.1713814899478936</v>
      </c>
      <c r="AL7" s="22">
        <f t="shared" si="4"/>
        <v>7.0460633538091342</v>
      </c>
      <c r="AM7" s="62">
        <f t="shared" si="5"/>
        <v>207.91832113048588</v>
      </c>
      <c r="AN7" s="62">
        <f ca="1">AVERAGE(OFFSET($AM$3,0,0,'Données projet'!$E$10+1,1))-AVERAGE(OFFSET($H$3,0,0,'Données projet'!$E$10+1,1))</f>
        <v>335.71510570470264</v>
      </c>
      <c r="AO7" s="62">
        <f t="shared" si="36"/>
        <v>401.61823018046482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53.450009696669412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3.65</v>
      </c>
      <c r="BD7" s="13">
        <f>IF('Données projet'!$A$88&gt;35,BD6+BC7-BL6,IF(A7&lt;'Données projet'!$A$88,$BA$205^A7,IF(A7='Données projet'!$A$88,'Données projet'!$B$88,BD6+BC7-BL6)))</f>
        <v>2.3586558182407358</v>
      </c>
      <c r="BE7" s="14">
        <f>BD7*VLOOKUP('Données projet'!$B$11,Paramètres!$A$1:$I$89,3,0)*VLOOKUP('Données projet'!$B$11,Paramètres!$A$1:$I$89,5,0)</f>
        <v>2.1341117843442179</v>
      </c>
      <c r="BF7" s="14">
        <f t="shared" si="37"/>
        <v>0.90042667189585779</v>
      </c>
      <c r="BG7" s="22">
        <f t="shared" si="7"/>
        <v>5.2851544779514645</v>
      </c>
      <c r="BH7" s="62">
        <f t="shared" si="8"/>
        <v>206.15741225462821</v>
      </c>
      <c r="BI7" s="62">
        <f ca="1">AVERAGE(OFFSET($BH$3,0,0,'Données projet'!$E$11+1,1))-AVERAGE(OFFSET($H$3,0,0,'Données projet'!$E$11+1,1))</f>
        <v>462.677457131175</v>
      </c>
      <c r="BJ7" s="62">
        <f t="shared" si="38"/>
        <v>291.78368401945909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53.450009696669412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8.3000000000000007</v>
      </c>
      <c r="BY7" s="13">
        <f>IF('Données projet'!$A$114&gt;35,BY6+BX7-CG6,IF(A7&lt;'Données projet'!$A$114,$BV$205^A7,IF(A7='Données projet'!$A$114,'Données projet'!$B$114,BY6+BX7-CG6)))</f>
        <v>5.8564068097172397</v>
      </c>
      <c r="BZ7" s="14">
        <f>BY7*VLOOKUP('Données projet'!$B$12,Paramètres!$A$1:$I$89,3,0)*VLOOKUP('Données projet'!$B$12,Paramètres!$A$1:$I$89,5,0)</f>
        <v>3.197598118105613</v>
      </c>
      <c r="CA7" s="14">
        <f t="shared" si="39"/>
        <v>1.2871063855841041</v>
      </c>
      <c r="CB7" s="22">
        <f t="shared" si="10"/>
        <v>7.8108603439262572</v>
      </c>
      <c r="CC7" s="62">
        <f t="shared" si="11"/>
        <v>208.68311812060301</v>
      </c>
      <c r="CD7" s="62">
        <f ca="1">AVERAGE(OFFSET($CC$3,0,0,'Données projet'!$E$12+1,1))-AVERAGE(OFFSET($H$3,0,0,'Données projet'!$E$12+1,1))</f>
        <v>302.37244372118971</v>
      </c>
      <c r="CE7" s="62">
        <f t="shared" si="40"/>
        <v>439.56450354660171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53.450009696669412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6.6</v>
      </c>
      <c r="CT7" s="13">
        <f>IF('Données projet'!$A$140&gt;35,CT6+CS7-DB6,IF(A7&lt;'Données projet'!$A$140,$CQ$205^A7,IF(A7='Données projet'!$A$140,'Données projet'!$B$140,CT6+CS7-DB6)))</f>
        <v>2.655307280461467</v>
      </c>
      <c r="CU7" s="18">
        <f>CT7*VLOOKUP('Données projet'!$B$13,Paramètres!$A$1:$I$89,3,0)*VLOOKUP('Données projet'!$B$13,Paramètres!$A$1:$I$89,5,0)</f>
        <v>1.9468712980343477</v>
      </c>
      <c r="CV7" s="14">
        <f t="shared" si="41"/>
        <v>0.83025299777521222</v>
      </c>
      <c r="CW7" s="22">
        <f t="shared" si="13"/>
        <v>4.8368248152016493</v>
      </c>
      <c r="CX7" s="62">
        <f t="shared" si="14"/>
        <v>205.7090825918784</v>
      </c>
      <c r="CY7" s="62">
        <f ca="1">AVERAGE(OFFSET($CX$3,0,0,'Données projet'!$E$13+1,1))-AVERAGE(OFFSET($H$3,0,0,'Données projet'!$E$13+1,1))</f>
        <v>300.12722359176314</v>
      </c>
      <c r="CZ7" s="62">
        <f t="shared" si="42"/>
        <v>313.35115626175946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53.450009696669412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53.450009696669412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53.450009696669412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53.450009696669412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53.450009696669412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3.55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13.016666666666666</v>
      </c>
      <c r="H8" s="70">
        <f t="shared" si="1"/>
        <v>204.6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53.737115028196918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8.526315789473685</v>
      </c>
      <c r="N8" s="14">
        <f>IF('Données projet'!$A$36&gt;35,N7+M8-V7,IF(A8&lt;'Données projet'!$A$36,$K$205^A8,IF(A8='Données projet'!$A$36,'Données projet'!$B$36,N7+M8-V7)))</f>
        <v>3.8146203352688688</v>
      </c>
      <c r="O8" s="14">
        <f>N8*VLOOKUP('Données projet'!$B$9,Paramètres!$A$1:$I$89,3,0)*VLOOKUP('Données projet'!$B$9,Paramètres!$A$1:$I$89,5,0)</f>
        <v>2.1323727674152977</v>
      </c>
      <c r="P8" s="14">
        <f t="shared" si="33"/>
        <v>0.89977831922200224</v>
      </c>
      <c r="Q8" s="22">
        <f t="shared" si="2"/>
        <v>5.2809964758932972</v>
      </c>
      <c r="R8" s="62">
        <f t="shared" si="0"/>
        <v>208.42819602372643</v>
      </c>
      <c r="S8" s="62">
        <f ca="1">AVERAGE(OFFSET($R$3,0,0,'Données projet'!$E$9+1,1))-AVERAGE(OFFSET($H$3,0,0,'Données projet'!$E$9+1,1))</f>
        <v>455.44531340185631</v>
      </c>
      <c r="T8" s="62">
        <f t="shared" si="34"/>
        <v>560.14861617544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53.737115028196918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5.8</v>
      </c>
      <c r="AI8" s="14">
        <f>IF('Données projet'!$A$62&gt;35,AI7+AH8-AQ7,IF(A8&lt;'Données projet'!$A$62,$AF$205^A8,IF(A8='Données projet'!$A$62,'Données projet'!$B$62,AI7+AH8-AQ7)))</f>
        <v>4.4310476216936356</v>
      </c>
      <c r="AJ8" s="14">
        <f>AI8*VLOOKUP('Données projet'!$B$10,Paramètres!$A$1:$I$89,3,0)*VLOOKUP('Données projet'!$B$10,Paramètres!$A$1:$I$89,5,0)</f>
        <v>3.8709632023115605</v>
      </c>
      <c r="AK8" s="14">
        <f t="shared" si="35"/>
        <v>1.5238736908481918</v>
      </c>
      <c r="AL8" s="22">
        <f t="shared" si="4"/>
        <v>9.3960075889199022</v>
      </c>
      <c r="AM8" s="62">
        <f t="shared" si="5"/>
        <v>212.54320713675304</v>
      </c>
      <c r="AN8" s="62">
        <f ca="1">AVERAGE(OFFSET($AM$3,0,0,'Données projet'!$E$10+1,1))-AVERAGE(OFFSET($H$3,0,0,'Données projet'!$E$10+1,1))</f>
        <v>335.71510570470264</v>
      </c>
      <c r="AO8" s="62">
        <f t="shared" si="36"/>
        <v>401.61823018046482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53.737115028196918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3.65</v>
      </c>
      <c r="BD8" s="13">
        <f>IF('Données projet'!$A$88&gt;35,BD7+BC8-BL7,IF(A8&lt;'Données projet'!$A$88,$BA$205^A8,IF(A8='Données projet'!$A$88,'Données projet'!$B$88,BD7+BC8-BL7)))</f>
        <v>2.9230127856917649</v>
      </c>
      <c r="BE8" s="14">
        <f>BD8*VLOOKUP('Données projet'!$B$11,Paramètres!$A$1:$I$89,3,0)*VLOOKUP('Données projet'!$B$11,Paramètres!$A$1:$I$89,5,0)</f>
        <v>2.6447419684939089</v>
      </c>
      <c r="BF8" s="14">
        <f t="shared" si="37"/>
        <v>1.0883534414958294</v>
      </c>
      <c r="BG8" s="22">
        <f t="shared" si="7"/>
        <v>6.5018078390654601</v>
      </c>
      <c r="BH8" s="62">
        <f t="shared" si="8"/>
        <v>209.6490073868986</v>
      </c>
      <c r="BI8" s="62">
        <f ca="1">AVERAGE(OFFSET($BH$3,0,0,'Données projet'!$E$11+1,1))-AVERAGE(OFFSET($H$3,0,0,'Données projet'!$E$11+1,1))</f>
        <v>462.677457131175</v>
      </c>
      <c r="BJ8" s="62">
        <f t="shared" si="38"/>
        <v>291.78368401945909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53.737115028196918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8.3000000000000007</v>
      </c>
      <c r="BY8" s="13">
        <f>IF('Données projet'!$A$114&gt;35,BY7+BX8-CG7,IF(A8&lt;'Données projet'!$A$114,$BV$205^A8,IF(A8='Données projet'!$A$114,'Données projet'!$B$114,BY7+BX8-CG7)))</f>
        <v>9.1104335791443027</v>
      </c>
      <c r="BZ8" s="14">
        <f>BY8*VLOOKUP('Données projet'!$B$12,Paramètres!$A$1:$I$89,3,0)*VLOOKUP('Données projet'!$B$12,Paramètres!$A$1:$I$89,5,0)</f>
        <v>4.9742967342127891</v>
      </c>
      <c r="CA8" s="14">
        <f t="shared" si="39"/>
        <v>1.9018847020882517</v>
      </c>
      <c r="CB8" s="22">
        <f t="shared" si="10"/>
        <v>11.976016001557646</v>
      </c>
      <c r="CC8" s="62">
        <f t="shared" si="11"/>
        <v>215.12321554939078</v>
      </c>
      <c r="CD8" s="62">
        <f ca="1">AVERAGE(OFFSET($CC$3,0,0,'Données projet'!$E$12+1,1))-AVERAGE(OFFSET($H$3,0,0,'Données projet'!$E$12+1,1))</f>
        <v>302.37244372118971</v>
      </c>
      <c r="CE8" s="62">
        <f t="shared" si="40"/>
        <v>439.56450354660171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53.737115028196918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6.6</v>
      </c>
      <c r="CT8" s="13">
        <f>IF('Données projet'!$A$140&gt;35,CT7+CS8-DB7,IF(A8&lt;'Données projet'!$A$140,$CQ$205^A8,IF(A8='Données projet'!$A$140,'Données projet'!$B$140,CT7+CS8-DB7)))</f>
        <v>3.3895612242701949</v>
      </c>
      <c r="CU8" s="18">
        <f>CT8*VLOOKUP('Données projet'!$B$13,Paramètres!$A$1:$I$89,3,0)*VLOOKUP('Données projet'!$B$13,Paramètres!$A$1:$I$89,5,0)</f>
        <v>2.4852262896349071</v>
      </c>
      <c r="CV8" s="14">
        <f t="shared" si="41"/>
        <v>1.0301427459065582</v>
      </c>
      <c r="CW8" s="22">
        <f t="shared" si="13"/>
        <v>6.1226010702347189</v>
      </c>
      <c r="CX8" s="62">
        <f t="shared" si="14"/>
        <v>209.26980061806785</v>
      </c>
      <c r="CY8" s="62">
        <f ca="1">AVERAGE(OFFSET($CX$3,0,0,'Données projet'!$E$13+1,1))-AVERAGE(OFFSET($H$3,0,0,'Données projet'!$E$13+1,1))</f>
        <v>300.12722359176314</v>
      </c>
      <c r="CZ8" s="62">
        <f t="shared" si="42"/>
        <v>313.35115626175946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53.737115028196918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53.737115028196918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53.737115028196918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53.737115028196918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53.737115028196918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3.55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13.016666666666666</v>
      </c>
      <c r="H9" s="70">
        <f t="shared" si="1"/>
        <v>204.6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54.019239724093779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8.526315789473685</v>
      </c>
      <c r="N9" s="14">
        <f>IF('Données projet'!$A$36&gt;35,N8+M9-V8,IF(A9&lt;'Données projet'!$A$36,$K$205^A9,IF(A9='Données projet'!$A$36,'Données projet'!$B$36,N8+M9-V8)))</f>
        <v>4.9858772657326877</v>
      </c>
      <c r="O9" s="14">
        <f>N9*VLOOKUP('Données projet'!$B$9,Paramètres!$A$1:$I$89,3,0)*VLOOKUP('Données projet'!$B$9,Paramètres!$A$1:$I$89,5,0)</f>
        <v>2.7871053915445723</v>
      </c>
      <c r="P9" s="14">
        <f t="shared" si="33"/>
        <v>1.1399599707787778</v>
      </c>
      <c r="Q9" s="22">
        <f t="shared" si="2"/>
        <v>6.839638839379834</v>
      </c>
      <c r="R9" s="62">
        <f t="shared" si="0"/>
        <v>212.24351782772371</v>
      </c>
      <c r="S9" s="62">
        <f ca="1">AVERAGE(OFFSET($R$3,0,0,'Données projet'!$E$9+1,1))-AVERAGE(OFFSET($H$3,0,0,'Données projet'!$E$9+1,1))</f>
        <v>455.44531340185631</v>
      </c>
      <c r="T9" s="62">
        <f t="shared" si="34"/>
        <v>560.14861617544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54.019239724093779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5.8</v>
      </c>
      <c r="AI9" s="14">
        <f>IF('Données projet'!$A$62&gt;35,AI8+AH9-AQ8,IF(A9&lt;'Données projet'!$A$62,$AF$205^A9,IF(A9='Données projet'!$A$62,'Données projet'!$B$62,AI8+AH9-AQ8)))</f>
        <v>5.9677098701087665</v>
      </c>
      <c r="AJ9" s="14">
        <f>AI9*VLOOKUP('Données projet'!$B$10,Paramètres!$A$1:$I$89,3,0)*VLOOKUP('Données projet'!$B$10,Paramètres!$A$1:$I$89,5,0)</f>
        <v>5.2133913425270189</v>
      </c>
      <c r="AK9" s="14">
        <f t="shared" si="35"/>
        <v>1.9824378698032765</v>
      </c>
      <c r="AL9" s="22">
        <f t="shared" si="4"/>
        <v>12.53273587814193</v>
      </c>
      <c r="AM9" s="62">
        <f t="shared" si="5"/>
        <v>217.9366148664858</v>
      </c>
      <c r="AN9" s="62">
        <f ca="1">AVERAGE(OFFSET($AM$3,0,0,'Données projet'!$E$10+1,1))-AVERAGE(OFFSET($H$3,0,0,'Données projet'!$E$10+1,1))</f>
        <v>335.71510570470264</v>
      </c>
      <c r="AO9" s="62">
        <f t="shared" si="36"/>
        <v>401.61823018046482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54.019239724093779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3.65</v>
      </c>
      <c r="BD9" s="13">
        <f>IF('Données projet'!$A$88&gt;35,BD8+BC9-BL8,IF(A9&lt;'Données projet'!$A$88,$BA$205^A9,IF(A9='Données projet'!$A$88,'Données projet'!$B$88,BD8+BC9-BL8)))</f>
        <v>3.6224037772879885</v>
      </c>
      <c r="BE9" s="14">
        <f>BD9*VLOOKUP('Données projet'!$B$11,Paramètres!$A$1:$I$89,3,0)*VLOOKUP('Données projet'!$B$11,Paramètres!$A$1:$I$89,5,0)</f>
        <v>3.2775509376901719</v>
      </c>
      <c r="BF9" s="14">
        <f t="shared" si="37"/>
        <v>1.315502139804245</v>
      </c>
      <c r="BG9" s="22">
        <f t="shared" si="7"/>
        <v>7.9995674433027766</v>
      </c>
      <c r="BH9" s="62">
        <f t="shared" si="8"/>
        <v>213.40344643164664</v>
      </c>
      <c r="BI9" s="62">
        <f ca="1">AVERAGE(OFFSET($BH$3,0,0,'Données projet'!$E$11+1,1))-AVERAGE(OFFSET($H$3,0,0,'Données projet'!$E$11+1,1))</f>
        <v>462.677457131175</v>
      </c>
      <c r="BJ9" s="62">
        <f t="shared" si="38"/>
        <v>291.78368401945909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54.019239724093779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8.3000000000000007</v>
      </c>
      <c r="BY9" s="13">
        <f>IF('Données projet'!$A$114&gt;35,BY8+BX9-CG8,IF(A9&lt;'Données projet'!$A$114,$BV$205^A9,IF(A9='Données projet'!$A$114,'Données projet'!$B$114,BY8+BX9-CG8)))</f>
        <v>14.172512719280766</v>
      </c>
      <c r="BZ9" s="14">
        <f>BY9*VLOOKUP('Données projet'!$B$12,Paramètres!$A$1:$I$89,3,0)*VLOOKUP('Données projet'!$B$12,Paramètres!$A$1:$I$89,5,0)</f>
        <v>7.7381919447272978</v>
      </c>
      <c r="CA9" s="14">
        <f t="shared" si="39"/>
        <v>2.8103080371214273</v>
      </c>
      <c r="CB9" s="22">
        <f t="shared" si="10"/>
        <v>18.371970801719861</v>
      </c>
      <c r="CC9" s="62">
        <f t="shared" si="11"/>
        <v>223.77584979006375</v>
      </c>
      <c r="CD9" s="62">
        <f ca="1">AVERAGE(OFFSET($CC$3,0,0,'Données projet'!$E$12+1,1))-AVERAGE(OFFSET($H$3,0,0,'Données projet'!$E$12+1,1))</f>
        <v>302.37244372118971</v>
      </c>
      <c r="CE9" s="62">
        <f t="shared" si="40"/>
        <v>439.56450354660171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54.019239724093779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6.6</v>
      </c>
      <c r="CT9" s="13">
        <f>IF('Données projet'!$A$140&gt;35,CT8+CS9-DB8,IF(A9&lt;'Données projet'!$A$140,$CQ$205^A9,IF(A9='Données projet'!$A$140,'Données projet'!$B$140,CT8+CS9-DB8)))</f>
        <v>4.32685338439601</v>
      </c>
      <c r="CU9" s="18">
        <f>CT9*VLOOKUP('Données projet'!$B$13,Paramètres!$A$1:$I$89,3,0)*VLOOKUP('Données projet'!$B$13,Paramètres!$A$1:$I$89,5,0)</f>
        <v>3.1724489014391541</v>
      </c>
      <c r="CV9" s="14">
        <f t="shared" si="41"/>
        <v>1.2781574770431821</v>
      </c>
      <c r="CW9" s="22">
        <f t="shared" si="13"/>
        <v>7.7514727758567341</v>
      </c>
      <c r="CX9" s="62">
        <f t="shared" si="14"/>
        <v>213.15535176420062</v>
      </c>
      <c r="CY9" s="62">
        <f ca="1">AVERAGE(OFFSET($CX$3,0,0,'Données projet'!$E$13+1,1))-AVERAGE(OFFSET($H$3,0,0,'Données projet'!$E$13+1,1))</f>
        <v>300.12722359176314</v>
      </c>
      <c r="CZ9" s="62">
        <f t="shared" si="42"/>
        <v>313.35115626175946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54.019239724093779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54.019239724093779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54.019239724093779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54.019239724093779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54.019239724093779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3.55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13.016666666666666</v>
      </c>
      <c r="H10" s="70">
        <f t="shared" si="1"/>
        <v>204.6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54.296470187253163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8.526315789473685</v>
      </c>
      <c r="N10" s="14">
        <f>IF('Données projet'!$A$36&gt;35,N9+M10-V9,IF(A10&lt;'Données projet'!$A$36,$K$205^A10,IF(A10='Données projet'!$A$36,'Données projet'!$B$36,N9+M10-V9)))</f>
        <v>6.5167618069644444</v>
      </c>
      <c r="O10" s="14">
        <f>N10*VLOOKUP('Données projet'!$B$9,Paramètres!$A$1:$I$89,3,0)*VLOOKUP('Données projet'!$B$9,Paramètres!$A$1:$I$89,5,0)</f>
        <v>3.6428698500931249</v>
      </c>
      <c r="P10" s="14">
        <f t="shared" si="33"/>
        <v>1.4442543315575544</v>
      </c>
      <c r="Q10" s="22">
        <f t="shared" si="2"/>
        <v>8.8600746163749324</v>
      </c>
      <c r="R10" s="62">
        <f t="shared" si="0"/>
        <v>216.50268752519207</v>
      </c>
      <c r="S10" s="62">
        <f ca="1">AVERAGE(OFFSET($R$3,0,0,'Données projet'!$E$9+1,1))-AVERAGE(OFFSET($H$3,0,0,'Données projet'!$E$9+1,1))</f>
        <v>455.44531340185631</v>
      </c>
      <c r="T10" s="62">
        <f t="shared" si="34"/>
        <v>560.14861617544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54.296470187253163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5.8</v>
      </c>
      <c r="AI10" s="14">
        <f>IF('Données projet'!$A$62&gt;35,AI9+AH10-AQ9,IF(A10&lt;'Données projet'!$A$62,$AF$205^A10,IF(A10='Données projet'!$A$62,'Données projet'!$B$62,AI9+AH10-AQ9)))</f>
        <v>8.0372778932539148</v>
      </c>
      <c r="AJ10" s="14">
        <f>AI10*VLOOKUP('Données projet'!$B$10,Paramètres!$A$1:$I$89,3,0)*VLOOKUP('Données projet'!$B$10,Paramètres!$A$1:$I$89,5,0)</f>
        <v>7.0213659675466209</v>
      </c>
      <c r="AK10" s="14">
        <f t="shared" si="35"/>
        <v>2.5789932139603198</v>
      </c>
      <c r="AL10" s="22">
        <f t="shared" si="4"/>
        <v>16.72062557445792</v>
      </c>
      <c r="AM10" s="62">
        <f t="shared" si="5"/>
        <v>224.36323848327507</v>
      </c>
      <c r="AN10" s="62">
        <f ca="1">AVERAGE(OFFSET($AM$3,0,0,'Données projet'!$E$10+1,1))-AVERAGE(OFFSET($H$3,0,0,'Données projet'!$E$10+1,1))</f>
        <v>335.71510570470264</v>
      </c>
      <c r="AO10" s="62">
        <f t="shared" si="36"/>
        <v>401.61823018046482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54.296470187253163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3.65</v>
      </c>
      <c r="BD10" s="13">
        <f>IF('Données projet'!$A$88&gt;35,BD9+BC10-BL9,IF(A10&lt;'Données projet'!$A$88,$BA$205^A10,IF(A10='Données projet'!$A$88,'Données projet'!$B$88,BD9+BC10-BL9)))</f>
        <v>4.4891384635544309</v>
      </c>
      <c r="BE10" s="14">
        <f>BD10*VLOOKUP('Données projet'!$B$11,Paramètres!$A$1:$I$89,3,0)*VLOOKUP('Données projet'!$B$11,Paramètres!$A$1:$I$89,5,0)</f>
        <v>4.0617724818240486</v>
      </c>
      <c r="BF10" s="14">
        <f t="shared" si="37"/>
        <v>1.590058719758437</v>
      </c>
      <c r="BG10" s="22">
        <f t="shared" si="7"/>
        <v>9.8436060094228282</v>
      </c>
      <c r="BH10" s="62">
        <f t="shared" si="8"/>
        <v>217.48621891823996</v>
      </c>
      <c r="BI10" s="62">
        <f ca="1">AVERAGE(OFFSET($BH$3,0,0,'Données projet'!$E$11+1,1))-AVERAGE(OFFSET($H$3,0,0,'Données projet'!$E$11+1,1))</f>
        <v>462.677457131175</v>
      </c>
      <c r="BJ10" s="62">
        <f t="shared" si="38"/>
        <v>291.78368401945909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54.296470187253163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8.3000000000000007</v>
      </c>
      <c r="BY10" s="13">
        <f>IF('Données projet'!$A$114&gt;35,BY9+BX10-CG9,IF(A10&lt;'Données projet'!$A$114,$BV$205^A10,IF(A10='Données projet'!$A$114,'Données projet'!$B$114,BY9+BX10-CG9)))</f>
        <v>22.047262079599165</v>
      </c>
      <c r="BZ10" s="14">
        <f>BY10*VLOOKUP('Données projet'!$B$12,Paramètres!$A$1:$I$89,3,0)*VLOOKUP('Données projet'!$B$12,Paramètres!$A$1:$I$89,5,0)</f>
        <v>12.037805095461144</v>
      </c>
      <c r="CA10" s="14">
        <f t="shared" si="39"/>
        <v>4.1526340975546745</v>
      </c>
      <c r="CB10" s="22">
        <f t="shared" si="10"/>
        <v>28.198348261169219</v>
      </c>
      <c r="CC10" s="62">
        <f t="shared" si="11"/>
        <v>235.84096116998637</v>
      </c>
      <c r="CD10" s="62">
        <f ca="1">AVERAGE(OFFSET($CC$3,0,0,'Données projet'!$E$12+1,1))-AVERAGE(OFFSET($H$3,0,0,'Données projet'!$E$12+1,1))</f>
        <v>302.37244372118971</v>
      </c>
      <c r="CE10" s="62">
        <f t="shared" si="40"/>
        <v>439.56450354660171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54.296470187253163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6.6</v>
      </c>
      <c r="CT10" s="13">
        <f>IF('Données projet'!$A$140&gt;35,CT9+CS10-DB9,IF(A10&lt;'Données projet'!$A$140,$CQ$205^A10,IF(A10='Données projet'!$A$140,'Données projet'!$B$140,CT9+CS10-DB9)))</f>
        <v>5.5233285287803451</v>
      </c>
      <c r="CU10" s="18">
        <f>CT10*VLOOKUP('Données projet'!$B$13,Paramètres!$A$1:$I$89,3,0)*VLOOKUP('Données projet'!$B$13,Paramètres!$A$1:$I$89,5,0)</f>
        <v>4.0497044773017494</v>
      </c>
      <c r="CV10" s="14">
        <f t="shared" si="41"/>
        <v>1.5858836482741001</v>
      </c>
      <c r="CW10" s="22">
        <f t="shared" si="13"/>
        <v>9.8153159853779375</v>
      </c>
      <c r="CX10" s="62">
        <f t="shared" si="14"/>
        <v>217.45792889419508</v>
      </c>
      <c r="CY10" s="62">
        <f ca="1">AVERAGE(OFFSET($CX$3,0,0,'Données projet'!$E$13+1,1))-AVERAGE(OFFSET($H$3,0,0,'Données projet'!$E$13+1,1))</f>
        <v>300.12722359176314</v>
      </c>
      <c r="CZ10" s="62">
        <f t="shared" si="42"/>
        <v>313.35115626175946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54.296470187253163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54.296470187253163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54.296470187253163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54.296470187253163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54.296470187253163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3.55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13.016666666666666</v>
      </c>
      <c r="H11" s="70">
        <f t="shared" si="1"/>
        <v>204.6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54.568891321671195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8.526315789473685</v>
      </c>
      <c r="N11" s="14">
        <f>IF('Données projet'!$A$36&gt;35,N10+M11-V10,IF(A11&lt;'Données projet'!$A$36,$K$205^A11,IF(A11='Données projet'!$A$36,'Données projet'!$B$36,N10+M11-V10)))</f>
        <v>8.5176955198213591</v>
      </c>
      <c r="O11" s="14">
        <f>N11*VLOOKUP('Données projet'!$B$9,Paramètres!$A$1:$I$89,3,0)*VLOOKUP('Données projet'!$B$9,Paramètres!$A$1:$I$89,5,0)</f>
        <v>4.7613917955801393</v>
      </c>
      <c r="P11" s="14">
        <f t="shared" si="33"/>
        <v>1.8297752795633417</v>
      </c>
      <c r="Q11" s="22">
        <f t="shared" si="2"/>
        <v>11.479615989208229</v>
      </c>
      <c r="R11" s="62">
        <f t="shared" si="0"/>
        <v>221.34332861311373</v>
      </c>
      <c r="S11" s="62">
        <f ca="1">AVERAGE(OFFSET($R$3,0,0,'Données projet'!$E$9+1,1))-AVERAGE(OFFSET($H$3,0,0,'Données projet'!$E$9+1,1))</f>
        <v>455.44531340185631</v>
      </c>
      <c r="T11" s="62">
        <f t="shared" si="34"/>
        <v>560.14861617544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54.568891321671195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5.8</v>
      </c>
      <c r="AI11" s="14">
        <f>IF('Données projet'!$A$62&gt;35,AI10+AH11-AQ10,IF(A11&lt;'Données projet'!$A$62,$AF$205^A11,IF(A11='Données projet'!$A$62,'Données projet'!$B$62,AI10+AH11-AQ10)))</f>
        <v>10.824560399115168</v>
      </c>
      <c r="AJ11" s="14">
        <f>AI11*VLOOKUP('Données projet'!$B$10,Paramètres!$A$1:$I$89,3,0)*VLOOKUP('Données projet'!$B$10,Paramètres!$A$1:$I$89,5,0)</f>
        <v>9.4563359646670122</v>
      </c>
      <c r="AK11" s="14">
        <f t="shared" si="35"/>
        <v>3.3550640345230081</v>
      </c>
      <c r="AL11" s="22">
        <f t="shared" si="4"/>
        <v>22.313188331922618</v>
      </c>
      <c r="AM11" s="62">
        <f t="shared" si="5"/>
        <v>232.1769009558281</v>
      </c>
      <c r="AN11" s="62">
        <f ca="1">AVERAGE(OFFSET($AM$3,0,0,'Données projet'!$E$10+1,1))-AVERAGE(OFFSET($H$3,0,0,'Données projet'!$E$10+1,1))</f>
        <v>335.71510570470264</v>
      </c>
      <c r="AO11" s="62">
        <f t="shared" si="36"/>
        <v>401.61823018046482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54.568891321671195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3.65</v>
      </c>
      <c r="BD11" s="13">
        <f>IF('Données projet'!$A$88&gt;35,BD10+BC11-BL10,IF(A11&lt;'Données projet'!$A$88,$BA$205^A11,IF(A11='Données projet'!$A$88,'Données projet'!$B$88,BD10+BC11-BL10)))</f>
        <v>5.563257268920875</v>
      </c>
      <c r="BE11" s="14">
        <f>BD11*VLOOKUP('Données projet'!$B$11,Paramètres!$A$1:$I$89,3,0)*VLOOKUP('Données projet'!$B$11,Paramètres!$A$1:$I$89,5,0)</f>
        <v>5.0336351769196082</v>
      </c>
      <c r="BF11" s="14">
        <f t="shared" si="37"/>
        <v>1.9219176128866391</v>
      </c>
      <c r="BG11" s="22">
        <f t="shared" si="7"/>
        <v>12.11425444224588</v>
      </c>
      <c r="BH11" s="62">
        <f t="shared" si="8"/>
        <v>221.97796706615136</v>
      </c>
      <c r="BI11" s="62">
        <f ca="1">AVERAGE(OFFSET($BH$3,0,0,'Données projet'!$E$11+1,1))-AVERAGE(OFFSET($H$3,0,0,'Données projet'!$E$11+1,1))</f>
        <v>462.677457131175</v>
      </c>
      <c r="BJ11" s="62">
        <f t="shared" si="38"/>
        <v>291.78368401945909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54.568891321671195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8.3000000000000007</v>
      </c>
      <c r="BY11" s="13">
        <f>IF('Données projet'!$A$114&gt;35,BY10+BX11-CG10,IF(A11&lt;'Données projet'!$A$114,$BV$205^A11,IF(A11='Données projet'!$A$114,'Données projet'!$B$114,BY10+BX11-CG10)))</f>
        <v>34.297500720902455</v>
      </c>
      <c r="BZ11" s="14">
        <f>BY11*VLOOKUP('Données projet'!$B$12,Paramètres!$A$1:$I$89,3,0)*VLOOKUP('Données projet'!$B$12,Paramètres!$A$1:$I$89,5,0)</f>
        <v>18.726435393612743</v>
      </c>
      <c r="CA11" s="14">
        <f t="shared" si="39"/>
        <v>6.1361138068825287</v>
      </c>
      <c r="CB11" s="22">
        <f t="shared" si="10"/>
        <v>43.302273190862593</v>
      </c>
      <c r="CC11" s="62">
        <f t="shared" si="11"/>
        <v>253.16598581476808</v>
      </c>
      <c r="CD11" s="62">
        <f ca="1">AVERAGE(OFFSET($CC$3,0,0,'Données projet'!$E$12+1,1))-AVERAGE(OFFSET($H$3,0,0,'Données projet'!$E$12+1,1))</f>
        <v>302.37244372118971</v>
      </c>
      <c r="CE11" s="62">
        <f t="shared" si="40"/>
        <v>439.56450354660171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54.568891321671195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6.6</v>
      </c>
      <c r="CT11" s="13">
        <f>IF('Données projet'!$A$140&gt;35,CT10+CS11-DB10,IF(A11&lt;'Données projet'!$A$140,$CQ$205^A11,IF(A11='Données projet'!$A$140,'Données projet'!$B$140,CT10+CS11-DB10)))</f>
        <v>7.0506567536716718</v>
      </c>
      <c r="CU11" s="18">
        <f>CT11*VLOOKUP('Données projet'!$B$13,Paramètres!$A$1:$I$89,3,0)*VLOOKUP('Données projet'!$B$13,Paramètres!$A$1:$I$89,5,0)</f>
        <v>5.1695415317920697</v>
      </c>
      <c r="CV11" s="14">
        <f t="shared" si="41"/>
        <v>1.9676972446942087</v>
      </c>
      <c r="CW11" s="22">
        <f t="shared" si="13"/>
        <v>12.430690869046932</v>
      </c>
      <c r="CX11" s="62">
        <f t="shared" si="14"/>
        <v>222.29440349295243</v>
      </c>
      <c r="CY11" s="62">
        <f ca="1">AVERAGE(OFFSET($CX$3,0,0,'Données projet'!$E$13+1,1))-AVERAGE(OFFSET($H$3,0,0,'Données projet'!$E$13+1,1))</f>
        <v>300.12722359176314</v>
      </c>
      <c r="CZ11" s="62">
        <f t="shared" si="42"/>
        <v>313.35115626175946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54.568891321671195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54.568891321671195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54.568891321671195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54.568891321671195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54.568891321671195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3.55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13.016666666666666</v>
      </c>
      <c r="H12" s="70">
        <f t="shared" si="1"/>
        <v>204.6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54.836586558449483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8.526315789473685</v>
      </c>
      <c r="N12" s="14">
        <f>IF('Données projet'!$A$36&gt;35,N11+M12-V11,IF(A12&lt;'Données projet'!$A$36,$K$205^A12,IF(A12='Données projet'!$A$36,'Données projet'!$B$36,N11+M12-V11)))</f>
        <v>11.133004261541316</v>
      </c>
      <c r="O12" s="14">
        <f>N12*VLOOKUP('Données projet'!$B$9,Paramètres!$A$1:$I$89,3,0)*VLOOKUP('Données projet'!$B$9,Paramètres!$A$1:$I$89,5,0)</f>
        <v>6.2233493822015964</v>
      </c>
      <c r="P12" s="14">
        <f t="shared" si="33"/>
        <v>2.3182049730052579</v>
      </c>
      <c r="Q12" s="22">
        <f t="shared" si="2"/>
        <v>14.87654050198527</v>
      </c>
      <c r="R12" s="62">
        <f t="shared" si="0"/>
        <v>226.94402454963338</v>
      </c>
      <c r="S12" s="62">
        <f ca="1">AVERAGE(OFFSET($R$3,0,0,'Données projet'!$E$9+1,1))-AVERAGE(OFFSET($H$3,0,0,'Données projet'!$E$9+1,1))</f>
        <v>455.44531340185631</v>
      </c>
      <c r="T12" s="62">
        <f t="shared" si="34"/>
        <v>560.14861617544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54.836586558449483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5.8</v>
      </c>
      <c r="AI12" s="14">
        <f>IF('Données projet'!$A$62&gt;35,AI11+AH12-AQ11,IF(A12&lt;'Données projet'!$A$62,$AF$205^A12,IF(A12='Données projet'!$A$62,'Données projet'!$B$62,AI11+AH12-AQ11)))</f>
        <v>14.578456710130657</v>
      </c>
      <c r="AJ12" s="14">
        <f>AI12*VLOOKUP('Données projet'!$B$10,Paramètres!$A$1:$I$89,3,0)*VLOOKUP('Données projet'!$B$10,Paramètres!$A$1:$I$89,5,0)</f>
        <v>12.735739781970144</v>
      </c>
      <c r="AK12" s="14">
        <f t="shared" si="35"/>
        <v>4.364670141362768</v>
      </c>
      <c r="AL12" s="22">
        <f t="shared" si="4"/>
        <v>29.783213949804821</v>
      </c>
      <c r="AM12" s="62">
        <f t="shared" si="5"/>
        <v>241.85069799745295</v>
      </c>
      <c r="AN12" s="62">
        <f ca="1">AVERAGE(OFFSET($AM$3,0,0,'Données projet'!$E$10+1,1))-AVERAGE(OFFSET($H$3,0,0,'Données projet'!$E$10+1,1))</f>
        <v>335.71510570470264</v>
      </c>
      <c r="AO12" s="62">
        <f t="shared" si="36"/>
        <v>401.61823018046482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54.836586558449483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3.65</v>
      </c>
      <c r="BD12" s="13">
        <f>IF('Données projet'!$A$88&gt;35,BD11+BC12-BL11,IF(A12&lt;'Données projet'!$A$88,$BA$205^A12,IF(A12='Données projet'!$A$88,'Données projet'!$B$88,BD11+BC12-BL11)))</f>
        <v>6.8943811137639424</v>
      </c>
      <c r="BE12" s="14">
        <f>BD12*VLOOKUP('Données projet'!$B$11,Paramètres!$A$1:$I$89,3,0)*VLOOKUP('Données projet'!$B$11,Paramètres!$A$1:$I$89,5,0)</f>
        <v>6.2380360317336141</v>
      </c>
      <c r="BF12" s="14">
        <f t="shared" si="37"/>
        <v>2.3230383034439352</v>
      </c>
      <c r="BG12" s="22">
        <f t="shared" si="7"/>
        <v>14.910537800434229</v>
      </c>
      <c r="BH12" s="62">
        <f t="shared" si="8"/>
        <v>226.97802184808236</v>
      </c>
      <c r="BI12" s="62">
        <f ca="1">AVERAGE(OFFSET($BH$3,0,0,'Données projet'!$E$11+1,1))-AVERAGE(OFFSET($H$3,0,0,'Données projet'!$E$11+1,1))</f>
        <v>462.677457131175</v>
      </c>
      <c r="BJ12" s="62">
        <f t="shared" si="38"/>
        <v>291.78368401945909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54.836586558449483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8.3000000000000007</v>
      </c>
      <c r="BY12" s="13">
        <f>IF('Données projet'!$A$114&gt;35,BY11+BX12-CG11,IF(A12&lt;'Données projet'!$A$114,$BV$205^A12,IF(A12='Données projet'!$A$114,'Données projet'!$B$114,BY11+BX12-CG11)))</f>
        <v>53.354405252377298</v>
      </c>
      <c r="BZ12" s="14">
        <f>BY12*VLOOKUP('Données projet'!$B$12,Paramètres!$A$1:$I$89,3,0)*VLOOKUP('Données projet'!$B$12,Paramètres!$A$1:$I$89,5,0)</f>
        <v>29.131505267798005</v>
      </c>
      <c r="CA12" s="14">
        <f t="shared" si="39"/>
        <v>9.0669901962193347</v>
      </c>
      <c r="CB12" s="22">
        <f t="shared" si="10"/>
        <v>66.529046266496863</v>
      </c>
      <c r="CC12" s="62">
        <f t="shared" si="11"/>
        <v>278.59653031414496</v>
      </c>
      <c r="CD12" s="62">
        <f ca="1">AVERAGE(OFFSET($CC$3,0,0,'Données projet'!$E$12+1,1))-AVERAGE(OFFSET($H$3,0,0,'Données projet'!$E$12+1,1))</f>
        <v>302.37244372118971</v>
      </c>
      <c r="CE12" s="62">
        <f t="shared" si="40"/>
        <v>439.56450354660171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54.836586558449483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6.6</v>
      </c>
      <c r="CT12" s="13">
        <f>IF('Données projet'!$A$140&gt;35,CT11+CS12-DB11,IF(A12&lt;'Données projet'!$A$140,$CQ$205^A12,IF(A12='Données projet'!$A$140,'Données projet'!$B$140,CT11+CS12-DB11)))</f>
        <v>9.0003265963745314</v>
      </c>
      <c r="CU12" s="18">
        <f>CT12*VLOOKUP('Données projet'!$B$13,Paramètres!$A$1:$I$89,3,0)*VLOOKUP('Données projet'!$B$13,Paramètres!$A$1:$I$89,5,0)</f>
        <v>6.5990394604618059</v>
      </c>
      <c r="CV12" s="14">
        <f t="shared" si="41"/>
        <v>2.4414353795695245</v>
      </c>
      <c r="CW12" s="22">
        <f t="shared" si="13"/>
        <v>15.745493679721234</v>
      </c>
      <c r="CX12" s="62">
        <f t="shared" si="14"/>
        <v>227.81297772736934</v>
      </c>
      <c r="CY12" s="62">
        <f ca="1">AVERAGE(OFFSET($CX$3,0,0,'Données projet'!$E$13+1,1))-AVERAGE(OFFSET($H$3,0,0,'Données projet'!$E$13+1,1))</f>
        <v>300.12722359176314</v>
      </c>
      <c r="CZ12" s="62">
        <f t="shared" si="42"/>
        <v>313.35115626175946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54.836586558449483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54.836586558449483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54.836586558449483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54.836586558449483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54.836586558449483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3.55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13.016666666666666</v>
      </c>
      <c r="H13" s="70">
        <f t="shared" si="1"/>
        <v>204.6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55.099637881346567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8.526315789473685</v>
      </c>
      <c r="N13" s="14">
        <f>IF('Données projet'!$A$36&gt;35,N12+M13-V12,IF(A13&lt;'Données projet'!$A$36,$K$205^A13,IF(A13='Données projet'!$A$36,'Données projet'!$B$36,N12+M13-V12)))</f>
        <v>14.551328302246779</v>
      </c>
      <c r="O13" s="14">
        <f>N13*VLOOKUP('Données projet'!$B$9,Paramètres!$A$1:$I$89,3,0)*VLOOKUP('Données projet'!$B$9,Paramètres!$A$1:$I$89,5,0)</f>
        <v>8.1341925209559491</v>
      </c>
      <c r="P13" s="14">
        <f t="shared" si="33"/>
        <v>2.9370132807503975</v>
      </c>
      <c r="Q13" s="22">
        <f t="shared" si="2"/>
        <v>19.282350104638549</v>
      </c>
      <c r="R13" s="62">
        <f t="shared" si="0"/>
        <v>233.53657789179817</v>
      </c>
      <c r="S13" s="62">
        <f ca="1">AVERAGE(OFFSET($R$3,0,0,'Données projet'!$E$9+1,1))-AVERAGE(OFFSET($H$3,0,0,'Données projet'!$E$9+1,1))</f>
        <v>455.44531340185631</v>
      </c>
      <c r="T13" s="62">
        <f t="shared" si="34"/>
        <v>560.14861617544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55.099637881346567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5.8</v>
      </c>
      <c r="AI13" s="14">
        <f>IF('Données projet'!$A$62&gt;35,AI12+AH13-AQ12,IF(A13&lt;'Données projet'!$A$62,$AF$205^A13,IF(A13='Données projet'!$A$62,'Données projet'!$B$62,AI12+AH13-AQ12)))</f>
        <v>19.634183025716826</v>
      </c>
      <c r="AJ13" s="14">
        <f>AI13*VLOOKUP('Données projet'!$B$10,Paramètres!$A$1:$I$89,3,0)*VLOOKUP('Données projet'!$B$10,Paramètres!$A$1:$I$89,5,0)</f>
        <v>17.152422291266223</v>
      </c>
      <c r="AK13" s="14">
        <f t="shared" si="35"/>
        <v>5.678086989362658</v>
      </c>
      <c r="AL13" s="22">
        <f t="shared" si="4"/>
        <v>39.763136997095295</v>
      </c>
      <c r="AM13" s="62">
        <f t="shared" si="5"/>
        <v>254.01736478425494</v>
      </c>
      <c r="AN13" s="62">
        <f ca="1">AVERAGE(OFFSET($AM$3,0,0,'Données projet'!$E$10+1,1))-AVERAGE(OFFSET($H$3,0,0,'Données projet'!$E$10+1,1))</f>
        <v>335.71510570470264</v>
      </c>
      <c r="AO13" s="62">
        <f t="shared" si="36"/>
        <v>401.61823018046482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55.099637881346567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3.65</v>
      </c>
      <c r="BD13" s="13">
        <f>IF('Données projet'!$A$88&gt;35,BD12+BC13-BL12,IF(A13&lt;'Données projet'!$A$88,$BA$205^A13,IF(A13='Données projet'!$A$88,'Données projet'!$B$88,BD12+BC13-BL12)))</f>
        <v>8.5440037453175322</v>
      </c>
      <c r="BE13" s="14">
        <f>BD13*VLOOKUP('Données projet'!$B$11,Paramètres!$A$1:$I$89,3,0)*VLOOKUP('Données projet'!$B$11,Paramètres!$A$1:$I$89,5,0)</f>
        <v>7.7306145887633031</v>
      </c>
      <c r="BF13" s="14">
        <f t="shared" si="37"/>
        <v>2.8078763226288115</v>
      </c>
      <c r="BG13" s="22">
        <f t="shared" si="7"/>
        <v>18.354538337341264</v>
      </c>
      <c r="BH13" s="62">
        <f t="shared" si="8"/>
        <v>232.6087661245009</v>
      </c>
      <c r="BI13" s="62">
        <f ca="1">AVERAGE(OFFSET($BH$3,0,0,'Données projet'!$E$11+1,1))-AVERAGE(OFFSET($H$3,0,0,'Données projet'!$E$11+1,1))</f>
        <v>462.677457131175</v>
      </c>
      <c r="BJ13" s="62">
        <f t="shared" si="38"/>
        <v>291.78368401945909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55.099637881346567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>
        <f>VLOOKUP(A13,'Données projet'!$A$113:$I$133,2,0)</f>
        <v>83</v>
      </c>
      <c r="BW13" s="13">
        <f>VLOOKUP(A13,'Données projet'!$A$113:$I$133,9,0)</f>
        <v>8.3000000000000007</v>
      </c>
      <c r="BX13" s="13">
        <f t="array" ref="BX13">INDEX(BW:BW,MIN(IF(ISNUMBER(BW13:BW209),ROW(BW13:BW209),"")))</f>
        <v>8.3000000000000007</v>
      </c>
      <c r="BY13" s="13">
        <f>IF('Données projet'!$A$114&gt;35,BY12+BX13-CG12,IF(A13&lt;'Données projet'!$A$114,$BV$205^A13,IF(A13='Données projet'!$A$114,'Données projet'!$B$114,BY12+BX13-CG12)))</f>
        <v>83</v>
      </c>
      <c r="BZ13" s="14">
        <f>BY13*VLOOKUP('Données projet'!$B$12,Paramètres!$A$1:$I$89,3,0)*VLOOKUP('Données projet'!$B$12,Paramètres!$A$1:$I$89,5,0)</f>
        <v>45.317999999999998</v>
      </c>
      <c r="CA13" s="14">
        <f t="shared" si="39"/>
        <v>13.397781365483629</v>
      </c>
      <c r="CB13" s="22">
        <f t="shared" si="10"/>
        <v>102.26331921155065</v>
      </c>
      <c r="CC13" s="62">
        <f t="shared" si="11"/>
        <v>316.51754699871026</v>
      </c>
      <c r="CD13" s="62">
        <f ca="1">AVERAGE(OFFSET($CC$3,0,0,'Données projet'!$E$12+1,1))-AVERAGE(OFFSET($H$3,0,0,'Données projet'!$E$12+1,1))</f>
        <v>302.37244372118971</v>
      </c>
      <c r="CE13" s="62">
        <f t="shared" si="40"/>
        <v>439.56450354660171</v>
      </c>
      <c r="CF13" s="16">
        <f>IF(ISNA(VLOOKUP(A13,'Données projet'!$A$113:$I$133,3,0)),0,VLOOKUP(A13,'Données projet'!$A$113:$I$133,3,0))</f>
        <v>1</v>
      </c>
      <c r="CG13" s="16">
        <f>IF(ISNA(VLOOKUP(A13,'Données projet'!$A$113:$I$133,4,0)),0,VLOOKUP(A13,'Données projet'!$A$113:$I$133,4,0))</f>
        <v>26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1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16.073169695685706</v>
      </c>
      <c r="CN13" s="24">
        <f t="shared" si="12"/>
        <v>16.073169695685706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55.099637881346567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6.6</v>
      </c>
      <c r="CT13" s="13">
        <f>IF('Données projet'!$A$140&gt;35,CT12+CS13-DB12,IF(A13&lt;'Données projet'!$A$140,$CQ$205^A13,IF(A13='Données projet'!$A$140,'Données projet'!$B$140,CT12+CS13-DB12)))</f>
        <v>11.489125293076063</v>
      </c>
      <c r="CU13" s="18">
        <f>CT13*VLOOKUP('Données projet'!$B$13,Paramètres!$A$1:$I$89,3,0)*VLOOKUP('Données projet'!$B$13,Paramètres!$A$1:$I$89,5,0)</f>
        <v>8.423826664883368</v>
      </c>
      <c r="CV13" s="14">
        <f t="shared" si="41"/>
        <v>3.0292295873698292</v>
      </c>
      <c r="CW13" s="22">
        <f t="shared" si="13"/>
        <v>19.947406306007654</v>
      </c>
      <c r="CX13" s="62">
        <f t="shared" si="14"/>
        <v>234.20163409316729</v>
      </c>
      <c r="CY13" s="62">
        <f ca="1">AVERAGE(OFFSET($CX$3,0,0,'Données projet'!$E$13+1,1))-AVERAGE(OFFSET($H$3,0,0,'Données projet'!$E$13+1,1))</f>
        <v>300.12722359176314</v>
      </c>
      <c r="CZ13" s="62">
        <f t="shared" si="42"/>
        <v>313.35115626175946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55.099637881346567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55.099637881346567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55.099637881346567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55.099637881346567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55.099637881346567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3.55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13.016666666666666</v>
      </c>
      <c r="H14" s="70">
        <f t="shared" si="1"/>
        <v>204.6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55.358125851886037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8.526315789473685</v>
      </c>
      <c r="N14" s="14">
        <f>IF('Données projet'!$A$36&gt;35,N13+M14-V13,IF(A14&lt;'Données projet'!$A$36,$K$205^A14,IF(A14='Données projet'!$A$36,'Données projet'!$B$36,N13+M14-V13)))</f>
        <v>19.01922880701866</v>
      </c>
      <c r="O14" s="14">
        <f>N14*VLOOKUP('Données projet'!$B$9,Paramètres!$A$1:$I$89,3,0)*VLOOKUP('Données projet'!$B$9,Paramètres!$A$1:$I$89,5,0)</f>
        <v>10.631748903123432</v>
      </c>
      <c r="P14" s="14">
        <f t="shared" si="33"/>
        <v>3.7210027205323613</v>
      </c>
      <c r="Q14" s="22">
        <f t="shared" si="2"/>
        <v>24.997709077867171</v>
      </c>
      <c r="R14" s="62">
        <f t="shared" si="0"/>
        <v>241.4219483125604</v>
      </c>
      <c r="S14" s="62">
        <f ca="1">AVERAGE(OFFSET($R$3,0,0,'Données projet'!$E$9+1,1))-AVERAGE(OFFSET($H$3,0,0,'Données projet'!$E$9+1,1))</f>
        <v>455.44531340185631</v>
      </c>
      <c r="T14" s="62">
        <f t="shared" si="34"/>
        <v>560.14861617544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55.358125851886037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5.8</v>
      </c>
      <c r="AI14" s="14">
        <f>IF('Données projet'!$A$62&gt;35,AI13+AH14-AQ13,IF(A14&lt;'Données projet'!$A$62,$AF$205^A14,IF(A14='Données projet'!$A$62,'Données projet'!$B$62,AI13+AH14-AQ13)))</f>
        <v>26.443206626903088</v>
      </c>
      <c r="AJ14" s="14">
        <f>AI14*VLOOKUP('Données projet'!$B$10,Paramètres!$A$1:$I$89,3,0)*VLOOKUP('Données projet'!$B$10,Paramètres!$A$1:$I$89,5,0)</f>
        <v>23.100785309262541</v>
      </c>
      <c r="AK14" s="14">
        <f t="shared" si="35"/>
        <v>7.3867373282653306</v>
      </c>
      <c r="AL14" s="22">
        <f t="shared" si="4"/>
        <v>53.099101927027704</v>
      </c>
      <c r="AM14" s="62">
        <f t="shared" si="5"/>
        <v>269.52334116172096</v>
      </c>
      <c r="AN14" s="62">
        <f ca="1">AVERAGE(OFFSET($AM$3,0,0,'Données projet'!$E$10+1,1))-AVERAGE(OFFSET($H$3,0,0,'Données projet'!$E$10+1,1))</f>
        <v>335.71510570470264</v>
      </c>
      <c r="AO14" s="62">
        <f t="shared" si="36"/>
        <v>401.61823018046482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55.358125851886037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3.65</v>
      </c>
      <c r="BD14" s="13">
        <f>IF('Données projet'!$A$88&gt;35,BD13+BC14-BL13,IF(A14&lt;'Données projet'!$A$88,$BA$205^A14,IF(A14='Données projet'!$A$88,'Données projet'!$B$88,BD13+BC14-BL13)))</f>
        <v>10.588332555950936</v>
      </c>
      <c r="BE14" s="14">
        <f>BD14*VLOOKUP('Données projet'!$B$11,Paramètres!$A$1:$I$89,3,0)*VLOOKUP('Données projet'!$B$11,Paramètres!$A$1:$I$89,5,0)</f>
        <v>9.5803232966244067</v>
      </c>
      <c r="BF14" s="14">
        <f t="shared" si="37"/>
        <v>3.3939041949894282</v>
      </c>
      <c r="BG14" s="22">
        <f t="shared" si="7"/>
        <v>22.596779547894098</v>
      </c>
      <c r="BH14" s="62">
        <f t="shared" si="8"/>
        <v>239.02101878258733</v>
      </c>
      <c r="BI14" s="62">
        <f ca="1">AVERAGE(OFFSET($BH$3,0,0,'Données projet'!$E$11+1,1))-AVERAGE(OFFSET($H$3,0,0,'Données projet'!$E$11+1,1))</f>
        <v>462.677457131175</v>
      </c>
      <c r="BJ14" s="62">
        <f t="shared" si="38"/>
        <v>291.78368401945909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55.358125851886037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23.6</v>
      </c>
      <c r="BY14" s="13">
        <f>IF('Données projet'!$A$114&gt;35,BY13+BX14-CG13,IF(A14&lt;'Données projet'!$A$114,$BV$205^A14,IF(A14='Données projet'!$A$114,'Données projet'!$B$114,BY13+BX14-CG13)))</f>
        <v>80.599999999999994</v>
      </c>
      <c r="BZ14" s="14">
        <f>BY14*VLOOKUP('Données projet'!$B$12,Paramètres!$A$1:$I$89,3,0)*VLOOKUP('Données projet'!$B$12,Paramètres!$A$1:$I$89,5,0)</f>
        <v>44.007599999999996</v>
      </c>
      <c r="CA14" s="14">
        <f t="shared" si="39"/>
        <v>13.054887296903958</v>
      </c>
      <c r="CB14" s="22">
        <f t="shared" si="10"/>
        <v>99.383832042107713</v>
      </c>
      <c r="CC14" s="62">
        <f t="shared" si="11"/>
        <v>315.80807127680094</v>
      </c>
      <c r="CD14" s="62">
        <f ca="1">AVERAGE(OFFSET($CC$3,0,0,'Données projet'!$E$12+1,1))-AVERAGE(OFFSET($H$3,0,0,'Données projet'!$E$12+1,1))</f>
        <v>302.37244372118971</v>
      </c>
      <c r="CE14" s="62">
        <f t="shared" si="40"/>
        <v>439.56450354660171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11.36544728698148</v>
      </c>
      <c r="CN14" s="24">
        <f t="shared" si="12"/>
        <v>11.36544728698148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55.358125851886037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6.6</v>
      </c>
      <c r="CT14" s="13">
        <f>IF('Données projet'!$A$140&gt;35,CT13+CS14-DB13,IF(A14&lt;'Données projet'!$A$140,$CQ$205^A14,IF(A14='Données projet'!$A$140,'Données projet'!$B$140,CT13+CS14-DB13)))</f>
        <v>14.666134454850974</v>
      </c>
      <c r="CU14" s="18">
        <f>CT14*VLOOKUP('Données projet'!$B$13,Paramètres!$A$1:$I$89,3,0)*VLOOKUP('Données projet'!$B$13,Paramètres!$A$1:$I$89,5,0)</f>
        <v>10.753209782296734</v>
      </c>
      <c r="CV14" s="14">
        <f t="shared" si="41"/>
        <v>3.7585397384610477</v>
      </c>
      <c r="CW14" s="22">
        <f t="shared" si="13"/>
        <v>25.274630415319805</v>
      </c>
      <c r="CX14" s="62">
        <f t="shared" si="14"/>
        <v>241.69886965001302</v>
      </c>
      <c r="CY14" s="62">
        <f ca="1">AVERAGE(OFFSET($CX$3,0,0,'Données projet'!$E$13+1,1))-AVERAGE(OFFSET($H$3,0,0,'Données projet'!$E$13+1,1))</f>
        <v>300.12722359176314</v>
      </c>
      <c r="CZ14" s="62">
        <f t="shared" si="42"/>
        <v>313.35115626175946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55.358125851886037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55.358125851886037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55.358125851886037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55.358125851886037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55.358125851886037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3.55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13.016666666666666</v>
      </c>
      <c r="H15" s="70">
        <f t="shared" si="1"/>
        <v>204.6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55.612129634029174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8.526315789473685</v>
      </c>
      <c r="N15" s="14">
        <f>IF('Données projet'!$A$36&gt;35,N14+M15-V14,IF(A15&lt;'Données projet'!$A$36,$K$205^A15,IF(A15='Données projet'!$A$36,'Données projet'!$B$36,N14+M15-V14)))</f>
        <v>24.85897210895007</v>
      </c>
      <c r="O15" s="14">
        <f>N15*VLOOKUP('Données projet'!$B$9,Paramètres!$A$1:$I$89,3,0)*VLOOKUP('Données projet'!$B$9,Paramètres!$A$1:$I$89,5,0)</f>
        <v>13.896165408903089</v>
      </c>
      <c r="P15" s="14">
        <f t="shared" si="33"/>
        <v>4.7142657940830492</v>
      </c>
      <c r="Q15" s="22">
        <f t="shared" si="2"/>
        <v>32.413167678534187</v>
      </c>
      <c r="R15" s="62">
        <f t="shared" si="0"/>
        <v>250.99097633664115</v>
      </c>
      <c r="S15" s="62">
        <f ca="1">AVERAGE(OFFSET($R$3,0,0,'Données projet'!$E$9+1,1))-AVERAGE(OFFSET($H$3,0,0,'Données projet'!$E$9+1,1))</f>
        <v>455.44531340185631</v>
      </c>
      <c r="T15" s="62">
        <f t="shared" si="34"/>
        <v>560.14861617544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55.612129634029174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5.8</v>
      </c>
      <c r="AI15" s="14">
        <f>IF('Données projet'!$A$62&gt;35,AI14+AH15-AQ14,IF(A15&lt;'Données projet'!$A$62,$AF$205^A15,IF(A15='Données projet'!$A$62,'Données projet'!$B$62,AI14+AH15-AQ14)))</f>
        <v>35.613561093793592</v>
      </c>
      <c r="AJ15" s="14">
        <f>AI15*VLOOKUP('Données projet'!$B$10,Paramètres!$A$1:$I$89,3,0)*VLOOKUP('Données projet'!$B$10,Paramètres!$A$1:$I$89,5,0)</f>
        <v>31.112006971538086</v>
      </c>
      <c r="AK15" s="14">
        <f t="shared" si="35"/>
        <v>9.6095548481396289</v>
      </c>
      <c r="AL15" s="22">
        <f t="shared" si="4"/>
        <v>70.9233868359387</v>
      </c>
      <c r="AM15" s="62">
        <f t="shared" si="5"/>
        <v>289.50119549404565</v>
      </c>
      <c r="AN15" s="62">
        <f ca="1">AVERAGE(OFFSET($AM$3,0,0,'Données projet'!$E$10+1,1))-AVERAGE(OFFSET($H$3,0,0,'Données projet'!$E$10+1,1))</f>
        <v>335.71510570470264</v>
      </c>
      <c r="AO15" s="62">
        <f t="shared" si="36"/>
        <v>401.61823018046482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55.612129634029174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3.65</v>
      </c>
      <c r="BD15" s="13">
        <f>IF('Données projet'!$A$88&gt;35,BD14+BC15-BL14,IF(A15&lt;'Données projet'!$A$88,$BA$205^A15,IF(A15='Données projet'!$A$88,'Données projet'!$B$88,BD14+BC15-BL14)))</f>
        <v>13.121809125710287</v>
      </c>
      <c r="BE15" s="14">
        <f>BD15*VLOOKUP('Données projet'!$B$11,Paramètres!$A$1:$I$89,3,0)*VLOOKUP('Données projet'!$B$11,Paramètres!$A$1:$I$89,5,0)</f>
        <v>11.872612896942668</v>
      </c>
      <c r="BF15" s="14">
        <f t="shared" si="37"/>
        <v>4.1022411108131784</v>
      </c>
      <c r="BG15" s="22">
        <f t="shared" si="7"/>
        <v>27.822870730174767</v>
      </c>
      <c r="BH15" s="62">
        <f t="shared" si="8"/>
        <v>246.40067938828173</v>
      </c>
      <c r="BI15" s="62">
        <f ca="1">AVERAGE(OFFSET($BH$3,0,0,'Données projet'!$E$11+1,1))-AVERAGE(OFFSET($H$3,0,0,'Données projet'!$E$11+1,1))</f>
        <v>462.677457131175</v>
      </c>
      <c r="BJ15" s="62">
        <f t="shared" si="38"/>
        <v>291.78368401945909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55.612129634029174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23.6</v>
      </c>
      <c r="BY15" s="13">
        <f>IF('Données projet'!$A$114&gt;35,BY14+BX15-CG14,IF(A15&lt;'Données projet'!$A$114,$BV$205^A15,IF(A15='Données projet'!$A$114,'Données projet'!$B$114,BY14+BX15-CG14)))</f>
        <v>104.19999999999999</v>
      </c>
      <c r="BZ15" s="14">
        <f>BY15*VLOOKUP('Données projet'!$B$12,Paramètres!$A$1:$I$89,3,0)*VLOOKUP('Données projet'!$B$12,Paramètres!$A$1:$I$89,5,0)</f>
        <v>56.893199999999993</v>
      </c>
      <c r="CA15" s="14">
        <f t="shared" si="39"/>
        <v>16.380358422910444</v>
      </c>
      <c r="CB15" s="22">
        <f t="shared" si="10"/>
        <v>127.61811425323567</v>
      </c>
      <c r="CC15" s="62">
        <f t="shared" si="11"/>
        <v>346.19592291134262</v>
      </c>
      <c r="CD15" s="62">
        <f ca="1">AVERAGE(OFFSET($CC$3,0,0,'Données projet'!$E$12+1,1))-AVERAGE(OFFSET($H$3,0,0,'Données projet'!$E$12+1,1))</f>
        <v>302.37244372118971</v>
      </c>
      <c r="CE15" s="62">
        <f t="shared" si="40"/>
        <v>439.56450354660171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8.036584847842855</v>
      </c>
      <c r="CN15" s="24">
        <f t="shared" si="12"/>
        <v>8.036584847842855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55.612129634029174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6.6</v>
      </c>
      <c r="CT15" s="13">
        <f>IF('Données projet'!$A$140&gt;35,CT14+CS15-DB14,IF(A15&lt;'Données projet'!$A$140,$CQ$205^A15,IF(A15='Données projet'!$A$140,'Données projet'!$B$140,CT14+CS15-DB14)))</f>
        <v>18.721660210059202</v>
      </c>
      <c r="CU15" s="18">
        <f>CT15*VLOOKUP('Données projet'!$B$13,Paramètres!$A$1:$I$89,3,0)*VLOOKUP('Données projet'!$B$13,Paramètres!$A$1:$I$89,5,0)</f>
        <v>13.726721266015407</v>
      </c>
      <c r="CV15" s="14">
        <f t="shared" si="41"/>
        <v>4.6634368766536687</v>
      </c>
      <c r="CW15" s="22">
        <f t="shared" si="13"/>
        <v>32.029525431815308</v>
      </c>
      <c r="CX15" s="62">
        <f t="shared" si="14"/>
        <v>250.60733408992226</v>
      </c>
      <c r="CY15" s="62">
        <f ca="1">AVERAGE(OFFSET($CX$3,0,0,'Données projet'!$E$13+1,1))-AVERAGE(OFFSET($H$3,0,0,'Données projet'!$E$13+1,1))</f>
        <v>300.12722359176314</v>
      </c>
      <c r="CZ15" s="62">
        <f t="shared" si="42"/>
        <v>313.35115626175946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55.612129634029174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55.612129634029174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55.612129634029174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55.612129634029174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55.612129634029174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3.55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13.016666666666666</v>
      </c>
      <c r="H16" s="70">
        <f t="shared" si="1"/>
        <v>204.6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55.861727018419515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8.526315789473685</v>
      </c>
      <c r="N16" s="14">
        <f>IF('Données projet'!$A$36&gt;35,N15+M16-V15,IF(A16&lt;'Données projet'!$A$36,$K$205^A16,IF(A16='Données projet'!$A$36,'Données projet'!$B$36,N15+M16-V15)))</f>
        <v>32.491774539539094</v>
      </c>
      <c r="O16" s="14">
        <f>N16*VLOOKUP('Données projet'!$B$9,Paramètres!$A$1:$I$89,3,0)*VLOOKUP('Données projet'!$B$9,Paramètres!$A$1:$I$89,5,0)</f>
        <v>18.162901967602355</v>
      </c>
      <c r="P16" s="14">
        <f t="shared" si="33"/>
        <v>5.9726648020514927</v>
      </c>
      <c r="Q16" s="22">
        <f t="shared" si="2"/>
        <v>42.036112123813787</v>
      </c>
      <c r="R16" s="62">
        <f t="shared" si="0"/>
        <v>262.75133341357429</v>
      </c>
      <c r="S16" s="62">
        <f ca="1">AVERAGE(OFFSET($R$3,0,0,'Données projet'!$E$9+1,1))-AVERAGE(OFFSET($H$3,0,0,'Données projet'!$E$9+1,1))</f>
        <v>455.44531340185631</v>
      </c>
      <c r="T16" s="62">
        <f t="shared" si="34"/>
        <v>560.14861617544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55.861727018419515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5.8</v>
      </c>
      <c r="AI16" s="14">
        <f>IF('Données projet'!$A$62&gt;35,AI15+AH16-AQ15,IF(A16&lt;'Données projet'!$A$62,$AF$205^A16,IF(A16='Données projet'!$A$62,'Données projet'!$B$62,AI15+AH16-AQ15)))</f>
        <v>47.964142612378375</v>
      </c>
      <c r="AJ16" s="14">
        <f>AI16*VLOOKUP('Données projet'!$B$10,Paramètres!$A$1:$I$89,3,0)*VLOOKUP('Données projet'!$B$10,Paramètres!$A$1:$I$89,5,0)</f>
        <v>41.901474986173753</v>
      </c>
      <c r="AK16" s="14">
        <f t="shared" si="35"/>
        <v>12.501262773491545</v>
      </c>
      <c r="AL16" s="22">
        <f t="shared" si="4"/>
        <v>94.751434931417066</v>
      </c>
      <c r="AM16" s="62">
        <f t="shared" si="5"/>
        <v>315.46665622117757</v>
      </c>
      <c r="AN16" s="62">
        <f ca="1">AVERAGE(OFFSET($AM$3,0,0,'Données projet'!$E$10+1,1))-AVERAGE(OFFSET($H$3,0,0,'Données projet'!$E$10+1,1))</f>
        <v>335.71510570470264</v>
      </c>
      <c r="AO16" s="62">
        <f t="shared" si="36"/>
        <v>401.61823018046482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55.861727018419515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3.65</v>
      </c>
      <c r="BD16" s="13">
        <f>IF('Données projet'!$A$88&gt;35,BD15+BC16-BL15,IF(A16&lt;'Données projet'!$A$88,$BA$205^A16,IF(A16='Données projet'!$A$88,'Données projet'!$B$88,BD15+BC16-BL15)))</f>
        <v>16.261472127148366</v>
      </c>
      <c r="BE16" s="14">
        <f>BD16*VLOOKUP('Données projet'!$B$11,Paramètres!$A$1:$I$89,3,0)*VLOOKUP('Données projet'!$B$11,Paramètres!$A$1:$I$89,5,0)</f>
        <v>14.713379980643843</v>
      </c>
      <c r="BF16" s="14">
        <f t="shared" si="37"/>
        <v>4.9584140165447881</v>
      </c>
      <c r="BG16" s="22">
        <f t="shared" si="7"/>
        <v>34.261707878436859</v>
      </c>
      <c r="BH16" s="62">
        <f t="shared" si="8"/>
        <v>254.97692916819733</v>
      </c>
      <c r="BI16" s="62">
        <f ca="1">AVERAGE(OFFSET($BH$3,0,0,'Données projet'!$E$11+1,1))-AVERAGE(OFFSET($H$3,0,0,'Données projet'!$E$11+1,1))</f>
        <v>462.677457131175</v>
      </c>
      <c r="BJ16" s="62">
        <f t="shared" si="38"/>
        <v>291.78368401945909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55.861727018419515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23.6</v>
      </c>
      <c r="BY16" s="13">
        <f>IF('Données projet'!$A$114&gt;35,BY15+BX16-CG15,IF(A16&lt;'Données projet'!$A$114,$BV$205^A16,IF(A16='Données projet'!$A$114,'Données projet'!$B$114,BY15+BX16-CG15)))</f>
        <v>127.79999999999998</v>
      </c>
      <c r="BZ16" s="14">
        <f>BY16*VLOOKUP('Données projet'!$B$12,Paramètres!$A$1:$I$89,3,0)*VLOOKUP('Données projet'!$B$12,Paramètres!$A$1:$I$89,5,0)</f>
        <v>69.77879999999999</v>
      </c>
      <c r="CA16" s="14">
        <f t="shared" si="39"/>
        <v>19.618515700802106</v>
      </c>
      <c r="CB16" s="22">
        <f t="shared" si="10"/>
        <v>155.70032484556364</v>
      </c>
      <c r="CC16" s="62">
        <f t="shared" si="11"/>
        <v>376.41554613532412</v>
      </c>
      <c r="CD16" s="62">
        <f ca="1">AVERAGE(OFFSET($CC$3,0,0,'Données projet'!$E$12+1,1))-AVERAGE(OFFSET($H$3,0,0,'Données projet'!$E$12+1,1))</f>
        <v>302.37244372118971</v>
      </c>
      <c r="CE16" s="62">
        <f t="shared" si="40"/>
        <v>439.56450354660171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5.6827236434907418</v>
      </c>
      <c r="CN16" s="24">
        <f t="shared" si="12"/>
        <v>5.6827236434907418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55.861727018419515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6.6</v>
      </c>
      <c r="CT16" s="13">
        <f>IF('Données projet'!$A$140&gt;35,CT15+CS16-DB15,IF(A16&lt;'Données projet'!$A$140,$CQ$205^A16,IF(A16='Données projet'!$A$140,'Données projet'!$B$140,CT15+CS16-DB15)))</f>
        <v>23.89863273788427</v>
      </c>
      <c r="CU16" s="18">
        <f>CT16*VLOOKUP('Données projet'!$B$13,Paramètres!$A$1:$I$89,3,0)*VLOOKUP('Données projet'!$B$13,Paramètres!$A$1:$I$89,5,0)</f>
        <v>17.522477523416747</v>
      </c>
      <c r="CV16" s="14">
        <f t="shared" si="41"/>
        <v>5.7861949096853245</v>
      </c>
      <c r="CW16" s="22">
        <f t="shared" si="13"/>
        <v>40.595937820986101</v>
      </c>
      <c r="CX16" s="62">
        <f t="shared" si="14"/>
        <v>261.31115911074659</v>
      </c>
      <c r="CY16" s="62">
        <f ca="1">AVERAGE(OFFSET($CX$3,0,0,'Données projet'!$E$13+1,1))-AVERAGE(OFFSET($H$3,0,0,'Données projet'!$E$13+1,1))</f>
        <v>300.12722359176314</v>
      </c>
      <c r="CZ16" s="62">
        <f t="shared" si="42"/>
        <v>313.35115626175946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55.861727018419515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55.861727018419515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55.861727018419515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55.861727018419515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55.861727018419515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3.55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13.016666666666666</v>
      </c>
      <c r="H17" s="70">
        <f t="shared" si="1"/>
        <v>204.6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56.106994446206841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8.526315789473685</v>
      </c>
      <c r="N17" s="14">
        <f>IF('Données projet'!$A$36&gt;35,N16+M17-V16,IF(A17&lt;'Données projet'!$A$36,$K$205^A17,IF(A17='Données projet'!$A$36,'Données projet'!$B$36,N16+M17-V16)))</f>
        <v>42.468184448710481</v>
      </c>
      <c r="O17" s="14">
        <f>N17*VLOOKUP('Données projet'!$B$9,Paramètres!$A$1:$I$89,3,0)*VLOOKUP('Données projet'!$B$9,Paramètres!$A$1:$I$89,5,0)</f>
        <v>23.739715106829159</v>
      </c>
      <c r="P17" s="14">
        <f t="shared" si="33"/>
        <v>7.5669736064602473</v>
      </c>
      <c r="Q17" s="22">
        <f t="shared" si="2"/>
        <v>54.525816175645708</v>
      </c>
      <c r="R17" s="62">
        <f t="shared" si="0"/>
        <v>277.36257358951519</v>
      </c>
      <c r="S17" s="62">
        <f ca="1">AVERAGE(OFFSET($R$3,0,0,'Données projet'!$E$9+1,1))-AVERAGE(OFFSET($H$3,0,0,'Données projet'!$E$9+1,1))</f>
        <v>455.44531340185631</v>
      </c>
      <c r="T17" s="62">
        <f t="shared" si="34"/>
        <v>560.14861617544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56.106994446206841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5.8</v>
      </c>
      <c r="AI17" s="14">
        <f>IF('Données projet'!$A$62&gt;35,AI16+AH17-AQ16,IF(A17&lt;'Données projet'!$A$62,$AF$205^A17,IF(A17='Données projet'!$A$62,'Données projet'!$B$62,AI16+AH17-AQ16)))</f>
        <v>64.597835933388069</v>
      </c>
      <c r="AJ17" s="14">
        <f>AI17*VLOOKUP('Données projet'!$B$10,Paramètres!$A$1:$I$89,3,0)*VLOOKUP('Données projet'!$B$10,Paramètres!$A$1:$I$89,5,0)</f>
        <v>56.432669471407827</v>
      </c>
      <c r="AK17" s="14">
        <f t="shared" si="35"/>
        <v>16.263143652501352</v>
      </c>
      <c r="AL17" s="22">
        <f t="shared" si="4"/>
        <v>126.61187452414181</v>
      </c>
      <c r="AM17" s="62">
        <f t="shared" si="5"/>
        <v>349.44863193801132</v>
      </c>
      <c r="AN17" s="62">
        <f ca="1">AVERAGE(OFFSET($AM$3,0,0,'Données projet'!$E$10+1,1))-AVERAGE(OFFSET($H$3,0,0,'Données projet'!$E$10+1,1))</f>
        <v>335.71510570470264</v>
      </c>
      <c r="AO17" s="62">
        <f t="shared" si="36"/>
        <v>401.61823018046482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56.106994446206841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3.65</v>
      </c>
      <c r="BD17" s="13">
        <f>IF('Données projet'!$A$88&gt;35,BD16+BC17-BL16,IF(A17&lt;'Données projet'!$A$88,$BA$205^A17,IF(A17='Données projet'!$A$88,'Données projet'!$B$88,BD16+BC17-BL16)))</f>
        <v>20.152364144963837</v>
      </c>
      <c r="BE17" s="14">
        <f>BD17*VLOOKUP('Données projet'!$B$11,Paramètres!$A$1:$I$89,3,0)*VLOOKUP('Données projet'!$B$11,Paramètres!$A$1:$I$89,5,0)</f>
        <v>18.233859078363277</v>
      </c>
      <c r="BF17" s="14">
        <f t="shared" si="37"/>
        <v>5.9932775513027368</v>
      </c>
      <c r="BG17" s="22">
        <f t="shared" si="7"/>
        <v>42.195596296668306</v>
      </c>
      <c r="BH17" s="62">
        <f t="shared" si="8"/>
        <v>265.03235371053779</v>
      </c>
      <c r="BI17" s="62">
        <f ca="1">AVERAGE(OFFSET($BH$3,0,0,'Données projet'!$E$11+1,1))-AVERAGE(OFFSET($H$3,0,0,'Données projet'!$E$11+1,1))</f>
        <v>462.677457131175</v>
      </c>
      <c r="BJ17" s="62">
        <f t="shared" si="38"/>
        <v>291.78368401945909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56.106994446206841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23.6</v>
      </c>
      <c r="BY17" s="13">
        <f>IF('Données projet'!$A$114&gt;35,BY16+BX17-CG16,IF(A17&lt;'Données projet'!$A$114,$BV$205^A17,IF(A17='Données projet'!$A$114,'Données projet'!$B$114,BY16+BX17-CG16)))</f>
        <v>151.39999999999998</v>
      </c>
      <c r="BZ17" s="14">
        <f>BY17*VLOOKUP('Données projet'!$B$12,Paramètres!$A$1:$I$89,3,0)*VLOOKUP('Données projet'!$B$12,Paramètres!$A$1:$I$89,5,0)</f>
        <v>82.664399999999986</v>
      </c>
      <c r="CA17" s="14">
        <f t="shared" si="39"/>
        <v>22.787396402913611</v>
      </c>
      <c r="CB17" s="22">
        <f t="shared" si="10"/>
        <v>183.66187873507451</v>
      </c>
      <c r="CC17" s="62">
        <f t="shared" si="11"/>
        <v>406.498636148944</v>
      </c>
      <c r="CD17" s="62">
        <f ca="1">AVERAGE(OFFSET($CC$3,0,0,'Données projet'!$E$12+1,1))-AVERAGE(OFFSET($H$3,0,0,'Données projet'!$E$12+1,1))</f>
        <v>302.37244372118971</v>
      </c>
      <c r="CE17" s="62">
        <f t="shared" si="40"/>
        <v>439.56450354660171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4.0182924239214284</v>
      </c>
      <c r="CN17" s="24">
        <f t="shared" si="12"/>
        <v>4.0182924239214284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56.106994446206841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6.6</v>
      </c>
      <c r="CT17" s="13">
        <f>IF('Données projet'!$A$140&gt;35,CT16+CS17-DB16,IF(A17&lt;'Données projet'!$A$140,$CQ$205^A17,IF(A17='Données projet'!$A$140,'Données projet'!$B$140,CT16+CS17-DB16)))</f>
        <v>30.50715803683886</v>
      </c>
      <c r="CU17" s="18">
        <f>CT17*VLOOKUP('Données projet'!$B$13,Paramètres!$A$1:$I$89,3,0)*VLOOKUP('Données projet'!$B$13,Paramètres!$A$1:$I$89,5,0)</f>
        <v>22.367848272610249</v>
      </c>
      <c r="CV17" s="14">
        <f t="shared" si="41"/>
        <v>7.1792655113394739</v>
      </c>
      <c r="CW17" s="22">
        <f t="shared" si="13"/>
        <v>51.461223173712426</v>
      </c>
      <c r="CX17" s="62">
        <f t="shared" si="14"/>
        <v>274.29798058758195</v>
      </c>
      <c r="CY17" s="62">
        <f ca="1">AVERAGE(OFFSET($CX$3,0,0,'Données projet'!$E$13+1,1))-AVERAGE(OFFSET($H$3,0,0,'Données projet'!$E$13+1,1))</f>
        <v>300.12722359176314</v>
      </c>
      <c r="CZ17" s="62">
        <f t="shared" si="42"/>
        <v>313.35115626175946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56.106994446206841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56.106994446206841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56.106994446206841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56.106994446206841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56.106994446206841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3.55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13.016666666666666</v>
      </c>
      <c r="H18" s="70">
        <f t="shared" si="1"/>
        <v>204.6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56.348007032457872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8.526315789473685</v>
      </c>
      <c r="N18" s="14">
        <f>IF('Données projet'!$A$36&gt;35,N17+M18-V17,IF(A18&lt;'Données projet'!$A$36,$K$205^A18,IF(A18='Données projet'!$A$36,'Données projet'!$B$36,N17+M18-V17)))</f>
        <v>55.507792846923991</v>
      </c>
      <c r="O18" s="14">
        <f>N18*VLOOKUP('Données projet'!$B$9,Paramètres!$A$1:$I$89,3,0)*VLOOKUP('Données projet'!$B$9,Paramètres!$A$1:$I$89,5,0)</f>
        <v>31.028856201430514</v>
      </c>
      <c r="P18" s="14">
        <f t="shared" si="33"/>
        <v>9.5868580371693835</v>
      </c>
      <c r="Q18" s="22">
        <f t="shared" si="2"/>
        <v>70.739035632228152</v>
      </c>
      <c r="R18" s="62">
        <f t="shared" si="0"/>
        <v>295.68172808457371</v>
      </c>
      <c r="S18" s="62">
        <f ca="1">AVERAGE(OFFSET($R$3,0,0,'Données projet'!$E$9+1,1))-AVERAGE(OFFSET($H$3,0,0,'Données projet'!$E$9+1,1))</f>
        <v>455.44531340185631</v>
      </c>
      <c r="T18" s="62">
        <f t="shared" si="34"/>
        <v>560.14861617544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56.348007032457872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>
        <f>VLOOKUP(A18,'Données projet'!$A$61:$I$81,2,0)</f>
        <v>87</v>
      </c>
      <c r="AG18" s="13">
        <f>VLOOKUP(A18,'Données projet'!$A$61:$I$81,9,0)</f>
        <v>5.8</v>
      </c>
      <c r="AH18" s="13">
        <f t="array" ref="AH18">INDEX(AG:AG,MIN(IF(ISNUMBER(AG18:AG214),ROW(AG18:AG214),"")))</f>
        <v>5.8</v>
      </c>
      <c r="AI18" s="14">
        <f>IF('Données projet'!$A$62&gt;35,AI17+AH18-AQ17,IF(A18&lt;'Données projet'!$A$62,$AF$205^A18,IF(A18='Données projet'!$A$62,'Données projet'!$B$62,AI17+AH18-AQ17)))</f>
        <v>87</v>
      </c>
      <c r="AJ18" s="14">
        <f>AI18*VLOOKUP('Données projet'!$B$10,Paramètres!$A$1:$I$89,3,0)*VLOOKUP('Données projet'!$B$10,Paramètres!$A$1:$I$89,5,0)</f>
        <v>76.003200000000007</v>
      </c>
      <c r="AK18" s="14">
        <f t="shared" si="35"/>
        <v>21.157049992000456</v>
      </c>
      <c r="AL18" s="22">
        <f t="shared" si="4"/>
        <v>169.22076873606747</v>
      </c>
      <c r="AM18" s="62">
        <f t="shared" si="5"/>
        <v>394.16346118841301</v>
      </c>
      <c r="AN18" s="62">
        <f ca="1">AVERAGE(OFFSET($AM$3,0,0,'Données projet'!$E$10+1,1))-AVERAGE(OFFSET($H$3,0,0,'Données projet'!$E$10+1,1))</f>
        <v>335.71510570470264</v>
      </c>
      <c r="AO18" s="62">
        <f t="shared" si="36"/>
        <v>401.61823018046482</v>
      </c>
      <c r="AP18" s="16">
        <f>IF(ISNA(VLOOKUP(A18,'Données projet'!$A$61:$I$81,3,0)),0,VLOOKUP(A18,'Données projet'!$A$61:$I$81,3,0))</f>
        <v>1</v>
      </c>
      <c r="AQ18" s="16">
        <f>IF(ISNA(VLOOKUP(A18,'Données projet'!$A$61:$I$81,4,0)),0,VLOOKUP(A18,'Données projet'!$A$61:$I$81,4,0))</f>
        <v>21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56.348007032457872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3.65</v>
      </c>
      <c r="BD18" s="13">
        <f>IF('Données projet'!$A$88&gt;35,BD17+BC18-BL17,IF(A18&lt;'Données projet'!$A$88,$BA$205^A18,IF(A18='Données projet'!$A$88,'Données projet'!$B$88,BD17+BC18-BL17)))</f>
        <v>24.974232188561476</v>
      </c>
      <c r="BE18" s="14">
        <f>BD18*VLOOKUP('Données projet'!$B$11,Paramètres!$A$1:$I$89,3,0)*VLOOKUP('Données projet'!$B$11,Paramètres!$A$1:$I$89,5,0)</f>
        <v>22.596685284210423</v>
      </c>
      <c r="BF18" s="14">
        <f t="shared" si="37"/>
        <v>7.2441259820371586</v>
      </c>
      <c r="BG18" s="22">
        <f t="shared" si="7"/>
        <v>51.972746288714539</v>
      </c>
      <c r="BH18" s="62">
        <f t="shared" si="8"/>
        <v>276.91543874106009</v>
      </c>
      <c r="BI18" s="62">
        <f ca="1">AVERAGE(OFFSET($BH$3,0,0,'Données projet'!$E$11+1,1))-AVERAGE(OFFSET($H$3,0,0,'Données projet'!$E$11+1,1))</f>
        <v>462.677457131175</v>
      </c>
      <c r="BJ18" s="62">
        <f t="shared" si="38"/>
        <v>291.78368401945909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56.348007032457872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>
        <f>VLOOKUP(A18,'Données projet'!$A$113:$I$133,2,0)</f>
        <v>175</v>
      </c>
      <c r="BW18" s="13">
        <f>VLOOKUP(A18,'Données projet'!$A$113:$I$133,9,0)</f>
        <v>23.6</v>
      </c>
      <c r="BX18" s="13">
        <f t="array" ref="BX18">INDEX(BW:BW,MIN(IF(ISNUMBER(BW18:BW214),ROW(BW18:BW214),"")))</f>
        <v>23.6</v>
      </c>
      <c r="BY18" s="13">
        <f>IF('Données projet'!$A$114&gt;35,BY17+BX18-CG17,IF(A18&lt;'Données projet'!$A$114,$BV$205^A18,IF(A18='Données projet'!$A$114,'Données projet'!$B$114,BY17+BX18-CG17)))</f>
        <v>174.99999999999997</v>
      </c>
      <c r="BZ18" s="14">
        <f>BY18*VLOOKUP('Données projet'!$B$12,Paramètres!$A$1:$I$89,3,0)*VLOOKUP('Données projet'!$B$12,Paramètres!$A$1:$I$89,5,0)</f>
        <v>95.549999999999983</v>
      </c>
      <c r="CA18" s="14">
        <f t="shared" si="39"/>
        <v>25.899054157375318</v>
      </c>
      <c r="CB18" s="22">
        <f t="shared" si="10"/>
        <v>211.5237693240953</v>
      </c>
      <c r="CC18" s="62">
        <f t="shared" si="11"/>
        <v>436.46646177644084</v>
      </c>
      <c r="CD18" s="62">
        <f ca="1">AVERAGE(OFFSET($CC$3,0,0,'Données projet'!$E$12+1,1))-AVERAGE(OFFSET($H$3,0,0,'Données projet'!$E$12+1,1))</f>
        <v>302.37244372118971</v>
      </c>
      <c r="CE18" s="62">
        <f t="shared" si="40"/>
        <v>439.56450354660171</v>
      </c>
      <c r="CF18" s="16">
        <f>IF(ISNA(VLOOKUP(A18,'Données projet'!$A$113:$I$133,3,0)),0,VLOOKUP(A18,'Données projet'!$A$113:$I$133,3,0))</f>
        <v>2</v>
      </c>
      <c r="CG18" s="16">
        <f>IF(ISNA(VLOOKUP(A18,'Données projet'!$A$113:$I$133,4,0)),0,VLOOKUP(A18,'Données projet'!$A$113:$I$133,4,0))</f>
        <v>54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1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36.224098882015696</v>
      </c>
      <c r="CN18" s="24">
        <f t="shared" si="12"/>
        <v>36.224098882015696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56.348007032457872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6.6</v>
      </c>
      <c r="CT18" s="13">
        <f>IF('Données projet'!$A$140&gt;35,CT17+CS18-DB17,IF(A18&lt;'Données projet'!$A$140,$CQ$205^A18,IF(A18='Données projet'!$A$140,'Données projet'!$B$140,CT17+CS18-DB17)))</f>
        <v>38.943093594192561</v>
      </c>
      <c r="CU18" s="18">
        <f>CT18*VLOOKUP('Données projet'!$B$13,Paramètres!$A$1:$I$89,3,0)*VLOOKUP('Données projet'!$B$13,Paramètres!$A$1:$I$89,5,0)</f>
        <v>28.553076223261982</v>
      </c>
      <c r="CV18" s="14">
        <f t="shared" si="41"/>
        <v>8.9077284963273851</v>
      </c>
      <c r="CW18" s="22">
        <f t="shared" si="13"/>
        <v>65.244234886618145</v>
      </c>
      <c r="CX18" s="62">
        <f t="shared" si="14"/>
        <v>290.1869273389637</v>
      </c>
      <c r="CY18" s="62">
        <f ca="1">AVERAGE(OFFSET($CX$3,0,0,'Données projet'!$E$13+1,1))-AVERAGE(OFFSET($H$3,0,0,'Données projet'!$E$13+1,1))</f>
        <v>300.12722359176314</v>
      </c>
      <c r="CZ18" s="62">
        <f t="shared" si="42"/>
        <v>313.35115626175946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56.348007032457872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56.348007032457872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56.348007032457872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56.348007032457872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56.348007032457872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3.55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13.016666666666666</v>
      </c>
      <c r="H19" s="70">
        <f t="shared" si="1"/>
        <v>204.6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56.584838589160867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8.526315789473685</v>
      </c>
      <c r="N19" s="14">
        <f>IF('Données projet'!$A$36&gt;35,N18+M19-V18,IF(A19&lt;'Données projet'!$A$36,$K$205^A19,IF(A19='Données projet'!$A$36,'Données projet'!$B$36,N18+M19-V18)))</f>
        <v>72.551136968384853</v>
      </c>
      <c r="O19" s="14">
        <f>N19*VLOOKUP('Données projet'!$B$9,Paramètres!$A$1:$I$89,3,0)*VLOOKUP('Données projet'!$B$9,Paramètres!$A$1:$I$89,5,0)</f>
        <v>40.55608556532713</v>
      </c>
      <c r="P19" s="14">
        <f t="shared" si="33"/>
        <v>12.145918805157919</v>
      </c>
      <c r="Q19" s="22">
        <f t="shared" si="2"/>
        <v>91.78932427859479</v>
      </c>
      <c r="R19" s="62">
        <f t="shared" si="0"/>
        <v>318.82262132774019</v>
      </c>
      <c r="S19" s="62">
        <f ca="1">AVERAGE(OFFSET($R$3,0,0,'Données projet'!$E$9+1,1))-AVERAGE(OFFSET($H$3,0,0,'Données projet'!$E$9+1,1))</f>
        <v>455.44531340185631</v>
      </c>
      <c r="T19" s="62">
        <f t="shared" si="34"/>
        <v>560.14861617544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56.584838589160867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14.2</v>
      </c>
      <c r="AI19" s="14">
        <f>IF('Données projet'!$A$62&gt;35,AI18+AH19-AQ18,IF(A19&lt;'Données projet'!$A$62,$AF$205^A19,IF(A19='Données projet'!$A$62,'Données projet'!$B$62,AI18+AH19-AQ18)))</f>
        <v>80.2</v>
      </c>
      <c r="AJ19" s="14">
        <f>AI19*VLOOKUP('Données projet'!$B$10,Paramètres!$A$1:$I$89,3,0)*VLOOKUP('Données projet'!$B$10,Paramètres!$A$1:$I$89,5,0)</f>
        <v>70.062720000000013</v>
      </c>
      <c r="AK19" s="14">
        <f t="shared" si="35"/>
        <v>19.689032345957123</v>
      </c>
      <c r="AL19" s="22">
        <f t="shared" si="4"/>
        <v>156.31763533587534</v>
      </c>
      <c r="AM19" s="62">
        <f t="shared" si="5"/>
        <v>383.35093238502077</v>
      </c>
      <c r="AN19" s="62">
        <f ca="1">AVERAGE(OFFSET($AM$3,0,0,'Données projet'!$E$10+1,1))-AVERAGE(OFFSET($H$3,0,0,'Données projet'!$E$10+1,1))</f>
        <v>335.71510570470264</v>
      </c>
      <c r="AO19" s="62">
        <f t="shared" si="36"/>
        <v>401.61823018046482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56.584838589160867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3.65</v>
      </c>
      <c r="BD19" s="13">
        <f>IF('Données projet'!$A$88&gt;35,BD18+BC19-BL18,IF(A19&lt;'Données projet'!$A$88,$BA$205^A19,IF(A19='Données projet'!$A$88,'Données projet'!$B$88,BD18+BC19-BL18)))</f>
        <v>30.949831440200953</v>
      </c>
      <c r="BE19" s="14">
        <f>BD19*VLOOKUP('Données projet'!$B$11,Paramètres!$A$1:$I$89,3,0)*VLOOKUP('Données projet'!$B$11,Paramètres!$A$1:$I$89,5,0)</f>
        <v>28.003407487093821</v>
      </c>
      <c r="BF19" s="14">
        <f t="shared" si="37"/>
        <v>8.7560372090925433</v>
      </c>
      <c r="BG19" s="22">
        <f t="shared" si="7"/>
        <v>64.022699512524582</v>
      </c>
      <c r="BH19" s="62">
        <f t="shared" si="8"/>
        <v>291.05599656166999</v>
      </c>
      <c r="BI19" s="62">
        <f ca="1">AVERAGE(OFFSET($BH$3,0,0,'Données projet'!$E$11+1,1))-AVERAGE(OFFSET($H$3,0,0,'Données projet'!$E$11+1,1))</f>
        <v>462.677457131175</v>
      </c>
      <c r="BJ19" s="62">
        <f t="shared" si="38"/>
        <v>291.78368401945909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56.584838589160867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25</v>
      </c>
      <c r="BY19" s="13">
        <f>IF('Données projet'!$A$114&gt;35,BY18+BX19-CG18,IF(A19&lt;'Données projet'!$A$114,$BV$205^A19,IF(A19='Données projet'!$A$114,'Données projet'!$B$114,BY18+BX19-CG18)))</f>
        <v>145.99999999999997</v>
      </c>
      <c r="BZ19" s="14">
        <f>BY19*VLOOKUP('Données projet'!$B$12,Paramètres!$A$1:$I$89,3,0)*VLOOKUP('Données projet'!$B$12,Paramètres!$A$1:$I$89,5,0)</f>
        <v>79.71599999999998</v>
      </c>
      <c r="CA19" s="14">
        <f t="shared" si="39"/>
        <v>22.067730286351033</v>
      </c>
      <c r="CB19" s="22">
        <f t="shared" si="10"/>
        <v>177.273330248728</v>
      </c>
      <c r="CC19" s="62">
        <f t="shared" si="11"/>
        <v>404.30662729787343</v>
      </c>
      <c r="CD19" s="62">
        <f ca="1">AVERAGE(OFFSET($CC$3,0,0,'Données projet'!$E$12+1,1))-AVERAGE(OFFSET($H$3,0,0,'Données projet'!$E$12+1,1))</f>
        <v>302.37244372118971</v>
      </c>
      <c r="CE19" s="62">
        <f t="shared" si="40"/>
        <v>439.56450354660171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25.614305961845336</v>
      </c>
      <c r="CN19" s="24">
        <f t="shared" si="12"/>
        <v>25.614305961845336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56.584838589160867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6.6</v>
      </c>
      <c r="CT19" s="13">
        <f>IF('Données projet'!$A$140&gt;35,CT18+CS19-DB18,IF(A19&lt;'Données projet'!$A$140,$CQ$205^A19,IF(A19='Données projet'!$A$140,'Données projet'!$B$140,CT18+CS19-DB18)))</f>
        <v>49.711760658095955</v>
      </c>
      <c r="CU19" s="18">
        <f>CT19*VLOOKUP('Données projet'!$B$13,Paramètres!$A$1:$I$89,3,0)*VLOOKUP('Données projet'!$B$13,Paramètres!$A$1:$I$89,5,0)</f>
        <v>36.448662914515957</v>
      </c>
      <c r="CV19" s="14">
        <f t="shared" si="41"/>
        <v>11.05233214163138</v>
      </c>
      <c r="CW19" s="22">
        <f t="shared" si="13"/>
        <v>82.730899722789943</v>
      </c>
      <c r="CX19" s="62">
        <f t="shared" si="14"/>
        <v>309.76419677193536</v>
      </c>
      <c r="CY19" s="62">
        <f ca="1">AVERAGE(OFFSET($CX$3,0,0,'Données projet'!$E$13+1,1))-AVERAGE(OFFSET($H$3,0,0,'Données projet'!$E$13+1,1))</f>
        <v>300.12722359176314</v>
      </c>
      <c r="CZ19" s="62">
        <f t="shared" si="42"/>
        <v>313.35115626175946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56.584838589160867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56.584838589160867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56.584838589160867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56.584838589160867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56.584838589160867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3.55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13.016666666666666</v>
      </c>
      <c r="H20" s="70">
        <f t="shared" si="1"/>
        <v>204.6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56.817561647831113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8.526315789473685</v>
      </c>
      <c r="N20" s="14">
        <f>IF('Données projet'!$A$36&gt;35,N19+M20-V19,IF(A20&lt;'Données projet'!$A$36,$K$205^A20,IF(A20='Données projet'!$A$36,'Données projet'!$B$36,N19+M20-V19)))</f>
        <v>94.827540520682575</v>
      </c>
      <c r="O20" s="14">
        <f>N20*VLOOKUP('Données projet'!$B$9,Paramètres!$A$1:$I$89,3,0)*VLOOKUP('Données projet'!$B$9,Paramètres!$A$1:$I$89,5,0)</f>
        <v>53.008595151061563</v>
      </c>
      <c r="P20" s="14">
        <f t="shared" si="33"/>
        <v>15.388080542084102</v>
      </c>
      <c r="Q20" s="22">
        <f t="shared" si="2"/>
        <v>119.12421016556203</v>
      </c>
      <c r="R20" s="62">
        <f t="shared" si="0"/>
        <v>348.23304731872054</v>
      </c>
      <c r="S20" s="62">
        <f ca="1">AVERAGE(OFFSET($R$3,0,0,'Données projet'!$E$9+1,1))-AVERAGE(OFFSET($H$3,0,0,'Données projet'!$E$9+1,1))</f>
        <v>455.44531340185631</v>
      </c>
      <c r="T20" s="62">
        <f t="shared" si="34"/>
        <v>560.14861617544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56.817561647831113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14.2</v>
      </c>
      <c r="AI20" s="14">
        <f>IF('Données projet'!$A$62&gt;35,AI19+AH20-AQ19,IF(A20&lt;'Données projet'!$A$62,$AF$205^A20,IF(A20='Données projet'!$A$62,'Données projet'!$B$62,AI19+AH20-AQ19)))</f>
        <v>94.4</v>
      </c>
      <c r="AJ20" s="14">
        <f>AI20*VLOOKUP('Données projet'!$B$10,Paramètres!$A$1:$I$89,3,0)*VLOOKUP('Données projet'!$B$10,Paramètres!$A$1:$I$89,5,0)</f>
        <v>82.467840000000024</v>
      </c>
      <c r="AK20" s="14">
        <f t="shared" si="35"/>
        <v>22.739512759227473</v>
      </c>
      <c r="AL20" s="22">
        <f t="shared" si="4"/>
        <v>183.23613938898788</v>
      </c>
      <c r="AM20" s="62">
        <f t="shared" si="5"/>
        <v>412.34497654214641</v>
      </c>
      <c r="AN20" s="62">
        <f ca="1">AVERAGE(OFFSET($AM$3,0,0,'Données projet'!$E$10+1,1))-AVERAGE(OFFSET($H$3,0,0,'Données projet'!$E$10+1,1))</f>
        <v>335.71510570470264</v>
      </c>
      <c r="AO20" s="62">
        <f t="shared" si="36"/>
        <v>401.61823018046482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56.817561647831113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3.65</v>
      </c>
      <c r="BD20" s="13">
        <f>IF('Données projet'!$A$88&gt;35,BD19+BC20-BL19,IF(A20&lt;'Données projet'!$A$88,$BA$205^A20,IF(A20='Données projet'!$A$88,'Données projet'!$B$88,BD19+BC20-BL19)))</f>
        <v>38.355215845858055</v>
      </c>
      <c r="BE20" s="14">
        <f>BD20*VLOOKUP('Données projet'!$B$11,Paramètres!$A$1:$I$89,3,0)*VLOOKUP('Données projet'!$B$11,Paramètres!$A$1:$I$89,5,0)</f>
        <v>34.703799297332367</v>
      </c>
      <c r="BF20" s="14">
        <f t="shared" si="37"/>
        <v>10.583497277259243</v>
      </c>
      <c r="BG20" s="22">
        <f t="shared" si="7"/>
        <v>78.875374867413711</v>
      </c>
      <c r="BH20" s="62">
        <f t="shared" si="8"/>
        <v>307.98421202057227</v>
      </c>
      <c r="BI20" s="62">
        <f ca="1">AVERAGE(OFFSET($BH$3,0,0,'Données projet'!$E$11+1,1))-AVERAGE(OFFSET($H$3,0,0,'Données projet'!$E$11+1,1))</f>
        <v>462.677457131175</v>
      </c>
      <c r="BJ20" s="62">
        <f t="shared" si="38"/>
        <v>291.78368401945909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56.817561647831113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25</v>
      </c>
      <c r="BY20" s="13">
        <f>IF('Données projet'!$A$114&gt;35,BY19+BX20-CG19,IF(A20&lt;'Données projet'!$A$114,$BV$205^A20,IF(A20='Données projet'!$A$114,'Données projet'!$B$114,BY19+BX20-CG19)))</f>
        <v>170.99999999999997</v>
      </c>
      <c r="BZ20" s="14">
        <f>BY20*VLOOKUP('Données projet'!$B$12,Paramètres!$A$1:$I$89,3,0)*VLOOKUP('Données projet'!$B$12,Paramètres!$A$1:$I$89,5,0)</f>
        <v>93.365999999999971</v>
      </c>
      <c r="CA20" s="14">
        <f t="shared" si="39"/>
        <v>25.375280233490678</v>
      </c>
      <c r="CB20" s="22">
        <f t="shared" si="10"/>
        <v>206.80772973999618</v>
      </c>
      <c r="CC20" s="62">
        <f t="shared" si="11"/>
        <v>435.91656689315471</v>
      </c>
      <c r="CD20" s="62">
        <f ca="1">AVERAGE(OFFSET($CC$3,0,0,'Données projet'!$E$12+1,1))-AVERAGE(OFFSET($H$3,0,0,'Données projet'!$E$12+1,1))</f>
        <v>302.37244372118971</v>
      </c>
      <c r="CE20" s="62">
        <f t="shared" si="40"/>
        <v>439.56450354660171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18.112049441007851</v>
      </c>
      <c r="CN20" s="24">
        <f t="shared" si="12"/>
        <v>18.112049441007851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56.817561647831113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6.6</v>
      </c>
      <c r="CT20" s="13">
        <f>IF('Données projet'!$A$140&gt;35,CT19+CS20-DB19,IF(A20&lt;'Données projet'!$A$140,$CQ$205^A20,IF(A20='Données projet'!$A$140,'Données projet'!$B$140,CT19+CS20-DB19)))</f>
        <v>63.458213501978861</v>
      </c>
      <c r="CU20" s="18">
        <f>CT20*VLOOKUP('Données projet'!$B$13,Paramètres!$A$1:$I$89,3,0)*VLOOKUP('Données projet'!$B$13,Paramètres!$A$1:$I$89,5,0)</f>
        <v>46.527562139650897</v>
      </c>
      <c r="CV20" s="14">
        <f t="shared" si="41"/>
        <v>13.713265488424092</v>
      </c>
      <c r="CW20" s="22">
        <f t="shared" si="13"/>
        <v>104.9194414522306</v>
      </c>
      <c r="CX20" s="62">
        <f t="shared" si="14"/>
        <v>334.02827860538912</v>
      </c>
      <c r="CY20" s="62">
        <f ca="1">AVERAGE(OFFSET($CX$3,0,0,'Données projet'!$E$13+1,1))-AVERAGE(OFFSET($H$3,0,0,'Données projet'!$E$13+1,1))</f>
        <v>300.12722359176314</v>
      </c>
      <c r="CZ20" s="62">
        <f t="shared" si="42"/>
        <v>313.35115626175946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56.817561647831113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56.817561647831113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56.817561647831113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56.817561647831113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56.817561647831113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3.55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13.016666666666666</v>
      </c>
      <c r="H21" s="70">
        <f t="shared" si="1"/>
        <v>204.6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57.046247481724237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8.526315789473685</v>
      </c>
      <c r="N21" s="14">
        <f>IF('Données projet'!$A$36&gt;35,N20+M21-V20,IF(A21&lt;'Données projet'!$A$36,$K$205^A21,IF(A21='Données projet'!$A$36,'Données projet'!$B$36,N20+M21-V20)))</f>
        <v>123.94378388749713</v>
      </c>
      <c r="O21" s="14">
        <f>N21*VLOOKUP('Données projet'!$B$9,Paramètres!$A$1:$I$89,3,0)*VLOOKUP('Données projet'!$B$9,Paramètres!$A$1:$I$89,5,0)</f>
        <v>69.284575193110896</v>
      </c>
      <c r="P21" s="14">
        <f t="shared" si="33"/>
        <v>19.495686293334202</v>
      </c>
      <c r="Q21" s="22">
        <f t="shared" si="2"/>
        <v>154.62562208889187</v>
      </c>
      <c r="R21" s="62">
        <f t="shared" si="0"/>
        <v>385.79519618854738</v>
      </c>
      <c r="S21" s="62">
        <f ca="1">AVERAGE(OFFSET($R$3,0,0,'Données projet'!$E$9+1,1))-AVERAGE(OFFSET($H$3,0,0,'Données projet'!$E$9+1,1))</f>
        <v>455.44531340185631</v>
      </c>
      <c r="T21" s="62">
        <f t="shared" si="34"/>
        <v>560.14861617544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57.046247481724237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14.2</v>
      </c>
      <c r="AI21" s="14">
        <f>IF('Données projet'!$A$62&gt;35,AI20+AH21-AQ20,IF(A21&lt;'Données projet'!$A$62,$AF$205^A21,IF(A21='Données projet'!$A$62,'Données projet'!$B$62,AI20+AH21-AQ20)))</f>
        <v>108.60000000000001</v>
      </c>
      <c r="AJ21" s="14">
        <f>AI21*VLOOKUP('Données projet'!$B$10,Paramètres!$A$1:$I$89,3,0)*VLOOKUP('Données projet'!$B$10,Paramètres!$A$1:$I$89,5,0)</f>
        <v>94.87296000000002</v>
      </c>
      <c r="AK21" s="14">
        <f t="shared" si="35"/>
        <v>25.736834760472274</v>
      </c>
      <c r="AL21" s="22">
        <f t="shared" si="4"/>
        <v>210.06205920782259</v>
      </c>
      <c r="AM21" s="62">
        <f t="shared" si="5"/>
        <v>441.23163330747809</v>
      </c>
      <c r="AN21" s="62">
        <f ca="1">AVERAGE(OFFSET($AM$3,0,0,'Données projet'!$E$10+1,1))-AVERAGE(OFFSET($H$3,0,0,'Données projet'!$E$10+1,1))</f>
        <v>335.71510570470264</v>
      </c>
      <c r="AO21" s="62">
        <f t="shared" si="36"/>
        <v>401.61823018046482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57.046247481724237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3.65</v>
      </c>
      <c r="BD21" s="13">
        <f>IF('Données projet'!$A$88&gt;35,BD20+BC21-BL20,IF(A21&lt;'Données projet'!$A$88,$BA$205^A21,IF(A21='Données projet'!$A$88,'Données projet'!$B$88,BD20+BC21-BL20)))</f>
        <v>47.532490941824946</v>
      </c>
      <c r="BE21" s="14">
        <f>BD21*VLOOKUP('Données projet'!$B$11,Paramètres!$A$1:$I$89,3,0)*VLOOKUP('Données projet'!$B$11,Paramètres!$A$1:$I$89,5,0)</f>
        <v>43.007397804163212</v>
      </c>
      <c r="BF21" s="14">
        <f t="shared" si="37"/>
        <v>12.792363936215189</v>
      </c>
      <c r="BG21" s="22">
        <f t="shared" si="7"/>
        <v>97.184585031159045</v>
      </c>
      <c r="BH21" s="62">
        <f t="shared" si="8"/>
        <v>328.35415913081459</v>
      </c>
      <c r="BI21" s="62">
        <f ca="1">AVERAGE(OFFSET($BH$3,0,0,'Données projet'!$E$11+1,1))-AVERAGE(OFFSET($H$3,0,0,'Données projet'!$E$11+1,1))</f>
        <v>462.677457131175</v>
      </c>
      <c r="BJ21" s="62">
        <f t="shared" si="38"/>
        <v>291.78368401945909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57.046247481724237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25</v>
      </c>
      <c r="BY21" s="13">
        <f>IF('Données projet'!$A$114&gt;35,BY20+BX21-CG20,IF(A21&lt;'Données projet'!$A$114,$BV$205^A21,IF(A21='Données projet'!$A$114,'Données projet'!$B$114,BY20+BX21-CG20)))</f>
        <v>195.99999999999997</v>
      </c>
      <c r="BZ21" s="14">
        <f>BY21*VLOOKUP('Données projet'!$B$12,Paramètres!$A$1:$I$89,3,0)*VLOOKUP('Données projet'!$B$12,Paramètres!$A$1:$I$89,5,0)</f>
        <v>107.01599999999998</v>
      </c>
      <c r="CA21" s="14">
        <f t="shared" si="39"/>
        <v>28.626809543094307</v>
      </c>
      <c r="CB21" s="22">
        <f t="shared" si="10"/>
        <v>236.24455995422252</v>
      </c>
      <c r="CC21" s="62">
        <f t="shared" si="11"/>
        <v>467.41413405387806</v>
      </c>
      <c r="CD21" s="62">
        <f ca="1">AVERAGE(OFFSET($CC$3,0,0,'Données projet'!$E$12+1,1))-AVERAGE(OFFSET($H$3,0,0,'Données projet'!$E$12+1,1))</f>
        <v>302.37244372118971</v>
      </c>
      <c r="CE21" s="62">
        <f t="shared" si="40"/>
        <v>439.56450354660171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12.80715298092267</v>
      </c>
      <c r="CN21" s="24">
        <f t="shared" si="12"/>
        <v>12.80715298092267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57.046247481724237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6.6</v>
      </c>
      <c r="CT21" s="13">
        <f>IF('Données projet'!$A$140&gt;35,CT20+CS21-DB20,IF(A21&lt;'Données projet'!$A$140,$CQ$205^A21,IF(A21='Données projet'!$A$140,'Données projet'!$B$140,CT20+CS21-DB20)))</f>
        <v>81.005878841406769</v>
      </c>
      <c r="CU21" s="18">
        <f>CT21*VLOOKUP('Données projet'!$B$13,Paramètres!$A$1:$I$89,3,0)*VLOOKUP('Données projet'!$B$13,Paramètres!$A$1:$I$89,5,0)</f>
        <v>59.393510366519443</v>
      </c>
      <c r="CV21" s="14">
        <f t="shared" si="41"/>
        <v>17.014838854475972</v>
      </c>
      <c r="CW21" s="22">
        <f t="shared" si="13"/>
        <v>133.07787489323368</v>
      </c>
      <c r="CX21" s="62">
        <f t="shared" si="14"/>
        <v>364.24744899288919</v>
      </c>
      <c r="CY21" s="62">
        <f ca="1">AVERAGE(OFFSET($CX$3,0,0,'Données projet'!$E$13+1,1))-AVERAGE(OFFSET($H$3,0,0,'Données projet'!$E$13+1,1))</f>
        <v>300.12722359176314</v>
      </c>
      <c r="CZ21" s="62">
        <f t="shared" si="42"/>
        <v>313.35115626175946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57.046247481724237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57.046247481724237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57.046247481724237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57.046247481724237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57.046247481724237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3.55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13.016666666666666</v>
      </c>
      <c r="H22" s="70">
        <f t="shared" si="1"/>
        <v>204.6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57.270966127664252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>
        <f>VLOOKUP(A22,'Données projet'!$A$35:$I$55,2,0)</f>
        <v>162</v>
      </c>
      <c r="L22" s="13">
        <f>VLOOKUP(A22,'Données projet'!$A$35:$I$55,9,0)</f>
        <v>8.526315789473685</v>
      </c>
      <c r="M22" s="13">
        <f t="array" ref="M22">INDEX(L:L,MIN(IF(ISNUMBER(L22:L218),ROW(L22:L218),"")))</f>
        <v>8.526315789473685</v>
      </c>
      <c r="N22" s="14">
        <f>IF('Données projet'!$A$36&gt;35,N21+M22-V21,IF(A22&lt;'Données projet'!$A$36,$K$205^A22,IF(A22='Données projet'!$A$36,'Données projet'!$B$36,N21+M22-V21)))</f>
        <v>162</v>
      </c>
      <c r="O22" s="14">
        <f>N22*VLOOKUP('Données projet'!$B$9,Paramètres!$A$1:$I$89,3,0)*VLOOKUP('Données projet'!$B$9,Paramètres!$A$1:$I$89,5,0)</f>
        <v>90.557999999999993</v>
      </c>
      <c r="P22" s="14">
        <f t="shared" si="33"/>
        <v>24.699752708509138</v>
      </c>
      <c r="Q22" s="22">
        <f t="shared" si="2"/>
        <v>200.74058596732007</v>
      </c>
      <c r="R22" s="62">
        <f t="shared" si="0"/>
        <v>433.95635065764452</v>
      </c>
      <c r="S22" s="62">
        <f ca="1">AVERAGE(OFFSET($R$3,0,0,'Données projet'!$E$9+1,1))-AVERAGE(OFFSET($H$3,0,0,'Données projet'!$E$9+1,1))</f>
        <v>455.44531340185631</v>
      </c>
      <c r="T22" s="62">
        <f t="shared" si="34"/>
        <v>560.14861617544</v>
      </c>
      <c r="U22" s="16">
        <f>IF(ISNA(VLOOKUP(A22,'Données projet'!$A$35:$I$55,3,0)),0,VLOOKUP(A22,'Données projet'!$A$35:$I$55,3,0))</f>
        <v>1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57.270966127664252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14.2</v>
      </c>
      <c r="AI22" s="14">
        <f>IF('Données projet'!$A$62&gt;35,AI21+AH22-AQ21,IF(A22&lt;'Données projet'!$A$62,$AF$205^A22,IF(A22='Données projet'!$A$62,'Données projet'!$B$62,AI21+AH22-AQ21)))</f>
        <v>122.80000000000001</v>
      </c>
      <c r="AJ22" s="14">
        <f>AI22*VLOOKUP('Données projet'!$B$10,Paramètres!$A$1:$I$89,3,0)*VLOOKUP('Données projet'!$B$10,Paramètres!$A$1:$I$89,5,0)</f>
        <v>107.27808000000003</v>
      </c>
      <c r="AK22" s="14">
        <f t="shared" si="35"/>
        <v>28.688746800886673</v>
      </c>
      <c r="AL22" s="22">
        <f t="shared" si="4"/>
        <v>236.80889001154432</v>
      </c>
      <c r="AM22" s="62">
        <f t="shared" si="5"/>
        <v>470.02465470186883</v>
      </c>
      <c r="AN22" s="62">
        <f ca="1">AVERAGE(OFFSET($AM$3,0,0,'Données projet'!$E$10+1,1))-AVERAGE(OFFSET($H$3,0,0,'Données projet'!$E$10+1,1))</f>
        <v>335.71510570470264</v>
      </c>
      <c r="AO22" s="62">
        <f t="shared" si="36"/>
        <v>401.61823018046482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57.270966127664252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3.65</v>
      </c>
      <c r="BD22" s="13">
        <f>IF('Données projet'!$A$88&gt;35,BD21+BC22-BL21,IF(A22&lt;'Données projet'!$A$88,$BA$205^A22,IF(A22='Données projet'!$A$88,'Données projet'!$B$88,BD21+BC22-BL21)))</f>
        <v>58.90561805764559</v>
      </c>
      <c r="BE22" s="14">
        <f>BD22*VLOOKUP('Données projet'!$B$11,Paramètres!$A$1:$I$89,3,0)*VLOOKUP('Données projet'!$B$11,Paramètres!$A$1:$I$89,5,0)</f>
        <v>53.297803218557732</v>
      </c>
      <c r="BF22" s="14">
        <f t="shared" si="37"/>
        <v>15.462240012873817</v>
      </c>
      <c r="BG22" s="22">
        <f t="shared" si="7"/>
        <v>119.75707529474329</v>
      </c>
      <c r="BH22" s="62">
        <f t="shared" si="8"/>
        <v>352.97283998506776</v>
      </c>
      <c r="BI22" s="62">
        <f ca="1">AVERAGE(OFFSET($BH$3,0,0,'Données projet'!$E$11+1,1))-AVERAGE(OFFSET($H$3,0,0,'Données projet'!$E$11+1,1))</f>
        <v>462.677457131175</v>
      </c>
      <c r="BJ22" s="62">
        <f t="shared" si="38"/>
        <v>291.78368401945909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57.270966127664252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25</v>
      </c>
      <c r="BY22" s="13">
        <f>IF('Données projet'!$A$114&gt;35,BY21+BX22-CG21,IF(A22&lt;'Données projet'!$A$114,$BV$205^A22,IF(A22='Données projet'!$A$114,'Données projet'!$B$114,BY21+BX22-CG21)))</f>
        <v>220.99999999999997</v>
      </c>
      <c r="BZ22" s="14">
        <f>BY22*VLOOKUP('Données projet'!$B$12,Paramètres!$A$1:$I$89,3,0)*VLOOKUP('Données projet'!$B$12,Paramètres!$A$1:$I$89,5,0)</f>
        <v>120.66599999999998</v>
      </c>
      <c r="CA22" s="14">
        <f t="shared" si="39"/>
        <v>31.830282786190971</v>
      </c>
      <c r="CB22" s="22">
        <f t="shared" si="10"/>
        <v>265.59769251928259</v>
      </c>
      <c r="CC22" s="62">
        <f t="shared" si="11"/>
        <v>498.81345720960707</v>
      </c>
      <c r="CD22" s="62">
        <f ca="1">AVERAGE(OFFSET($CC$3,0,0,'Données projet'!$E$12+1,1))-AVERAGE(OFFSET($H$3,0,0,'Données projet'!$E$12+1,1))</f>
        <v>302.37244372118971</v>
      </c>
      <c r="CE22" s="62">
        <f t="shared" si="40"/>
        <v>439.56450354660171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9.0560247205039275</v>
      </c>
      <c r="CN22" s="24">
        <f t="shared" si="12"/>
        <v>9.0560247205039275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57.270966127664252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6.6</v>
      </c>
      <c r="CT22" s="13">
        <f>IF('Données projet'!$A$140&gt;35,CT21+CS22-DB21,IF(A22&lt;'Données projet'!$A$140,$CQ$205^A22,IF(A22='Données projet'!$A$140,'Données projet'!$B$140,CT21+CS22-DB21)))</f>
        <v>103.40587994435182</v>
      </c>
      <c r="CU22" s="18">
        <f>CT22*VLOOKUP('Données projet'!$B$13,Paramètres!$A$1:$I$89,3,0)*VLOOKUP('Données projet'!$B$13,Paramètres!$A$1:$I$89,5,0)</f>
        <v>75.817191175198758</v>
      </c>
      <c r="CV22" s="14">
        <f t="shared" si="41"/>
        <v>21.111291215660309</v>
      </c>
      <c r="CW22" s="22">
        <f t="shared" si="13"/>
        <v>168.81710683074621</v>
      </c>
      <c r="CX22" s="62">
        <f t="shared" si="14"/>
        <v>402.03287152107066</v>
      </c>
      <c r="CY22" s="62">
        <f ca="1">AVERAGE(OFFSET($CX$3,0,0,'Données projet'!$E$13+1,1))-AVERAGE(OFFSET($H$3,0,0,'Données projet'!$E$13+1,1))</f>
        <v>300.12722359176314</v>
      </c>
      <c r="CZ22" s="62">
        <f t="shared" si="42"/>
        <v>313.35115626175946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57.270966127664252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57.270966127664252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57.270966127664252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57.270966127664252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57.270966127664252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3.55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13.016666666666666</v>
      </c>
      <c r="H23" s="70">
        <f t="shared" si="1"/>
        <v>204.6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57.491786407492832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28.833333333333332</v>
      </c>
      <c r="N23" s="14">
        <f>IF('Données projet'!$A$36&gt;35,N22+M23-V22,IF(A23&lt;'Données projet'!$A$36,$K$205^A23,IF(A23='Données projet'!$A$36,'Données projet'!$B$36,N22+M23-V22)))</f>
        <v>190.83333333333334</v>
      </c>
      <c r="O23" s="14">
        <f>N23*VLOOKUP('Données projet'!$B$9,Paramètres!$A$1:$I$89,3,0)*VLOOKUP('Données projet'!$B$9,Paramètres!$A$1:$I$89,5,0)</f>
        <v>106.67583333333334</v>
      </c>
      <c r="P23" s="14">
        <f t="shared" si="33"/>
        <v>28.546391754319739</v>
      </c>
      <c r="Q23" s="22">
        <f t="shared" si="2"/>
        <v>235.51204202766243</v>
      </c>
      <c r="R23" s="62">
        <f t="shared" si="0"/>
        <v>470.75970329958056</v>
      </c>
      <c r="S23" s="62">
        <f ca="1">AVERAGE(OFFSET($R$3,0,0,'Données projet'!$E$9+1,1))-AVERAGE(OFFSET($H$3,0,0,'Données projet'!$E$9+1,1))</f>
        <v>455.44531340185631</v>
      </c>
      <c r="T23" s="62">
        <f t="shared" si="34"/>
        <v>560.14861617544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57.491786407492832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137</v>
      </c>
      <c r="AG23" s="13">
        <f>VLOOKUP(A23,'Données projet'!$A$61:$I$81,9,0)</f>
        <v>14.2</v>
      </c>
      <c r="AH23" s="13">
        <f t="array" ref="AH23">INDEX(AG:AG,MIN(IF(ISNUMBER(AG23:AG219),ROW(AG23:AG219),"")))</f>
        <v>14.2</v>
      </c>
      <c r="AI23" s="14">
        <f>IF('Données projet'!$A$62&gt;35,AI22+AH23-AQ22,IF(A23&lt;'Données projet'!$A$62,$AF$205^A23,IF(A23='Données projet'!$A$62,'Données projet'!$B$62,AI22+AH23-AQ22)))</f>
        <v>137</v>
      </c>
      <c r="AJ23" s="14">
        <f>AI23*VLOOKUP('Données projet'!$B$10,Paramètres!$A$1:$I$89,3,0)*VLOOKUP('Données projet'!$B$10,Paramètres!$A$1:$I$89,5,0)</f>
        <v>119.68320000000003</v>
      </c>
      <c r="AK23" s="14">
        <f t="shared" si="35"/>
        <v>31.601099532596194</v>
      </c>
      <c r="AL23" s="22">
        <f t="shared" si="4"/>
        <v>263.48682168593842</v>
      </c>
      <c r="AM23" s="62">
        <f t="shared" si="5"/>
        <v>498.73448295785659</v>
      </c>
      <c r="AN23" s="62">
        <f ca="1">AVERAGE(OFFSET($AM$3,0,0,'Données projet'!$E$10+1,1))-AVERAGE(OFFSET($H$3,0,0,'Données projet'!$E$10+1,1))</f>
        <v>335.71510570470264</v>
      </c>
      <c r="AO23" s="62">
        <f t="shared" si="36"/>
        <v>401.61823018046482</v>
      </c>
      <c r="AP23" s="16">
        <f>IF(ISNA(VLOOKUP(A23,'Données projet'!$A$61:$I$81,3,0)),0,VLOOKUP(A23,'Données projet'!$A$61:$I$81,3,0))</f>
        <v>2</v>
      </c>
      <c r="AQ23" s="16">
        <f>IF(ISNA(VLOOKUP(A23,'Données projet'!$A$61:$I$81,4,0)),0,VLOOKUP(A23,'Données projet'!$A$61:$I$81,4,0))</f>
        <v>43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0.215</v>
      </c>
      <c r="AT23" s="17">
        <f>IF(ISNA(VLOOKUP(A23,'Données projet'!$A$61:$I$81,7,0)),0%,VLOOKUP(A23,'Données projet'!$A$61:$I$81,7,0))</f>
        <v>0.5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8.8931024011363835</v>
      </c>
      <c r="AW23" s="23">
        <f>EXP(-LN(2)/2)*AW22+(1-EXP(-LN(2)/2))/(LN(2)/2)*AQ23*AT23*VLOOKUP('Données projet'!$B$10,Paramètres!$A$1:$I$89,3,0)*0.475*44/12</f>
        <v>17.721699920884245</v>
      </c>
      <c r="AX23" s="23">
        <f t="shared" si="6"/>
        <v>26.61480232202063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57.491786407492832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73</v>
      </c>
      <c r="BB23" s="13">
        <f>VLOOKUP(A23,'Données projet'!$A$87:$I$107,9,0)</f>
        <v>3.65</v>
      </c>
      <c r="BC23" s="13">
        <f t="array" ref="BC23">INDEX(BB:BB,MIN(IF(ISNUMBER(BB23:BB219),ROW(BB23:BB219),"")))</f>
        <v>3.65</v>
      </c>
      <c r="BD23" s="13">
        <f>IF('Données projet'!$A$88&gt;35,BD22+BC23-BL22,IF(A23&lt;'Données projet'!$A$88,$BA$205^A23,IF(A23='Données projet'!$A$88,'Données projet'!$B$88,BD22+BC23-BL22)))</f>
        <v>73</v>
      </c>
      <c r="BE23" s="14">
        <f>BD23*VLOOKUP('Données projet'!$B$11,Paramètres!$A$1:$I$89,3,0)*VLOOKUP('Données projet'!$B$11,Paramètres!$A$1:$I$89,5,0)</f>
        <v>66.050399999999996</v>
      </c>
      <c r="BF23" s="14">
        <f t="shared" si="37"/>
        <v>18.689342126897891</v>
      </c>
      <c r="BG23" s="22">
        <f t="shared" si="7"/>
        <v>147.58838420434714</v>
      </c>
      <c r="BH23" s="62">
        <f t="shared" si="8"/>
        <v>382.83604547626527</v>
      </c>
      <c r="BI23" s="62">
        <f ca="1">AVERAGE(OFFSET($BH$3,0,0,'Données projet'!$E$11+1,1))-AVERAGE(OFFSET($H$3,0,0,'Données projet'!$E$11+1,1))</f>
        <v>462.677457131175</v>
      </c>
      <c r="BJ23" s="62">
        <f t="shared" si="38"/>
        <v>291.78368401945909</v>
      </c>
      <c r="BK23" s="16">
        <f>IF(ISNA(VLOOKUP(A23,'Données projet'!$A$87:$I$107,3,0)),0,VLOOKUP(A23,'Données projet'!$A$87:$I$107,3,0))</f>
        <v>1</v>
      </c>
      <c r="BL23" s="16">
        <f>IF(ISNA(VLOOKUP(A23,'Données projet'!$A$87:$I$107,4,0)),0,VLOOKUP(A23,'Données projet'!$A$87:$I$107,4,0))</f>
        <v>6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57.491786407492832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246</v>
      </c>
      <c r="BW23" s="13">
        <f>VLOOKUP(A23,'Données projet'!$A$113:$I$133,9,0)</f>
        <v>25</v>
      </c>
      <c r="BX23" s="13">
        <f t="array" ref="BX23">INDEX(BW:BW,MIN(IF(ISNUMBER(BW23:BW219),ROW(BW23:BW219),"")))</f>
        <v>25</v>
      </c>
      <c r="BY23" s="13">
        <f>IF('Données projet'!$A$114&gt;35,BY22+BX23-CG22,IF(A23&lt;'Données projet'!$A$114,$BV$205^A23,IF(A23='Données projet'!$A$114,'Données projet'!$B$114,BY22+BX23-CG22)))</f>
        <v>245.99999999999997</v>
      </c>
      <c r="BZ23" s="14">
        <f>BY23*VLOOKUP('Données projet'!$B$12,Paramètres!$A$1:$I$89,3,0)*VLOOKUP('Données projet'!$B$12,Paramètres!$A$1:$I$89,5,0)</f>
        <v>134.31599999999997</v>
      </c>
      <c r="CA23" s="14">
        <f t="shared" si="39"/>
        <v>34.991756585122445</v>
      </c>
      <c r="CB23" s="22">
        <f t="shared" si="10"/>
        <v>294.87767605242158</v>
      </c>
      <c r="CC23" s="62">
        <f t="shared" si="11"/>
        <v>530.12533732433974</v>
      </c>
      <c r="CD23" s="62">
        <f ca="1">AVERAGE(OFFSET($CC$3,0,0,'Données projet'!$E$12+1,1))-AVERAGE(OFFSET($H$3,0,0,'Données projet'!$E$12+1,1))</f>
        <v>302.37244372118971</v>
      </c>
      <c r="CE23" s="62">
        <f t="shared" si="40"/>
        <v>439.56450354660171</v>
      </c>
      <c r="CF23" s="16">
        <f>IF(ISNA(VLOOKUP(A23,'Données projet'!$A$113:$I$133,3,0)),0,VLOOKUP(A23,'Données projet'!$A$113:$I$133,3,0))</f>
        <v>3</v>
      </c>
      <c r="CG23" s="16">
        <f>IF(ISNA(VLOOKUP(A23,'Données projet'!$A$113:$I$133,4,0)),0,VLOOKUP(A23,'Données projet'!$A$113:$I$133,4,0))</f>
        <v>61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1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44.113705391877815</v>
      </c>
      <c r="CN23" s="24">
        <f t="shared" si="12"/>
        <v>44.113705391877815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57.491786407492832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132</v>
      </c>
      <c r="CR23" s="13">
        <f>VLOOKUP(A23,'Données projet'!$A$139:$I$159,9,0)</f>
        <v>6.6</v>
      </c>
      <c r="CS23" s="13">
        <f t="array" ref="CS23">INDEX(CR:CR,MIN(IF(ISNUMBER(CR23:CR219),ROW(CR23:CR219),"")))</f>
        <v>6.6</v>
      </c>
      <c r="CT23" s="13">
        <f>IF('Données projet'!$A$140&gt;35,CT22+CS23-DB22,IF(A23&lt;'Données projet'!$A$140,$CQ$205^A23,IF(A23='Données projet'!$A$140,'Données projet'!$B$140,CT22+CS23-DB22)))</f>
        <v>132</v>
      </c>
      <c r="CU23" s="18">
        <f>CT23*VLOOKUP('Données projet'!$B$13,Paramètres!$A$1:$I$89,3,0)*VLOOKUP('Données projet'!$B$13,Paramètres!$A$1:$I$89,5,0)</f>
        <v>96.782399999999996</v>
      </c>
      <c r="CV23" s="14">
        <f t="shared" si="41"/>
        <v>26.193995758894417</v>
      </c>
      <c r="CW23" s="22">
        <f t="shared" si="13"/>
        <v>214.1838892800744</v>
      </c>
      <c r="CX23" s="62">
        <f t="shared" si="14"/>
        <v>449.43155055199253</v>
      </c>
      <c r="CY23" s="62">
        <f ca="1">AVERAGE(OFFSET($CX$3,0,0,'Données projet'!$E$13+1,1))-AVERAGE(OFFSET($H$3,0,0,'Données projet'!$E$13+1,1))</f>
        <v>300.12722359176314</v>
      </c>
      <c r="CZ23" s="62">
        <f t="shared" si="42"/>
        <v>313.35115626175946</v>
      </c>
      <c r="DA23" s="16">
        <f>IF(ISNA(VLOOKUP(A23,'Données projet'!$A$139:$I$159,3,0)),0,VLOOKUP(A23,'Données projet'!$A$139:$I$159,3,0))</f>
        <v>1</v>
      </c>
      <c r="DB23" s="16">
        <f>IF(ISNA(VLOOKUP(A23,'Données projet'!$A$139:$I$159,4,0)),0,VLOOKUP(A23,'Données projet'!$A$139:$I$159,4,0))</f>
        <v>50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57.491786407492832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57.491786407492832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57.491786407492832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57.491786407492832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57.491786407492832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3.55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13.016666666666666</v>
      </c>
      <c r="H24" s="70">
        <f t="shared" si="1"/>
        <v>204.6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57.708775949146577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28.833333333333332</v>
      </c>
      <c r="N24" s="14">
        <f>IF('Données projet'!$A$36&gt;35,N23+M24-V23,IF(A24&lt;'Données projet'!$A$36,$K$205^A24,IF(A24='Données projet'!$A$36,'Données projet'!$B$36,N23+M24-V23)))</f>
        <v>219.66666666666669</v>
      </c>
      <c r="O24" s="14">
        <f>N24*VLOOKUP('Données projet'!$B$9,Paramètres!$A$1:$I$89,3,0)*VLOOKUP('Données projet'!$B$9,Paramètres!$A$1:$I$89,5,0)</f>
        <v>122.79366666666668</v>
      </c>
      <c r="P24" s="14">
        <f t="shared" si="33"/>
        <v>32.32570088253398</v>
      </c>
      <c r="Q24" s="22">
        <f t="shared" si="2"/>
        <v>270.16623181485778</v>
      </c>
      <c r="R24" s="62">
        <f t="shared" si="0"/>
        <v>507.43174362839522</v>
      </c>
      <c r="S24" s="62">
        <f ca="1">AVERAGE(OFFSET($R$3,0,0,'Données projet'!$E$9+1,1))-AVERAGE(OFFSET($H$3,0,0,'Données projet'!$E$9+1,1))</f>
        <v>455.44531340185631</v>
      </c>
      <c r="T24" s="62">
        <f t="shared" si="34"/>
        <v>560.14861617544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57.708775949146577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13.8</v>
      </c>
      <c r="AI24" s="14">
        <f>IF('Données projet'!$A$62&gt;35,AI23+AH24-AQ23,IF(A24&lt;'Données projet'!$A$62,$AF$205^A24,IF(A24='Données projet'!$A$62,'Données projet'!$B$62,AI23+AH24-AQ23)))</f>
        <v>107.80000000000001</v>
      </c>
      <c r="AJ24" s="14">
        <f>AI24*VLOOKUP('Données projet'!$B$10,Paramètres!$A$1:$I$89,3,0)*VLOOKUP('Données projet'!$B$10,Paramètres!$A$1:$I$89,5,0)</f>
        <v>94.174080000000018</v>
      </c>
      <c r="AK24" s="14">
        <f t="shared" si="35"/>
        <v>25.569241067746205</v>
      </c>
      <c r="AL24" s="22">
        <f t="shared" si="4"/>
        <v>208.55295085965801</v>
      </c>
      <c r="AM24" s="62">
        <f t="shared" si="5"/>
        <v>445.81846267319543</v>
      </c>
      <c r="AN24" s="62">
        <f ca="1">AVERAGE(OFFSET($AM$3,0,0,'Données projet'!$E$10+1,1))-AVERAGE(OFFSET($H$3,0,0,'Données projet'!$E$10+1,1))</f>
        <v>335.71510570470264</v>
      </c>
      <c r="AO24" s="62">
        <f t="shared" si="36"/>
        <v>401.61823018046482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8.6499200483093794</v>
      </c>
      <c r="AW24" s="23">
        <f>EXP(-LN(2)/2)*AW23+(1-EXP(-LN(2)/2))/(LN(2)/2)*AQ24*AT24*VLOOKUP('Données projet'!$B$10,Paramètres!$A$1:$I$89,3,0)*0.475*44/12</f>
        <v>12.531134188210354</v>
      </c>
      <c r="AX24" s="23">
        <f t="shared" si="6"/>
        <v>21.181054236519735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57.708775949146577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7.2</v>
      </c>
      <c r="BD24" s="13">
        <f>IF('Données projet'!$A$88&gt;35,BD23+BC24-BL23,IF(A24&lt;'Données projet'!$A$88,$BA$205^A24,IF(A24='Données projet'!$A$88,'Données projet'!$B$88,BD23+BC24-BL23)))</f>
        <v>74.2</v>
      </c>
      <c r="BE24" s="14">
        <f>BD24*VLOOKUP('Données projet'!$B$11,Paramètres!$A$1:$I$89,3,0)*VLOOKUP('Données projet'!$B$11,Paramètres!$A$1:$I$89,5,0)</f>
        <v>67.136160000000004</v>
      </c>
      <c r="BF24" s="14">
        <f t="shared" si="37"/>
        <v>18.960545405756019</v>
      </c>
      <c r="BG24" s="22">
        <f t="shared" si="7"/>
        <v>149.95176191502506</v>
      </c>
      <c r="BH24" s="62">
        <f t="shared" si="8"/>
        <v>387.21727372856247</v>
      </c>
      <c r="BI24" s="62">
        <f ca="1">AVERAGE(OFFSET($BH$3,0,0,'Données projet'!$E$11+1,1))-AVERAGE(OFFSET($H$3,0,0,'Données projet'!$E$11+1,1))</f>
        <v>462.677457131175</v>
      </c>
      <c r="BJ24" s="62">
        <f t="shared" si="38"/>
        <v>291.78368401945909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57.708775949146577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22</v>
      </c>
      <c r="BY24" s="13">
        <f>IF('Données projet'!$A$114&gt;35,BY23+BX24-CG23,IF(A24&lt;'Données projet'!$A$114,$BV$205^A24,IF(A24='Données projet'!$A$114,'Données projet'!$B$114,BY23+BX24-CG23)))</f>
        <v>207</v>
      </c>
      <c r="BZ24" s="14">
        <f>BY24*VLOOKUP('Données projet'!$B$12,Paramètres!$A$1:$I$89,3,0)*VLOOKUP('Données projet'!$B$12,Paramètres!$A$1:$I$89,5,0)</f>
        <v>113.02200000000001</v>
      </c>
      <c r="CA24" s="14">
        <f t="shared" si="39"/>
        <v>30.041864379091852</v>
      </c>
      <c r="CB24" s="22">
        <f t="shared" si="10"/>
        <v>249.16956379358496</v>
      </c>
      <c r="CC24" s="62">
        <f t="shared" si="11"/>
        <v>486.43507560712237</v>
      </c>
      <c r="CD24" s="62">
        <f ca="1">AVERAGE(OFFSET($CC$3,0,0,'Données projet'!$E$12+1,1))-AVERAGE(OFFSET($H$3,0,0,'Données projet'!$E$12+1,1))</f>
        <v>302.37244372118971</v>
      </c>
      <c r="CE24" s="62">
        <f t="shared" si="40"/>
        <v>439.56450354660171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31.19310022586237</v>
      </c>
      <c r="CN24" s="24">
        <f t="shared" si="12"/>
        <v>31.19310022586237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57.708775949146577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12.2</v>
      </c>
      <c r="CT24" s="13">
        <f>IF('Données projet'!$A$140&gt;35,CT23+CS24-DB23,IF(A24&lt;'Données projet'!$A$140,$CQ$205^A24,IF(A24='Données projet'!$A$140,'Données projet'!$B$140,CT23+CS24-DB23)))</f>
        <v>94.199999999999989</v>
      </c>
      <c r="CU24" s="18">
        <f>CT24*VLOOKUP('Données projet'!$B$13,Paramètres!$A$1:$I$89,3,0)*VLOOKUP('Données projet'!$B$13,Paramètres!$A$1:$I$89,5,0)</f>
        <v>69.067439999999991</v>
      </c>
      <c r="CV24" s="14">
        <f t="shared" si="41"/>
        <v>19.4416895962848</v>
      </c>
      <c r="CW24" s="22">
        <f t="shared" si="13"/>
        <v>154.15340071352935</v>
      </c>
      <c r="CX24" s="62">
        <f t="shared" si="14"/>
        <v>391.41891252706677</v>
      </c>
      <c r="CY24" s="62">
        <f ca="1">AVERAGE(OFFSET($CX$3,0,0,'Données projet'!$E$13+1,1))-AVERAGE(OFFSET($H$3,0,0,'Données projet'!$E$13+1,1))</f>
        <v>300.12722359176314</v>
      </c>
      <c r="CZ24" s="62">
        <f t="shared" si="42"/>
        <v>313.35115626175946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57.708775949146577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57.708775949146577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57.708775949146577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57.708775949146577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57.708775949146577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3.55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13.016666666666666</v>
      </c>
      <c r="H25" s="70">
        <f t="shared" si="1"/>
        <v>204.6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57.922001207368567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28.833333333333332</v>
      </c>
      <c r="N25" s="14">
        <f>IF('Données projet'!$A$36&gt;35,N24+M25-V24,IF(A25&lt;'Données projet'!$A$36,$K$205^A25,IF(A25='Données projet'!$A$36,'Données projet'!$B$36,N24+M25-V24)))</f>
        <v>248.50000000000003</v>
      </c>
      <c r="O25" s="14">
        <f>N25*VLOOKUP('Données projet'!$B$9,Paramètres!$A$1:$I$89,3,0)*VLOOKUP('Données projet'!$B$9,Paramètres!$A$1:$I$89,5,0)</f>
        <v>138.91150000000002</v>
      </c>
      <c r="P25" s="14">
        <f t="shared" si="33"/>
        <v>36.047532265727178</v>
      </c>
      <c r="Q25" s="22">
        <f t="shared" si="2"/>
        <v>304.72031452947482</v>
      </c>
      <c r="R25" s="62">
        <f t="shared" si="0"/>
        <v>543.98987451204846</v>
      </c>
      <c r="S25" s="62">
        <f ca="1">AVERAGE(OFFSET($R$3,0,0,'Données projet'!$E$9+1,1))-AVERAGE(OFFSET($H$3,0,0,'Données projet'!$E$9+1,1))</f>
        <v>455.44531340185631</v>
      </c>
      <c r="T25" s="62">
        <f t="shared" si="34"/>
        <v>560.14861617544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57.922001207368567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13.8</v>
      </c>
      <c r="AI25" s="14">
        <f>IF('Données projet'!$A$62&gt;35,AI24+AH25-AQ24,IF(A25&lt;'Données projet'!$A$62,$AF$205^A25,IF(A25='Données projet'!$A$62,'Données projet'!$B$62,AI24+AH25-AQ24)))</f>
        <v>121.60000000000001</v>
      </c>
      <c r="AJ25" s="14">
        <f>AI25*VLOOKUP('Données projet'!$B$10,Paramètres!$A$1:$I$89,3,0)*VLOOKUP('Données projet'!$B$10,Paramètres!$A$1:$I$89,5,0)</f>
        <v>106.22976000000003</v>
      </c>
      <c r="AK25" s="14">
        <f t="shared" si="35"/>
        <v>28.440891625171492</v>
      </c>
      <c r="AL25" s="22">
        <f t="shared" si="4"/>
        <v>234.55138491384039</v>
      </c>
      <c r="AM25" s="62">
        <f t="shared" si="5"/>
        <v>473.82094489641401</v>
      </c>
      <c r="AN25" s="62">
        <f ca="1">AVERAGE(OFFSET($AM$3,0,0,'Données projet'!$E$10+1,1))-AVERAGE(OFFSET($H$3,0,0,'Données projet'!$E$10+1,1))</f>
        <v>335.71510570470264</v>
      </c>
      <c r="AO25" s="62">
        <f t="shared" si="36"/>
        <v>401.61823018046482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8.4133875297088334</v>
      </c>
      <c r="AW25" s="23">
        <f>EXP(-LN(2)/2)*AW24+(1-EXP(-LN(2)/2))/(LN(2)/2)*AQ25*AT25*VLOOKUP('Données projet'!$B$10,Paramètres!$A$1:$I$89,3,0)*0.475*44/12</f>
        <v>8.860849960442124</v>
      </c>
      <c r="AX25" s="23">
        <f t="shared" si="6"/>
        <v>17.274237490150959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57.922001207368567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7.2</v>
      </c>
      <c r="BD25" s="13">
        <f>IF('Données projet'!$A$88&gt;35,BD24+BC25-BL24,IF(A25&lt;'Données projet'!$A$88,$BA$205^A25,IF(A25='Données projet'!$A$88,'Données projet'!$B$88,BD24+BC25-BL24)))</f>
        <v>81.400000000000006</v>
      </c>
      <c r="BE25" s="14">
        <f>BD25*VLOOKUP('Données projet'!$B$11,Paramètres!$A$1:$I$89,3,0)*VLOOKUP('Données projet'!$B$11,Paramètres!$A$1:$I$89,5,0)</f>
        <v>73.650720000000007</v>
      </c>
      <c r="BF25" s="14">
        <f t="shared" si="37"/>
        <v>20.577360172493922</v>
      </c>
      <c r="BG25" s="22">
        <f t="shared" si="7"/>
        <v>164.11390630042692</v>
      </c>
      <c r="BH25" s="62">
        <f t="shared" si="8"/>
        <v>403.38346628300053</v>
      </c>
      <c r="BI25" s="62">
        <f ca="1">AVERAGE(OFFSET($BH$3,0,0,'Données projet'!$E$11+1,1))-AVERAGE(OFFSET($H$3,0,0,'Données projet'!$E$11+1,1))</f>
        <v>462.677457131175</v>
      </c>
      <c r="BJ25" s="62">
        <f t="shared" si="38"/>
        <v>291.78368401945909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57.922001207368567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22</v>
      </c>
      <c r="BY25" s="13">
        <f>IF('Données projet'!$A$114&gt;35,BY24+BX25-CG24,IF(A25&lt;'Données projet'!$A$114,$BV$205^A25,IF(A25='Données projet'!$A$114,'Données projet'!$B$114,BY24+BX25-CG24)))</f>
        <v>229</v>
      </c>
      <c r="BZ25" s="14">
        <f>BY25*VLOOKUP('Données projet'!$B$12,Paramètres!$A$1:$I$89,3,0)*VLOOKUP('Données projet'!$B$12,Paramètres!$A$1:$I$89,5,0)</f>
        <v>125.03399999999999</v>
      </c>
      <c r="CA25" s="14">
        <f t="shared" si="39"/>
        <v>32.846274359997985</v>
      </c>
      <c r="CB25" s="22">
        <f t="shared" si="10"/>
        <v>274.97481117699641</v>
      </c>
      <c r="CC25" s="62">
        <f t="shared" si="11"/>
        <v>514.24437115957005</v>
      </c>
      <c r="CD25" s="62">
        <f ca="1">AVERAGE(OFFSET($CC$3,0,0,'Données projet'!$E$12+1,1))-AVERAGE(OFFSET($H$3,0,0,'Données projet'!$E$12+1,1))</f>
        <v>302.37244372118971</v>
      </c>
      <c r="CE25" s="62">
        <f t="shared" si="40"/>
        <v>439.56450354660171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22.056852695938911</v>
      </c>
      <c r="CN25" s="24">
        <f t="shared" si="12"/>
        <v>22.056852695938911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57.922001207368567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12.2</v>
      </c>
      <c r="CT25" s="13">
        <f>IF('Données projet'!$A$140&gt;35,CT24+CS25-DB24,IF(A25&lt;'Données projet'!$A$140,$CQ$205^A25,IF(A25='Données projet'!$A$140,'Données projet'!$B$140,CT24+CS25-DB24)))</f>
        <v>106.39999999999999</v>
      </c>
      <c r="CU25" s="18">
        <f>CT25*VLOOKUP('Données projet'!$B$13,Paramètres!$A$1:$I$89,3,0)*VLOOKUP('Données projet'!$B$13,Paramètres!$A$1:$I$89,5,0)</f>
        <v>78.012479999999996</v>
      </c>
      <c r="CV25" s="14">
        <f t="shared" si="41"/>
        <v>21.650515914942144</v>
      </c>
      <c r="CW25" s="22">
        <f t="shared" si="13"/>
        <v>173.57971788519089</v>
      </c>
      <c r="CX25" s="62">
        <f t="shared" si="14"/>
        <v>412.8492778677645</v>
      </c>
      <c r="CY25" s="62">
        <f ca="1">AVERAGE(OFFSET($CX$3,0,0,'Données projet'!$E$13+1,1))-AVERAGE(OFFSET($H$3,0,0,'Données projet'!$E$13+1,1))</f>
        <v>300.12722359176314</v>
      </c>
      <c r="CZ25" s="62">
        <f t="shared" si="42"/>
        <v>313.35115626175946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57.922001207368567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57.922001207368567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57.922001207368567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57.922001207368567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57.922001207368567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3.55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13.016666666666666</v>
      </c>
      <c r="H26" s="70">
        <f t="shared" si="1"/>
        <v>204.6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58.131527484060669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28.833333333333332</v>
      </c>
      <c r="N26" s="14">
        <f>IF('Données projet'!$A$36&gt;35,N25+M26-V25,IF(A26&lt;'Données projet'!$A$36,$K$205^A26,IF(A26='Données projet'!$A$36,'Données projet'!$B$36,N25+M26-V25)))</f>
        <v>277.33333333333337</v>
      </c>
      <c r="O26" s="14">
        <f>N26*VLOOKUP('Données projet'!$B$9,Paramètres!$A$1:$I$89,3,0)*VLOOKUP('Données projet'!$B$9,Paramètres!$A$1:$I$89,5,0)</f>
        <v>155.02933333333334</v>
      </c>
      <c r="P26" s="14">
        <f t="shared" si="33"/>
        <v>39.719316712120367</v>
      </c>
      <c r="Q26" s="22">
        <f t="shared" si="2"/>
        <v>339.1872321624985</v>
      </c>
      <c r="R26" s="62">
        <f t="shared" si="0"/>
        <v>580.44727738183212</v>
      </c>
      <c r="S26" s="62">
        <f ca="1">AVERAGE(OFFSET($R$3,0,0,'Données projet'!$E$9+1,1))-AVERAGE(OFFSET($H$3,0,0,'Données projet'!$E$9+1,1))</f>
        <v>455.44531340185631</v>
      </c>
      <c r="T26" s="62">
        <f t="shared" si="34"/>
        <v>560.14861617544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58.131527484060669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13.8</v>
      </c>
      <c r="AI26" s="14">
        <f>IF('Données projet'!$A$62&gt;35,AI25+AH26-AQ25,IF(A26&lt;'Données projet'!$A$62,$AF$205^A26,IF(A26='Données projet'!$A$62,'Données projet'!$B$62,AI25+AH26-AQ25)))</f>
        <v>135.4</v>
      </c>
      <c r="AJ26" s="14">
        <f>AI26*VLOOKUP('Données projet'!$B$10,Paramètres!$A$1:$I$89,3,0)*VLOOKUP('Données projet'!$B$10,Paramètres!$A$1:$I$89,5,0)</f>
        <v>118.28544000000002</v>
      </c>
      <c r="AK26" s="14">
        <f t="shared" si="35"/>
        <v>31.274772013169596</v>
      </c>
      <c r="AL26" s="22">
        <f t="shared" si="4"/>
        <v>260.48403592293715</v>
      </c>
      <c r="AM26" s="62">
        <f t="shared" si="5"/>
        <v>501.74408114227072</v>
      </c>
      <c r="AN26" s="62">
        <f ca="1">AVERAGE(OFFSET($AM$3,0,0,'Données projet'!$E$10+1,1))-AVERAGE(OFFSET($H$3,0,0,'Données projet'!$E$10+1,1))</f>
        <v>335.71510570470264</v>
      </c>
      <c r="AO26" s="62">
        <f t="shared" si="36"/>
        <v>401.61823018046482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8.1833230052681234</v>
      </c>
      <c r="AW26" s="23">
        <f>EXP(-LN(2)/2)*AW25+(1-EXP(-LN(2)/2))/(LN(2)/2)*AQ26*AT26*VLOOKUP('Données projet'!$B$10,Paramètres!$A$1:$I$89,3,0)*0.475*44/12</f>
        <v>6.2655670941051778</v>
      </c>
      <c r="AX26" s="23">
        <f t="shared" si="6"/>
        <v>14.448890099373301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58.131527484060669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7.2</v>
      </c>
      <c r="BD26" s="13">
        <f>IF('Données projet'!$A$88&gt;35,BD25+BC26-BL25,IF(A26&lt;'Données projet'!$A$88,$BA$205^A26,IF(A26='Données projet'!$A$88,'Données projet'!$B$88,BD25+BC26-BL25)))</f>
        <v>88.600000000000009</v>
      </c>
      <c r="BE26" s="14">
        <f>BD26*VLOOKUP('Données projet'!$B$11,Paramètres!$A$1:$I$89,3,0)*VLOOKUP('Données projet'!$B$11,Paramètres!$A$1:$I$89,5,0)</f>
        <v>80.165279999999996</v>
      </c>
      <c r="BF26" s="14">
        <f t="shared" si="37"/>
        <v>22.177591092468788</v>
      </c>
      <c r="BG26" s="22">
        <f t="shared" si="7"/>
        <v>178.24716715271646</v>
      </c>
      <c r="BH26" s="62">
        <f t="shared" si="8"/>
        <v>419.50721237205005</v>
      </c>
      <c r="BI26" s="62">
        <f ca="1">AVERAGE(OFFSET($BH$3,0,0,'Données projet'!$E$11+1,1))-AVERAGE(OFFSET($H$3,0,0,'Données projet'!$E$11+1,1))</f>
        <v>462.677457131175</v>
      </c>
      <c r="BJ26" s="62">
        <f t="shared" si="38"/>
        <v>291.78368401945909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58.131527484060669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22</v>
      </c>
      <c r="BY26" s="13">
        <f>IF('Données projet'!$A$114&gt;35,BY25+BX26-CG25,IF(A26&lt;'Données projet'!$A$114,$BV$205^A26,IF(A26='Données projet'!$A$114,'Données projet'!$B$114,BY25+BX26-CG25)))</f>
        <v>251</v>
      </c>
      <c r="BZ26" s="14">
        <f>BY26*VLOOKUP('Données projet'!$B$12,Paramètres!$A$1:$I$89,3,0)*VLOOKUP('Données projet'!$B$12,Paramètres!$A$1:$I$89,5,0)</f>
        <v>137.04600000000002</v>
      </c>
      <c r="CA26" s="14">
        <f t="shared" si="39"/>
        <v>35.619447951801043</v>
      </c>
      <c r="CB26" s="22">
        <f t="shared" si="10"/>
        <v>300.72565518272023</v>
      </c>
      <c r="CC26" s="62">
        <f t="shared" si="11"/>
        <v>541.98570040205379</v>
      </c>
      <c r="CD26" s="62">
        <f ca="1">AVERAGE(OFFSET($CC$3,0,0,'Données projet'!$E$12+1,1))-AVERAGE(OFFSET($H$3,0,0,'Données projet'!$E$12+1,1))</f>
        <v>302.37244372118971</v>
      </c>
      <c r="CE26" s="62">
        <f t="shared" si="40"/>
        <v>439.56450354660171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15.596550112931187</v>
      </c>
      <c r="CN26" s="24">
        <f t="shared" si="12"/>
        <v>15.596550112931187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58.131527484060669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12.2</v>
      </c>
      <c r="CT26" s="13">
        <f>IF('Données projet'!$A$140&gt;35,CT25+CS26-DB25,IF(A26&lt;'Données projet'!$A$140,$CQ$205^A26,IF(A26='Données projet'!$A$140,'Données projet'!$B$140,CT25+CS26-DB25)))</f>
        <v>118.6</v>
      </c>
      <c r="CU26" s="18">
        <f>CT26*VLOOKUP('Données projet'!$B$13,Paramètres!$A$1:$I$89,3,0)*VLOOKUP('Données projet'!$B$13,Paramètres!$A$1:$I$89,5,0)</f>
        <v>86.957520000000002</v>
      </c>
      <c r="CV26" s="14">
        <f t="shared" si="41"/>
        <v>23.829989910749791</v>
      </c>
      <c r="CW26" s="22">
        <f t="shared" si="13"/>
        <v>192.95491309455588</v>
      </c>
      <c r="CX26" s="62">
        <f t="shared" si="14"/>
        <v>434.2149583138895</v>
      </c>
      <c r="CY26" s="62">
        <f ca="1">AVERAGE(OFFSET($CX$3,0,0,'Données projet'!$E$13+1,1))-AVERAGE(OFFSET($H$3,0,0,'Données projet'!$E$13+1,1))</f>
        <v>300.12722359176314</v>
      </c>
      <c r="CZ26" s="62">
        <f t="shared" si="42"/>
        <v>313.35115626175946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58.131527484060669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58.131527484060669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58.131527484060669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58.131527484060669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58.131527484060669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3.55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13.016666666666666</v>
      </c>
      <c r="H27" s="70">
        <f t="shared" si="1"/>
        <v>204.6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58.337418948282739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28.833333333333332</v>
      </c>
      <c r="N27" s="14">
        <f>IF('Données projet'!$A$36&gt;35,N26+M27-V26,IF(A27&lt;'Données projet'!$A$36,$K$205^A27,IF(A27='Données projet'!$A$36,'Données projet'!$B$36,N26+M27-V26)))</f>
        <v>306.16666666666669</v>
      </c>
      <c r="O27" s="14">
        <f>N27*VLOOKUP('Données projet'!$B$9,Paramètres!$A$1:$I$89,3,0)*VLOOKUP('Données projet'!$B$9,Paramètres!$A$1:$I$89,5,0)</f>
        <v>171.14716666666669</v>
      </c>
      <c r="P27" s="14">
        <f t="shared" si="33"/>
        <v>43.346850105371793</v>
      </c>
      <c r="Q27" s="22">
        <f t="shared" si="2"/>
        <v>373.57707921130037</v>
      </c>
      <c r="R27" s="62">
        <f t="shared" si="0"/>
        <v>616.81428202167035</v>
      </c>
      <c r="S27" s="62">
        <f ca="1">AVERAGE(OFFSET($R$3,0,0,'Données projet'!$E$9+1,1))-AVERAGE(OFFSET($H$3,0,0,'Données projet'!$E$9+1,1))</f>
        <v>455.44531340185631</v>
      </c>
      <c r="T27" s="62">
        <f t="shared" si="34"/>
        <v>560.14861617544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58.337418948282739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13.8</v>
      </c>
      <c r="AI27" s="14">
        <f>IF('Données projet'!$A$62&gt;35,AI26+AH27-AQ26,IF(A27&lt;'Données projet'!$A$62,$AF$205^A27,IF(A27='Données projet'!$A$62,'Données projet'!$B$62,AI26+AH27-AQ26)))</f>
        <v>149.20000000000002</v>
      </c>
      <c r="AJ27" s="14">
        <f>AI27*VLOOKUP('Données projet'!$B$10,Paramètres!$A$1:$I$89,3,0)*VLOOKUP('Données projet'!$B$10,Paramètres!$A$1:$I$89,5,0)</f>
        <v>130.34112000000005</v>
      </c>
      <c r="AK27" s="14">
        <f t="shared" si="35"/>
        <v>34.075170122989917</v>
      </c>
      <c r="AL27" s="22">
        <f t="shared" si="4"/>
        <v>286.35837196420749</v>
      </c>
      <c r="AM27" s="62">
        <f t="shared" si="5"/>
        <v>529.59557477457747</v>
      </c>
      <c r="AN27" s="62">
        <f ca="1">AVERAGE(OFFSET($AM$3,0,0,'Données projet'!$E$10+1,1))-AVERAGE(OFFSET($H$3,0,0,'Données projet'!$E$10+1,1))</f>
        <v>335.71510570470264</v>
      </c>
      <c r="AO27" s="62">
        <f t="shared" si="36"/>
        <v>401.61823018046482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7.9595496073468128</v>
      </c>
      <c r="AW27" s="23">
        <f>EXP(-LN(2)/2)*AW26+(1-EXP(-LN(2)/2))/(LN(2)/2)*AQ27*AT27*VLOOKUP('Données projet'!$B$10,Paramètres!$A$1:$I$89,3,0)*0.475*44/12</f>
        <v>4.4304249802210629</v>
      </c>
      <c r="AX27" s="23">
        <f t="shared" si="6"/>
        <v>12.389974587567876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58.337418948282739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7.2</v>
      </c>
      <c r="BD27" s="13">
        <f>IF('Données projet'!$A$88&gt;35,BD26+BC27-BL26,IF(A27&lt;'Données projet'!$A$88,$BA$205^A27,IF(A27='Données projet'!$A$88,'Données projet'!$B$88,BD26+BC27-BL26)))</f>
        <v>95.800000000000011</v>
      </c>
      <c r="BE27" s="14">
        <f>BD27*VLOOKUP('Données projet'!$B$11,Paramètres!$A$1:$I$89,3,0)*VLOOKUP('Données projet'!$B$11,Paramètres!$A$1:$I$89,5,0)</f>
        <v>86.679839999999999</v>
      </c>
      <c r="BF27" s="14">
        <f t="shared" si="37"/>
        <v>23.762739053789723</v>
      </c>
      <c r="BG27" s="22">
        <f t="shared" si="7"/>
        <v>192.35415851868379</v>
      </c>
      <c r="BH27" s="62">
        <f t="shared" si="8"/>
        <v>435.59136132905383</v>
      </c>
      <c r="BI27" s="62">
        <f ca="1">AVERAGE(OFFSET($BH$3,0,0,'Données projet'!$E$11+1,1))-AVERAGE(OFFSET($H$3,0,0,'Données projet'!$E$11+1,1))</f>
        <v>462.677457131175</v>
      </c>
      <c r="BJ27" s="62">
        <f t="shared" si="38"/>
        <v>291.78368401945909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58.337418948282739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22</v>
      </c>
      <c r="BY27" s="13">
        <f>IF('Données projet'!$A$114&gt;35,BY26+BX27-CG26,IF(A27&lt;'Données projet'!$A$114,$BV$205^A27,IF(A27='Données projet'!$A$114,'Données projet'!$B$114,BY26+BX27-CG26)))</f>
        <v>273</v>
      </c>
      <c r="BZ27" s="14">
        <f>BY27*VLOOKUP('Données projet'!$B$12,Paramètres!$A$1:$I$89,3,0)*VLOOKUP('Données projet'!$B$12,Paramètres!$A$1:$I$89,5,0)</f>
        <v>149.05799999999999</v>
      </c>
      <c r="CA27" s="14">
        <f t="shared" si="39"/>
        <v>38.364434314370335</v>
      </c>
      <c r="CB27" s="22">
        <f t="shared" si="10"/>
        <v>326.42740643086165</v>
      </c>
      <c r="CC27" s="62">
        <f t="shared" si="11"/>
        <v>569.66460924123169</v>
      </c>
      <c r="CD27" s="62">
        <f ca="1">AVERAGE(OFFSET($CC$3,0,0,'Données projet'!$E$12+1,1))-AVERAGE(OFFSET($H$3,0,0,'Données projet'!$E$12+1,1))</f>
        <v>302.37244372118971</v>
      </c>
      <c r="CE27" s="62">
        <f t="shared" si="40"/>
        <v>439.56450354660171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11.028426347969457</v>
      </c>
      <c r="CN27" s="24">
        <f t="shared" si="12"/>
        <v>11.028426347969457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58.337418948282739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12.2</v>
      </c>
      <c r="CT27" s="13">
        <f>IF('Données projet'!$A$140&gt;35,CT26+CS27-DB26,IF(A27&lt;'Données projet'!$A$140,$CQ$205^A27,IF(A27='Données projet'!$A$140,'Données projet'!$B$140,CT26+CS27-DB26)))</f>
        <v>130.79999999999998</v>
      </c>
      <c r="CU27" s="18">
        <f>CT27*VLOOKUP('Données projet'!$B$13,Paramètres!$A$1:$I$89,3,0)*VLOOKUP('Données projet'!$B$13,Paramètres!$A$1:$I$89,5,0)</f>
        <v>95.902559999999994</v>
      </c>
      <c r="CV27" s="14">
        <f t="shared" si="41"/>
        <v>25.983474830732835</v>
      </c>
      <c r="CW27" s="22">
        <f t="shared" si="13"/>
        <v>212.28484399685968</v>
      </c>
      <c r="CX27" s="62">
        <f t="shared" si="14"/>
        <v>455.52204680722969</v>
      </c>
      <c r="CY27" s="62">
        <f ca="1">AVERAGE(OFFSET($CX$3,0,0,'Données projet'!$E$13+1,1))-AVERAGE(OFFSET($H$3,0,0,'Données projet'!$E$13+1,1))</f>
        <v>300.12722359176314</v>
      </c>
      <c r="CZ27" s="62">
        <f t="shared" si="42"/>
        <v>313.35115626175946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58.337418948282739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58.337418948282739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58.337418948282739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58.337418948282739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58.337418948282739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3.55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13.016666666666666</v>
      </c>
      <c r="H28" s="70">
        <f t="shared" si="1"/>
        <v>204.6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58.539738655904905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335</v>
      </c>
      <c r="L28" s="13">
        <f>VLOOKUP(A28,'Données projet'!$A$35:$I$55,9,0)</f>
        <v>28.833333333333332</v>
      </c>
      <c r="M28" s="13">
        <f t="array" ref="M28">INDEX(L:L,MIN(IF(ISNUMBER(L28:L224),ROW(L28:L224),"")))</f>
        <v>28.833333333333332</v>
      </c>
      <c r="N28" s="14">
        <f>IF('Données projet'!$A$36&gt;35,N27+M28-V27,IF(A28&lt;'Données projet'!$A$36,$K$205^A28,IF(A28='Données projet'!$A$36,'Données projet'!$B$36,N27+M28-V27)))</f>
        <v>335</v>
      </c>
      <c r="O28" s="14">
        <f>N28*VLOOKUP('Données projet'!$B$9,Paramètres!$A$1:$I$89,3,0)*VLOOKUP('Données projet'!$B$9,Paramètres!$A$1:$I$89,5,0)</f>
        <v>187.26500000000001</v>
      </c>
      <c r="P28" s="14">
        <f t="shared" si="33"/>
        <v>46.934773872544483</v>
      </c>
      <c r="Q28" s="22">
        <f t="shared" si="2"/>
        <v>407.89793949468162</v>
      </c>
      <c r="R28" s="62">
        <f t="shared" si="0"/>
        <v>653.09920345522187</v>
      </c>
      <c r="S28" s="62">
        <f ca="1">AVERAGE(OFFSET($R$3,0,0,'Données projet'!$E$9+1,1))-AVERAGE(OFFSET($H$3,0,0,'Données projet'!$E$9+1,1))</f>
        <v>455.44531340185631</v>
      </c>
      <c r="T28" s="62">
        <f t="shared" si="34"/>
        <v>560.14861617544</v>
      </c>
      <c r="U28" s="16">
        <f>IF(ISNA(VLOOKUP(A28,'Données projet'!$A$35:$I$55,3,0)),0,VLOOKUP(A28,'Données projet'!$A$35:$I$55,3,0))</f>
        <v>2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5.5000000000000007E-2</v>
      </c>
      <c r="X28" s="17">
        <f>IF(ISNA(VLOOKUP(A28,'Données projet'!$A$35:$I$55,6,0)),0%,VLOOKUP(A28,'Données projet'!$A$35:$I$55,6,0)*VLOOKUP('Données projet'!$B$9,Paramètres!$A$1:$I$89,7,0))</f>
        <v>0.22000000000000003</v>
      </c>
      <c r="Y28" s="17">
        <f>IF(ISNA(VLOOKUP(A28,'Données projet'!$A$35:$I$55,7,0)),0%,VLOOKUP(A28,'Données projet'!$A$35:$I$55,7,0))</f>
        <v>0.5</v>
      </c>
      <c r="Z28" s="23">
        <f>EXP(-LN(2)/35)*Z27+(1-EXP(-LN(2)/35))/(LN(2)/35)*V28*W28*VLOOKUP('Données projet'!$B$9,Paramètres!$A$1:$I$89,3,0)*0.475*44/12</f>
        <v>2.2024021058543881</v>
      </c>
      <c r="AA28" s="23">
        <f>EXP(-LN(2)/25)*AA27+(1-EXP(-LN(2)/25))/(LN(2)/25)*Calculateur!V28*Calculateur!X28*VLOOKUP('Données projet'!$B$9,Paramètres!$A$1:$I$89,3,0)*0.475*44/12</f>
        <v>8.7749216383305857</v>
      </c>
      <c r="AB28" s="23">
        <f>EXP(-LN(2)/2)*AB27+(1-EXP(-LN(2)/2))/(LN(2)/2)*V28*Y28*VLOOKUP('Données projet'!$B$9,Paramètres!$A$1:$I$89,3,0)*0.475*44/12</f>
        <v>17.088782066566949</v>
      </c>
      <c r="AC28" s="24">
        <f t="shared" si="3"/>
        <v>28.066105810751921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58.539738655904905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163</v>
      </c>
      <c r="AG28" s="13">
        <f>VLOOKUP(A28,'Données projet'!$A$61:$I$81,9,0)</f>
        <v>13.8</v>
      </c>
      <c r="AH28" s="13">
        <f t="array" ref="AH28">INDEX(AG:AG,MIN(IF(ISNUMBER(AG28:AG224),ROW(AG28:AG224),"")))</f>
        <v>13.8</v>
      </c>
      <c r="AI28" s="14">
        <f>IF('Données projet'!$A$62&gt;35,AI27+AH28-AQ27,IF(A28&lt;'Données projet'!$A$62,$AF$205^A28,IF(A28='Données projet'!$A$62,'Données projet'!$B$62,AI27+AH28-AQ27)))</f>
        <v>163.00000000000003</v>
      </c>
      <c r="AJ28" s="14">
        <f>AI28*VLOOKUP('Données projet'!$B$10,Paramètres!$A$1:$I$89,3,0)*VLOOKUP('Données projet'!$B$10,Paramètres!$A$1:$I$89,5,0)</f>
        <v>142.39680000000004</v>
      </c>
      <c r="AK28" s="14">
        <f t="shared" si="35"/>
        <v>36.845535084476985</v>
      </c>
      <c r="AL28" s="22">
        <f t="shared" si="4"/>
        <v>312.18040027213078</v>
      </c>
      <c r="AM28" s="62">
        <f t="shared" si="5"/>
        <v>557.38166423267103</v>
      </c>
      <c r="AN28" s="62">
        <f ca="1">AVERAGE(OFFSET($AM$3,0,0,'Données projet'!$E$10+1,1))-AVERAGE(OFFSET($H$3,0,0,'Données projet'!$E$10+1,1))</f>
        <v>335.71510570470264</v>
      </c>
      <c r="AO28" s="62">
        <f t="shared" si="36"/>
        <v>401.61823018046482</v>
      </c>
      <c r="AP28" s="16">
        <f>IF(ISNA(VLOOKUP(A28,'Données projet'!$A$61:$I$81,3,0)),0,VLOOKUP(A28,'Données projet'!$A$61:$I$81,3,0))</f>
        <v>3</v>
      </c>
      <c r="AQ28" s="16">
        <f>IF(ISNA(VLOOKUP(A28,'Données projet'!$A$61:$I$81,4,0)),0,VLOOKUP(A28,'Données projet'!$A$61:$I$81,4,0))</f>
        <v>44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0.215</v>
      </c>
      <c r="AT28" s="17">
        <f>IF(ISNA(VLOOKUP(A28,'Données projet'!$A$61:$I$81,7,0)),0%,VLOOKUP(A28,'Données projet'!$A$61:$I$81,7,0))</f>
        <v>0.5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16.841814040805925</v>
      </c>
      <c r="AW28" s="23">
        <f>EXP(-LN(2)/2)*AW27+(1-EXP(-LN(2)/2))/(LN(2)/2)*AQ28*AT28*VLOOKUP('Données projet'!$B$10,Paramètres!$A$1:$I$89,3,0)*0.475*44/12</f>
        <v>21.26661602423647</v>
      </c>
      <c r="AX28" s="23">
        <f t="shared" si="6"/>
        <v>38.108430065042398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58.539738655904905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103</v>
      </c>
      <c r="BB28" s="13">
        <f>VLOOKUP(A28,'Données projet'!$A$87:$I$107,9,0)</f>
        <v>7.2</v>
      </c>
      <c r="BC28" s="13">
        <f t="array" ref="BC28">INDEX(BB:BB,MIN(IF(ISNUMBER(BB28:BB224),ROW(BB28:BB224),"")))</f>
        <v>7.2</v>
      </c>
      <c r="BD28" s="13">
        <f>IF('Données projet'!$A$88&gt;35,BD27+BC28-BL27,IF(A28&lt;'Données projet'!$A$88,$BA$205^A28,IF(A28='Données projet'!$A$88,'Données projet'!$B$88,BD27+BC28-BL27)))</f>
        <v>103.00000000000001</v>
      </c>
      <c r="BE28" s="14">
        <f>BD28*VLOOKUP('Données projet'!$B$11,Paramètres!$A$1:$I$89,3,0)*VLOOKUP('Données projet'!$B$11,Paramètres!$A$1:$I$89,5,0)</f>
        <v>93.194400000000002</v>
      </c>
      <c r="BF28" s="14">
        <f t="shared" si="37"/>
        <v>25.33406653691528</v>
      </c>
      <c r="BG28" s="22">
        <f t="shared" si="7"/>
        <v>206.43707921846078</v>
      </c>
      <c r="BH28" s="62">
        <f t="shared" si="8"/>
        <v>451.63834317900103</v>
      </c>
      <c r="BI28" s="62">
        <f ca="1">AVERAGE(OFFSET($BH$3,0,0,'Données projet'!$E$11+1,1))-AVERAGE(OFFSET($H$3,0,0,'Données projet'!$E$11+1,1))</f>
        <v>462.677457131175</v>
      </c>
      <c r="BJ28" s="62">
        <f t="shared" si="38"/>
        <v>291.78368401945909</v>
      </c>
      <c r="BK28" s="16">
        <f>IF(ISNA(VLOOKUP(A28,'Données projet'!$A$87:$I$107,3,0)),0,VLOOKUP(A28,'Données projet'!$A$87:$I$107,3,0))</f>
        <v>2</v>
      </c>
      <c r="BL28" s="16">
        <f>IF(ISNA(VLOOKUP(A28,'Données projet'!$A$87:$I$107,4,0)),0,VLOOKUP(A28,'Données projet'!$A$87:$I$107,4,0))</f>
        <v>28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0.129</v>
      </c>
      <c r="BO28" s="17">
        <f>IF(ISNA(VLOOKUP(A28,'Données projet'!$A$87:$I$107,7,0)),0%,VLOOKUP(A28,'Données projet'!$A$87:$I$107,7,0))</f>
        <v>0.7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3.5986042274365828</v>
      </c>
      <c r="BR28" s="23">
        <f>EXP(-LN(2)/2)*BR27+(1-EXP(-LN(2)/2))/(LN(2)/2)*BL28*BO28*VLOOKUP('Données projet'!$B$11,Paramètres!$A$1:$I$89,3,0)*0.475*44/12</f>
        <v>16.73258178576512</v>
      </c>
      <c r="BS28" s="24">
        <f t="shared" si="9"/>
        <v>20.331186013201702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58.539738655904905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295</v>
      </c>
      <c r="BW28" s="13">
        <f>VLOOKUP(A28,'Données projet'!$A$113:$I$133,9,0)</f>
        <v>22</v>
      </c>
      <c r="BX28" s="13">
        <f t="array" ref="BX28">INDEX(BW:BW,MIN(IF(ISNUMBER(BW28:BW224),ROW(BW28:BW224),"")))</f>
        <v>22</v>
      </c>
      <c r="BY28" s="13">
        <f>IF('Données projet'!$A$114&gt;35,BY27+BX28-CG27,IF(A28&lt;'Données projet'!$A$114,$BV$205^A28,IF(A28='Données projet'!$A$114,'Données projet'!$B$114,BY27+BX28-CG27)))</f>
        <v>295</v>
      </c>
      <c r="BZ28" s="14">
        <f>BY28*VLOOKUP('Données projet'!$B$12,Paramètres!$A$1:$I$89,3,0)*VLOOKUP('Données projet'!$B$12,Paramètres!$A$1:$I$89,5,0)</f>
        <v>161.07</v>
      </c>
      <c r="CA28" s="14">
        <f t="shared" si="39"/>
        <v>41.083763193241431</v>
      </c>
      <c r="CB28" s="22">
        <f t="shared" si="10"/>
        <v>352.08447089489545</v>
      </c>
      <c r="CC28" s="62">
        <f t="shared" si="11"/>
        <v>597.28573485543563</v>
      </c>
      <c r="CD28" s="62">
        <f ca="1">AVERAGE(OFFSET($CC$3,0,0,'Données projet'!$E$12+1,1))-AVERAGE(OFFSET($H$3,0,0,'Données projet'!$E$12+1,1))</f>
        <v>302.37244372118971</v>
      </c>
      <c r="CE28" s="62">
        <f t="shared" si="40"/>
        <v>439.56450354660171</v>
      </c>
      <c r="CF28" s="16">
        <f>IF(ISNA(VLOOKUP(A28,'Données projet'!$A$113:$I$133,3,0)),0,VLOOKUP(A28,'Données projet'!$A$113:$I$133,3,0))</f>
        <v>4</v>
      </c>
      <c r="CG28" s="16">
        <f>IF(ISNA(VLOOKUP(A28,'Données projet'!$A$113:$I$133,4,0)),0,VLOOKUP(A28,'Données projet'!$A$113:$I$133,4,0))</f>
        <v>57</v>
      </c>
      <c r="CH28" s="17">
        <f>IF(ISNA(VLOOKUP(A28,'Données projet'!$A$113:$I$133,5,0)),0%,VLOOKUP(A28,'Données projet'!$A$113:$I$133,5,0)*VLOOKUP('Données projet'!$B$12,Paramètres!$A$1:$I$89,7,0))</f>
        <v>0.09</v>
      </c>
      <c r="CI28" s="17">
        <f>IF(ISNA(VLOOKUP(A28,'Données projet'!$A$113:$I$133,6,0)),0%,VLOOKUP(A28,'Données projet'!$A$113:$I$133,6,0)*VLOOKUP('Données projet'!$B$12,Paramètres!$A$1:$I$89,7,0))</f>
        <v>0.24</v>
      </c>
      <c r="CJ28" s="17">
        <f>IF(ISNA(VLOOKUP(A28,'Données projet'!$A$113:$I$133,7,0)),0%,VLOOKUP(A28,'Données projet'!$A$113:$I$133,7,0))</f>
        <v>0.45</v>
      </c>
      <c r="CK28" s="23">
        <f>EXP(-LN(2)/35)*CK27+(1-EXP(-LN(2)/35))/(LN(2)/35)*CG28*CH28*VLOOKUP('Données projet'!$B$12,Paramètres!$A$1:$I$89,3,0)*0.475*44/12</f>
        <v>3.715680508397043</v>
      </c>
      <c r="CL28" s="23">
        <f>EXP(-LN(2)/25)*CL27+(1-EXP(-LN(2)/25))/(LN(2)/25)*Calculateur!CG28*Calculateur!CI28*VLOOKUP('Données projet'!$B$12,Paramètres!$A$1:$I$89,3,0)*0.475*44/12</f>
        <v>9.8694678892005712</v>
      </c>
      <c r="CM28" s="23">
        <f>EXP(-LN(2)/2)*CM27+(1-EXP(-LN(2)/2))/(LN(2)/2)*CG28*CJ28*VLOOKUP('Données projet'!$B$12,Paramètres!$A$1:$I$89,3,0)*0.475*44/12</f>
        <v>23.655075160093997</v>
      </c>
      <c r="CN28" s="24">
        <f t="shared" si="12"/>
        <v>37.240223557691607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58.539738655904905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143</v>
      </c>
      <c r="CR28" s="13">
        <f>VLOOKUP(A28,'Données projet'!$A$139:$I$159,9,0)</f>
        <v>12.2</v>
      </c>
      <c r="CS28" s="13">
        <f t="array" ref="CS28">INDEX(CR:CR,MIN(IF(ISNUMBER(CR28:CR224),ROW(CR28:CR224),"")))</f>
        <v>12.2</v>
      </c>
      <c r="CT28" s="13">
        <f>IF('Données projet'!$A$140&gt;35,CT27+CS28-DB27,IF(A28&lt;'Données projet'!$A$140,$CQ$205^A28,IF(A28='Données projet'!$A$140,'Données projet'!$B$140,CT27+CS28-DB27)))</f>
        <v>142.99999999999997</v>
      </c>
      <c r="CU28" s="18">
        <f>CT28*VLOOKUP('Données projet'!$B$13,Paramètres!$A$1:$I$89,3,0)*VLOOKUP('Données projet'!$B$13,Paramètres!$A$1:$I$89,5,0)</f>
        <v>104.84759999999997</v>
      </c>
      <c r="CV28" s="14">
        <f t="shared" si="41"/>
        <v>28.113670466115643</v>
      </c>
      <c r="CW28" s="22">
        <f t="shared" si="13"/>
        <v>231.57421272848467</v>
      </c>
      <c r="CX28" s="62">
        <f t="shared" si="14"/>
        <v>476.77547668902491</v>
      </c>
      <c r="CY28" s="62">
        <f ca="1">AVERAGE(OFFSET($CX$3,0,0,'Données projet'!$E$13+1,1))-AVERAGE(OFFSET($H$3,0,0,'Données projet'!$E$13+1,1))</f>
        <v>300.12722359176314</v>
      </c>
      <c r="CZ28" s="62">
        <f t="shared" si="42"/>
        <v>313.35115626175946</v>
      </c>
      <c r="DA28" s="16">
        <f>IF(ISNA(VLOOKUP(A28,'Données projet'!$A$139:$I$159,3,0)),0,VLOOKUP(A28,'Données projet'!$A$139:$I$159,3,0))</f>
        <v>2</v>
      </c>
      <c r="DB28" s="16">
        <f>IF(ISNA(VLOOKUP(A28,'Données projet'!$A$139:$I$159,4,0)),0,VLOOKUP(A28,'Données projet'!$A$139:$I$159,4,0))</f>
        <v>37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0.215</v>
      </c>
      <c r="DE28" s="17">
        <f>IF(ISNA(VLOOKUP(A28,'Données projet'!$A$139:$I$159,7,0)),0%,VLOOKUP(A28,'Données projet'!$A$139:$I$159,7,0))</f>
        <v>0.5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6.422385828727645</v>
      </c>
      <c r="DH28" s="23">
        <f>EXP(-LN(2)/2)*DH27+(1-EXP(-LN(2)/2))/(LN(2)/2)*DB28*DE28*VLOOKUP('Données projet'!$B$13,Paramètres!$A$1:$I$89,3,0)*0.475*44/12</f>
        <v>12.798187775090407</v>
      </c>
      <c r="DI28" s="24">
        <f t="shared" si="15"/>
        <v>19.220573603818053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58.539738655904905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58.539738655904905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58.539738655904905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58.539738655904905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58.539738655904905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3.55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13.016666666666666</v>
      </c>
      <c r="H29" s="70">
        <f t="shared" si="1"/>
        <v>204.6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58.738548568918944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28</v>
      </c>
      <c r="N29" s="14">
        <f>IF('Données projet'!$A$36&gt;35,N28+M29-V28,IF(A29&lt;'Données projet'!$A$36,$K$205^A29,IF(A29='Données projet'!$A$36,'Données projet'!$B$36,N28+M29-V28)))</f>
        <v>309</v>
      </c>
      <c r="O29" s="14">
        <f>N29*VLOOKUP('Données projet'!$B$9,Paramètres!$A$1:$I$89,3,0)*VLOOKUP('Données projet'!$B$9,Paramètres!$A$1:$I$89,5,0)</f>
        <v>172.73100000000002</v>
      </c>
      <c r="P29" s="14">
        <f t="shared" si="33"/>
        <v>43.701108252019125</v>
      </c>
      <c r="Q29" s="22">
        <f t="shared" si="2"/>
        <v>376.9525885389333</v>
      </c>
      <c r="R29" s="62">
        <f t="shared" si="0"/>
        <v>624.10504440274724</v>
      </c>
      <c r="S29" s="62">
        <f ca="1">AVERAGE(OFFSET($R$3,0,0,'Données projet'!$E$9+1,1))-AVERAGE(OFFSET($H$3,0,0,'Données projet'!$E$9+1,1))</f>
        <v>455.44531340185631</v>
      </c>
      <c r="T29" s="62">
        <f t="shared" si="34"/>
        <v>560.14861617544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2.1592143438912252</v>
      </c>
      <c r="AA29" s="23">
        <f>EXP(-LN(2)/25)*AA28+(1-EXP(-LN(2)/25))/(LN(2)/25)*Calculateur!V29*Calculateur!X29*VLOOKUP('Données projet'!$B$9,Paramètres!$A$1:$I$89,3,0)*0.475*44/12</f>
        <v>8.5349709446773616</v>
      </c>
      <c r="AB29" s="23">
        <f>EXP(-LN(2)/2)*AB28+(1-EXP(-LN(2)/2))/(LN(2)/2)*V29*Y29*VLOOKUP('Données projet'!$B$9,Paramètres!$A$1:$I$89,3,0)*0.475*44/12</f>
        <v>12.083593681488555</v>
      </c>
      <c r="AC29" s="24">
        <f t="shared" si="3"/>
        <v>22.777778970057142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58.738548568918944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13</v>
      </c>
      <c r="AI29" s="14">
        <f>IF('Données projet'!$A$62&gt;35,AI28+AH29-AQ28,IF(A29&lt;'Données projet'!$A$62,$AF$205^A29,IF(A29='Données projet'!$A$62,'Données projet'!$B$62,AI28+AH29-AQ28)))</f>
        <v>132.00000000000003</v>
      </c>
      <c r="AJ29" s="14">
        <f>AI29*VLOOKUP('Données projet'!$B$10,Paramètres!$A$1:$I$89,3,0)*VLOOKUP('Données projet'!$B$10,Paramètres!$A$1:$I$89,5,0)</f>
        <v>115.31520000000003</v>
      </c>
      <c r="AK29" s="14">
        <f t="shared" si="35"/>
        <v>30.579827148797317</v>
      </c>
      <c r="AL29" s="22">
        <f t="shared" si="4"/>
        <v>254.10050561748869</v>
      </c>
      <c r="AM29" s="62">
        <f t="shared" si="5"/>
        <v>501.25296148130258</v>
      </c>
      <c r="AN29" s="62">
        <f ca="1">AVERAGE(OFFSET($AM$3,0,0,'Données projet'!$E$10+1,1))-AVERAGE(OFFSET($H$3,0,0,'Données projet'!$E$10+1,1))</f>
        <v>335.71510570470264</v>
      </c>
      <c r="AO29" s="62">
        <f t="shared" si="36"/>
        <v>401.61823018046482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16.381273750187578</v>
      </c>
      <c r="AW29" s="23">
        <f>EXP(-LN(2)/2)*AW28+(1-EXP(-LN(2)/2))/(LN(2)/2)*AQ29*AT29*VLOOKUP('Données projet'!$B$10,Paramètres!$A$1:$I$89,3,0)*0.475*44/12</f>
        <v>15.037768403628103</v>
      </c>
      <c r="AX29" s="23">
        <f t="shared" si="6"/>
        <v>31.419042153815681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58.738548568918944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9.1999999999999993</v>
      </c>
      <c r="BD29" s="13">
        <f>IF('Données projet'!$A$88&gt;35,BD28+BC29-BL28,IF(A29&lt;'Données projet'!$A$88,$BA$205^A29,IF(A29='Données projet'!$A$88,'Données projet'!$B$88,BD28+BC29-BL28)))</f>
        <v>84.200000000000017</v>
      </c>
      <c r="BE29" s="14">
        <f>BD29*VLOOKUP('Données projet'!$B$11,Paramètres!$A$1:$I$89,3,0)*VLOOKUP('Données projet'!$B$11,Paramètres!$A$1:$I$89,5,0)</f>
        <v>76.184160000000006</v>
      </c>
      <c r="BF29" s="14">
        <f t="shared" si="37"/>
        <v>21.201554232857223</v>
      </c>
      <c r="BG29" s="22">
        <f t="shared" si="7"/>
        <v>169.613452288893</v>
      </c>
      <c r="BH29" s="62">
        <f t="shared" si="8"/>
        <v>416.76590815270691</v>
      </c>
      <c r="BI29" s="62">
        <f ca="1">AVERAGE(OFFSET($BH$3,0,0,'Données projet'!$E$11+1,1))-AVERAGE(OFFSET($H$3,0,0,'Données projet'!$E$11+1,1))</f>
        <v>462.677457131175</v>
      </c>
      <c r="BJ29" s="62">
        <f t="shared" si="38"/>
        <v>291.78368401945909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3.5002002055949579</v>
      </c>
      <c r="BR29" s="23">
        <f>EXP(-LN(2)/2)*BR28+(1-EXP(-LN(2)/2))/(LN(2)/2)*BL29*BO29*VLOOKUP('Données projet'!$B$11,Paramètres!$A$1:$I$89,3,0)*0.475*44/12</f>
        <v>11.831722047473029</v>
      </c>
      <c r="BS29" s="24">
        <f t="shared" si="9"/>
        <v>15.331922253067987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58.738548568918944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17.8</v>
      </c>
      <c r="BY29" s="13">
        <f>IF('Données projet'!$A$114&gt;35,BY28+BX29-CG28,IF(A29&lt;'Données projet'!$A$114,$BV$205^A29,IF(A29='Données projet'!$A$114,'Données projet'!$B$114,BY28+BX29-CG28)))</f>
        <v>255.8</v>
      </c>
      <c r="BZ29" s="14">
        <f>BY29*VLOOKUP('Données projet'!$B$12,Paramètres!$A$1:$I$89,3,0)*VLOOKUP('Données projet'!$B$12,Paramètres!$A$1:$I$89,5,0)</f>
        <v>139.66680000000002</v>
      </c>
      <c r="CA29" s="14">
        <f t="shared" si="39"/>
        <v>36.22066347145411</v>
      </c>
      <c r="CB29" s="22">
        <f t="shared" si="10"/>
        <v>306.3373322127826</v>
      </c>
      <c r="CC29" s="62">
        <f t="shared" si="11"/>
        <v>553.48978807659648</v>
      </c>
      <c r="CD29" s="62">
        <f ca="1">AVERAGE(OFFSET($CC$3,0,0,'Données projet'!$E$12+1,1))-AVERAGE(OFFSET($H$3,0,0,'Données projet'!$E$12+1,1))</f>
        <v>302.37244372118971</v>
      </c>
      <c r="CE29" s="62">
        <f t="shared" si="40"/>
        <v>439.56450354660171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3.6428182799687043</v>
      </c>
      <c r="CL29" s="23">
        <f>EXP(-LN(2)/25)*CL28+(1-EXP(-LN(2)/25))/(LN(2)/25)*Calculateur!CG29*Calculateur!CI29*VLOOKUP('Données projet'!$B$12,Paramètres!$A$1:$I$89,3,0)*0.475*44/12</f>
        <v>9.5995867707576217</v>
      </c>
      <c r="CM29" s="23">
        <f>EXP(-LN(2)/2)*CM28+(1-EXP(-LN(2)/2))/(LN(2)/2)*CG29*CJ29*VLOOKUP('Données projet'!$B$12,Paramètres!$A$1:$I$89,3,0)*0.475*44/12</f>
        <v>16.726664055179924</v>
      </c>
      <c r="CN29" s="24">
        <f t="shared" si="12"/>
        <v>29.96906910590625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58.738548568918944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11.4</v>
      </c>
      <c r="CT29" s="13">
        <f>IF('Données projet'!$A$140&gt;35,CT28+CS29-DB28,IF(A29&lt;'Données projet'!$A$140,$CQ$205^A29,IF(A29='Données projet'!$A$140,'Données projet'!$B$140,CT28+CS29-DB28)))</f>
        <v>117.39999999999998</v>
      </c>
      <c r="CU29" s="18">
        <f>CT29*VLOOKUP('Données projet'!$B$13,Paramètres!$A$1:$I$89,3,0)*VLOOKUP('Données projet'!$B$13,Paramètres!$A$1:$I$89,5,0)</f>
        <v>86.077679999999972</v>
      </c>
      <c r="CV29" s="14">
        <f t="shared" si="41"/>
        <v>23.616816635415731</v>
      </c>
      <c r="CW29" s="22">
        <f t="shared" si="13"/>
        <v>191.05124830668237</v>
      </c>
      <c r="CX29" s="62">
        <f t="shared" si="14"/>
        <v>438.20370417049628</v>
      </c>
      <c r="CY29" s="62">
        <f ca="1">AVERAGE(OFFSET($CX$3,0,0,'Données projet'!$E$13+1,1))-AVERAGE(OFFSET($H$3,0,0,'Données projet'!$E$13+1,1))</f>
        <v>300.12722359176314</v>
      </c>
      <c r="CZ29" s="62">
        <f t="shared" si="42"/>
        <v>313.35115626175946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6.2467653505024954</v>
      </c>
      <c r="DH29" s="23">
        <f>EXP(-LN(2)/2)*DH28+(1-EXP(-LN(2)/2))/(LN(2)/2)*DB29*DE29*VLOOKUP('Données projet'!$B$13,Paramètres!$A$1:$I$89,3,0)*0.475*44/12</f>
        <v>9.0496853626651994</v>
      </c>
      <c r="DI29" s="24">
        <f t="shared" si="15"/>
        <v>15.296450713167694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58.738548568918944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58.738548568918944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58.738548568918944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58.738548568918944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58.738548568918944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3.55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13.016666666666666</v>
      </c>
      <c r="H30" s="70">
        <f t="shared" si="1"/>
        <v>204.6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58.933909574414564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28</v>
      </c>
      <c r="N30" s="14">
        <f>IF('Données projet'!$A$36&gt;35,N29+M30-V29,IF(A30&lt;'Données projet'!$A$36,$K$205^A30,IF(A30='Données projet'!$A$36,'Données projet'!$B$36,N29+M30-V29)))</f>
        <v>337</v>
      </c>
      <c r="O30" s="14">
        <f>N30*VLOOKUP('Données projet'!$B$9,Paramètres!$A$1:$I$89,3,0)*VLOOKUP('Données projet'!$B$9,Paramètres!$A$1:$I$89,5,0)</f>
        <v>188.38300000000001</v>
      </c>
      <c r="P30" s="14">
        <f t="shared" si="33"/>
        <v>47.182279474248382</v>
      </c>
      <c r="Q30" s="22">
        <f t="shared" si="2"/>
        <v>410.27619508431599</v>
      </c>
      <c r="R30" s="62">
        <f t="shared" si="0"/>
        <v>659.36719685716946</v>
      </c>
      <c r="S30" s="62">
        <f ca="1">AVERAGE(OFFSET($R$3,0,0,'Données projet'!$E$9+1,1))-AVERAGE(OFFSET($H$3,0,0,'Données projet'!$E$9+1,1))</f>
        <v>455.44531340185631</v>
      </c>
      <c r="T30" s="62">
        <f t="shared" si="34"/>
        <v>560.14861617544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2.1168734675982259</v>
      </c>
      <c r="AA30" s="23">
        <f>EXP(-LN(2)/25)*AA29+(1-EXP(-LN(2)/25))/(LN(2)/25)*Calculateur!V30*Calculateur!X30*VLOOKUP('Données projet'!$B$9,Paramètres!$A$1:$I$89,3,0)*0.475*44/12</f>
        <v>8.3015817153605447</v>
      </c>
      <c r="AB30" s="23">
        <f>EXP(-LN(2)/2)*AB29+(1-EXP(-LN(2)/2))/(LN(2)/2)*V30*Y30*VLOOKUP('Données projet'!$B$9,Paramètres!$A$1:$I$89,3,0)*0.475*44/12</f>
        <v>8.5443910332834765</v>
      </c>
      <c r="AC30" s="24">
        <f t="shared" si="3"/>
        <v>18.962846216242248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58.933909574414564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13</v>
      </c>
      <c r="AI30" s="14">
        <f>IF('Données projet'!$A$62&gt;35,AI29+AH30-AQ29,IF(A30&lt;'Données projet'!$A$62,$AF$205^A30,IF(A30='Données projet'!$A$62,'Données projet'!$B$62,AI29+AH30-AQ29)))</f>
        <v>145.00000000000003</v>
      </c>
      <c r="AJ30" s="14">
        <f>AI30*VLOOKUP('Données projet'!$B$10,Paramètres!$A$1:$I$89,3,0)*VLOOKUP('Données projet'!$B$10,Paramètres!$A$1:$I$89,5,0)</f>
        <v>126.67200000000003</v>
      </c>
      <c r="AK30" s="14">
        <f t="shared" si="35"/>
        <v>33.226199426361347</v>
      </c>
      <c r="AL30" s="22">
        <f t="shared" si="4"/>
        <v>278.48936400091276</v>
      </c>
      <c r="AM30" s="62">
        <f t="shared" si="5"/>
        <v>527.58036577376618</v>
      </c>
      <c r="AN30" s="62">
        <f ca="1">AVERAGE(OFFSET($AM$3,0,0,'Données projet'!$E$10+1,1))-AVERAGE(OFFSET($H$3,0,0,'Données projet'!$E$10+1,1))</f>
        <v>335.71510570470264</v>
      </c>
      <c r="AO30" s="62">
        <f t="shared" si="36"/>
        <v>401.61823018046482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15.933326958034952</v>
      </c>
      <c r="AW30" s="23">
        <f>EXP(-LN(2)/2)*AW29+(1-EXP(-LN(2)/2))/(LN(2)/2)*AQ30*AT30*VLOOKUP('Données projet'!$B$10,Paramètres!$A$1:$I$89,3,0)*0.475*44/12</f>
        <v>10.633308012118237</v>
      </c>
      <c r="AX30" s="23">
        <f t="shared" si="6"/>
        <v>26.566634970153189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58.933909574414564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9.1999999999999993</v>
      </c>
      <c r="BD30" s="13">
        <f>IF('Données projet'!$A$88&gt;35,BD29+BC30-BL29,IF(A30&lt;'Données projet'!$A$88,$BA$205^A30,IF(A30='Données projet'!$A$88,'Données projet'!$B$88,BD29+BC30-BL29)))</f>
        <v>93.40000000000002</v>
      </c>
      <c r="BE30" s="14">
        <f>BD30*VLOOKUP('Données projet'!$B$11,Paramètres!$A$1:$I$89,3,0)*VLOOKUP('Données projet'!$B$11,Paramètres!$A$1:$I$89,5,0)</f>
        <v>84.508320000000026</v>
      </c>
      <c r="BF30" s="14">
        <f t="shared" si="37"/>
        <v>23.235950088324714</v>
      </c>
      <c r="BG30" s="22">
        <f t="shared" si="7"/>
        <v>187.65460373716556</v>
      </c>
      <c r="BH30" s="62">
        <f t="shared" si="8"/>
        <v>436.745605510019</v>
      </c>
      <c r="BI30" s="62">
        <f ca="1">AVERAGE(OFFSET($BH$3,0,0,'Données projet'!$E$11+1,1))-AVERAGE(OFFSET($H$3,0,0,'Données projet'!$E$11+1,1))</f>
        <v>462.677457131175</v>
      </c>
      <c r="BJ30" s="62">
        <f t="shared" si="38"/>
        <v>291.78368401945909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3.4044870469054347</v>
      </c>
      <c r="BR30" s="23">
        <f>EXP(-LN(2)/2)*BR29+(1-EXP(-LN(2)/2))/(LN(2)/2)*BL30*BO30*VLOOKUP('Données projet'!$B$11,Paramètres!$A$1:$I$89,3,0)*0.475*44/12</f>
        <v>8.3662908928825619</v>
      </c>
      <c r="BS30" s="24">
        <f t="shared" si="9"/>
        <v>11.770777939787997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58.933909574414564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17.8</v>
      </c>
      <c r="BY30" s="13">
        <f>IF('Données projet'!$A$114&gt;35,BY29+BX30-CG29,IF(A30&lt;'Données projet'!$A$114,$BV$205^A30,IF(A30='Données projet'!$A$114,'Données projet'!$B$114,BY29+BX30-CG29)))</f>
        <v>273.60000000000002</v>
      </c>
      <c r="BZ30" s="14">
        <f>BY30*VLOOKUP('Données projet'!$B$12,Paramètres!$A$1:$I$89,3,0)*VLOOKUP('Données projet'!$B$12,Paramètres!$A$1:$I$89,5,0)</f>
        <v>149.38560000000001</v>
      </c>
      <c r="CA30" s="14">
        <f t="shared" si="39"/>
        <v>38.438927680599591</v>
      </c>
      <c r="CB30" s="22">
        <f t="shared" si="10"/>
        <v>327.12771904371101</v>
      </c>
      <c r="CC30" s="62">
        <f t="shared" si="11"/>
        <v>576.21872081656443</v>
      </c>
      <c r="CD30" s="62">
        <f ca="1">AVERAGE(OFFSET($CC$3,0,0,'Données projet'!$E$12+1,1))-AVERAGE(OFFSET($H$3,0,0,'Données projet'!$E$12+1,1))</f>
        <v>302.37244372118971</v>
      </c>
      <c r="CE30" s="62">
        <f t="shared" si="40"/>
        <v>439.56450354660171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3.5713848353982742</v>
      </c>
      <c r="CL30" s="23">
        <f>EXP(-LN(2)/25)*CL29+(1-EXP(-LN(2)/25))/(LN(2)/25)*Calculateur!CG30*Calculateur!CI30*VLOOKUP('Données projet'!$B$12,Paramètres!$A$1:$I$89,3,0)*0.475*44/12</f>
        <v>9.3370855656909271</v>
      </c>
      <c r="CM30" s="23">
        <f>EXP(-LN(2)/2)*CM29+(1-EXP(-LN(2)/2))/(LN(2)/2)*CG30*CJ30*VLOOKUP('Données projet'!$B$12,Paramètres!$A$1:$I$89,3,0)*0.475*44/12</f>
        <v>11.827537580047002</v>
      </c>
      <c r="CN30" s="24">
        <f t="shared" si="12"/>
        <v>24.736007981136204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58.933909574414564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11.4</v>
      </c>
      <c r="CT30" s="13">
        <f>IF('Données projet'!$A$140&gt;35,CT29+CS30-DB29,IF(A30&lt;'Données projet'!$A$140,$CQ$205^A30,IF(A30='Données projet'!$A$140,'Données projet'!$B$140,CT29+CS30-DB29)))</f>
        <v>128.79999999999998</v>
      </c>
      <c r="CU30" s="18">
        <f>CT30*VLOOKUP('Données projet'!$B$13,Paramètres!$A$1:$I$89,3,0)*VLOOKUP('Données projet'!$B$13,Paramètres!$A$1:$I$89,5,0)</f>
        <v>94.436159999999987</v>
      </c>
      <c r="CV30" s="14">
        <f t="shared" si="41"/>
        <v>25.632105611020013</v>
      </c>
      <c r="CW30" s="22">
        <f t="shared" si="13"/>
        <v>209.11889593919315</v>
      </c>
      <c r="CX30" s="62">
        <f t="shared" si="14"/>
        <v>458.2098977120466</v>
      </c>
      <c r="CY30" s="62">
        <f ca="1">AVERAGE(OFFSET($CX$3,0,0,'Données projet'!$E$13+1,1))-AVERAGE(OFFSET($H$3,0,0,'Données projet'!$E$13+1,1))</f>
        <v>300.12722359176314</v>
      </c>
      <c r="CZ30" s="62">
        <f t="shared" si="42"/>
        <v>313.35115626175946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6.0759472234898917</v>
      </c>
      <c r="DH30" s="23">
        <f>EXP(-LN(2)/2)*DH29+(1-EXP(-LN(2)/2))/(LN(2)/2)*DB30*DE30*VLOOKUP('Données projet'!$B$13,Paramètres!$A$1:$I$89,3,0)*0.475*44/12</f>
        <v>6.3990938875452033</v>
      </c>
      <c r="DI30" s="24">
        <f t="shared" si="15"/>
        <v>12.475041111035095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58.933909574414564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58.933909574414564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58.933909574414564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58.933909574414564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58.933909574414564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3.55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13.016666666666666</v>
      </c>
      <c r="H31" s="70">
        <f t="shared" si="1"/>
        <v>204.6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59.125881503226609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28</v>
      </c>
      <c r="N31" s="14">
        <f>IF('Données projet'!$A$36&gt;35,N30+M31-V30,IF(A31&lt;'Données projet'!$A$36,$K$205^A31,IF(A31='Données projet'!$A$36,'Données projet'!$B$36,N30+M31-V30)))</f>
        <v>365</v>
      </c>
      <c r="O31" s="14">
        <f>N31*VLOOKUP('Données projet'!$B$9,Paramètres!$A$1:$I$89,3,0)*VLOOKUP('Données projet'!$B$9,Paramètres!$A$1:$I$89,5,0)</f>
        <v>204.035</v>
      </c>
      <c r="P31" s="14">
        <f t="shared" si="33"/>
        <v>50.629905099971396</v>
      </c>
      <c r="Q31" s="22">
        <f t="shared" si="2"/>
        <v>443.54137638245015</v>
      </c>
      <c r="R31" s="62">
        <f t="shared" si="0"/>
        <v>694.55849744983664</v>
      </c>
      <c r="S31" s="62">
        <f ca="1">AVERAGE(OFFSET($R$3,0,0,'Données projet'!$E$9+1,1))-AVERAGE(OFFSET($H$3,0,0,'Données projet'!$E$9+1,1))</f>
        <v>455.44531340185631</v>
      </c>
      <c r="T31" s="62">
        <f t="shared" si="34"/>
        <v>560.14861617544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2.0753628700639482</v>
      </c>
      <c r="AA31" s="23">
        <f>EXP(-LN(2)/25)*AA30+(1-EXP(-LN(2)/25))/(LN(2)/25)*Calculateur!V31*Calculateur!X31*VLOOKUP('Données projet'!$B$9,Paramètres!$A$1:$I$89,3,0)*0.475*44/12</f>
        <v>8.0745745267928015</v>
      </c>
      <c r="AB31" s="23">
        <f>EXP(-LN(2)/2)*AB30+(1-EXP(-LN(2)/2))/(LN(2)/2)*V31*Y31*VLOOKUP('Données projet'!$B$9,Paramètres!$A$1:$I$89,3,0)*0.475*44/12</f>
        <v>6.0417968407442784</v>
      </c>
      <c r="AC31" s="24">
        <f t="shared" si="3"/>
        <v>16.191734237601029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59.125881503226609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13</v>
      </c>
      <c r="AI31" s="14">
        <f>IF('Données projet'!$A$62&gt;35,AI30+AH31-AQ30,IF(A31&lt;'Données projet'!$A$62,$AF$205^A31,IF(A31='Données projet'!$A$62,'Données projet'!$B$62,AI30+AH31-AQ30)))</f>
        <v>158.00000000000003</v>
      </c>
      <c r="AJ31" s="14">
        <f>AI31*VLOOKUP('Données projet'!$B$10,Paramètres!$A$1:$I$89,3,0)*VLOOKUP('Données projet'!$B$10,Paramètres!$A$1:$I$89,5,0)</f>
        <v>138.02880000000005</v>
      </c>
      <c r="AK31" s="14">
        <f t="shared" si="35"/>
        <v>35.845059256813073</v>
      </c>
      <c r="AL31" s="22">
        <f t="shared" si="4"/>
        <v>302.83030487228285</v>
      </c>
      <c r="AM31" s="62">
        <f t="shared" si="5"/>
        <v>553.84742593966928</v>
      </c>
      <c r="AN31" s="62">
        <f ca="1">AVERAGE(OFFSET($AM$3,0,0,'Données projet'!$E$10+1,1))-AVERAGE(OFFSET($H$3,0,0,'Données projet'!$E$10+1,1))</f>
        <v>335.71510570470264</v>
      </c>
      <c r="AO31" s="62">
        <f t="shared" si="36"/>
        <v>401.61823018046482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15.497629294470238</v>
      </c>
      <c r="AW31" s="23">
        <f>EXP(-LN(2)/2)*AW30+(1-EXP(-LN(2)/2))/(LN(2)/2)*AQ31*AT31*VLOOKUP('Données projet'!$B$10,Paramètres!$A$1:$I$89,3,0)*0.475*44/12</f>
        <v>7.5188842018140534</v>
      </c>
      <c r="AX31" s="23">
        <f t="shared" si="6"/>
        <v>23.01651349628429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59.125881503226609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9.1999999999999993</v>
      </c>
      <c r="BD31" s="13">
        <f>IF('Données projet'!$A$88&gt;35,BD30+BC31-BL30,IF(A31&lt;'Données projet'!$A$88,$BA$205^A31,IF(A31='Données projet'!$A$88,'Données projet'!$B$88,BD30+BC31-BL30)))</f>
        <v>102.60000000000002</v>
      </c>
      <c r="BE31" s="14">
        <f>BD31*VLOOKUP('Données projet'!$B$11,Paramètres!$A$1:$I$89,3,0)*VLOOKUP('Données projet'!$B$11,Paramètres!$A$1:$I$89,5,0)</f>
        <v>92.832480000000018</v>
      </c>
      <c r="BF31" s="14">
        <f t="shared" si="37"/>
        <v>25.247114117480137</v>
      </c>
      <c r="BG31" s="22">
        <f t="shared" si="7"/>
        <v>205.65529308794461</v>
      </c>
      <c r="BH31" s="62">
        <f t="shared" si="8"/>
        <v>456.67241415533107</v>
      </c>
      <c r="BI31" s="62">
        <f ca="1">AVERAGE(OFFSET($BH$3,0,0,'Données projet'!$E$11+1,1))-AVERAGE(OFFSET($H$3,0,0,'Données projet'!$E$11+1,1))</f>
        <v>462.677457131175</v>
      </c>
      <c r="BJ31" s="62">
        <f t="shared" si="38"/>
        <v>291.78368401945909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3.3113911695736129</v>
      </c>
      <c r="BR31" s="23">
        <f>EXP(-LN(2)/2)*BR30+(1-EXP(-LN(2)/2))/(LN(2)/2)*BL31*BO31*VLOOKUP('Données projet'!$B$11,Paramètres!$A$1:$I$89,3,0)*0.475*44/12</f>
        <v>5.9158610237365155</v>
      </c>
      <c r="BS31" s="24">
        <f t="shared" si="9"/>
        <v>9.2272521933101288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59.125881503226609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17.8</v>
      </c>
      <c r="BY31" s="13">
        <f>IF('Données projet'!$A$114&gt;35,BY30+BX31-CG30,IF(A31&lt;'Données projet'!$A$114,$BV$205^A31,IF(A31='Données projet'!$A$114,'Données projet'!$B$114,BY30+BX31-CG30)))</f>
        <v>291.40000000000003</v>
      </c>
      <c r="BZ31" s="14">
        <f>BY31*VLOOKUP('Données projet'!$B$12,Paramètres!$A$1:$I$89,3,0)*VLOOKUP('Données projet'!$B$12,Paramètres!$A$1:$I$89,5,0)</f>
        <v>159.1044</v>
      </c>
      <c r="CA31" s="14">
        <f t="shared" si="39"/>
        <v>40.640444381186896</v>
      </c>
      <c r="CB31" s="22">
        <f t="shared" si="10"/>
        <v>347.88893729723378</v>
      </c>
      <c r="CC31" s="62">
        <f t="shared" si="11"/>
        <v>598.90605836462021</v>
      </c>
      <c r="CD31" s="62">
        <f ca="1">AVERAGE(OFFSET($CC$3,0,0,'Données projet'!$E$12+1,1))-AVERAGE(OFFSET($H$3,0,0,'Données projet'!$E$12+1,1))</f>
        <v>302.37244372118971</v>
      </c>
      <c r="CE31" s="62">
        <f t="shared" si="40"/>
        <v>439.56450354660171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3.5013521571057713</v>
      </c>
      <c r="CL31" s="23">
        <f>EXP(-LN(2)/25)*CL30+(1-EXP(-LN(2)/25))/(LN(2)/25)*Calculateur!CG31*Calculateur!CI31*VLOOKUP('Données projet'!$B$12,Paramètres!$A$1:$I$89,3,0)*0.475*44/12</f>
        <v>9.0817624698811183</v>
      </c>
      <c r="CM31" s="23">
        <f>EXP(-LN(2)/2)*CM30+(1-EXP(-LN(2)/2))/(LN(2)/2)*CG31*CJ31*VLOOKUP('Données projet'!$B$12,Paramètres!$A$1:$I$89,3,0)*0.475*44/12</f>
        <v>8.3633320275899639</v>
      </c>
      <c r="CN31" s="24">
        <f t="shared" si="12"/>
        <v>20.946446654576853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59.125881503226609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11.4</v>
      </c>
      <c r="CT31" s="13">
        <f>IF('Données projet'!$A$140&gt;35,CT30+CS31-DB30,IF(A31&lt;'Données projet'!$A$140,$CQ$205^A31,IF(A31='Données projet'!$A$140,'Données projet'!$B$140,CT30+CS31-DB30)))</f>
        <v>140.19999999999999</v>
      </c>
      <c r="CU31" s="18">
        <f>CT31*VLOOKUP('Données projet'!$B$13,Paramètres!$A$1:$I$89,3,0)*VLOOKUP('Données projet'!$B$13,Paramètres!$A$1:$I$89,5,0)</f>
        <v>102.79463999999999</v>
      </c>
      <c r="CV31" s="14">
        <f t="shared" si="41"/>
        <v>27.62671020390955</v>
      </c>
      <c r="CW31" s="22">
        <f t="shared" si="13"/>
        <v>227.15051827180909</v>
      </c>
      <c r="CX31" s="62">
        <f t="shared" si="14"/>
        <v>478.16763933919555</v>
      </c>
      <c r="CY31" s="62">
        <f ca="1">AVERAGE(OFFSET($CX$3,0,0,'Données projet'!$E$13+1,1))-AVERAGE(OFFSET($H$3,0,0,'Données projet'!$E$13+1,1))</f>
        <v>300.12722359176314</v>
      </c>
      <c r="CZ31" s="62">
        <f t="shared" si="42"/>
        <v>313.35115626175946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5.9098001271433827</v>
      </c>
      <c r="DH31" s="23">
        <f>EXP(-LN(2)/2)*DH30+(1-EXP(-LN(2)/2))/(LN(2)/2)*DB31*DE31*VLOOKUP('Données projet'!$B$13,Paramètres!$A$1:$I$89,3,0)*0.475*44/12</f>
        <v>4.5248426813325997</v>
      </c>
      <c r="DI31" s="24">
        <f t="shared" si="15"/>
        <v>10.434642808475981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59.125881503226609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59.125881503226609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59.125881503226609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59.125881503226609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59.125881503226609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3.55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13.016666666666666</v>
      </c>
      <c r="H32" s="70">
        <f t="shared" si="1"/>
        <v>204.6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59.314523148258708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28</v>
      </c>
      <c r="N32" s="14">
        <f>IF('Données projet'!$A$36&gt;35,N31+M32-V31,IF(A32&lt;'Données projet'!$A$36,$K$205^A32,IF(A32='Données projet'!$A$36,'Données projet'!$B$36,N31+M32-V31)))</f>
        <v>393</v>
      </c>
      <c r="O32" s="14">
        <f>N32*VLOOKUP('Données projet'!$B$9,Paramètres!$A$1:$I$89,3,0)*VLOOKUP('Données projet'!$B$9,Paramètres!$A$1:$I$89,5,0)</f>
        <v>219.68700000000001</v>
      </c>
      <c r="P32" s="14">
        <f t="shared" si="33"/>
        <v>54.046851081096591</v>
      </c>
      <c r="Q32" s="22">
        <f t="shared" si="2"/>
        <v>476.75312396624321</v>
      </c>
      <c r="R32" s="62">
        <f t="shared" si="0"/>
        <v>729.68415328763626</v>
      </c>
      <c r="S32" s="62">
        <f ca="1">AVERAGE(OFFSET($R$3,0,0,'Données projet'!$E$9+1,1))-AVERAGE(OFFSET($H$3,0,0,'Données projet'!$E$9+1,1))</f>
        <v>455.44531340185631</v>
      </c>
      <c r="T32" s="62">
        <f t="shared" si="34"/>
        <v>560.14861617544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2.0346662700283531</v>
      </c>
      <c r="AA32" s="23">
        <f>EXP(-LN(2)/25)*AA31+(1-EXP(-LN(2)/25))/(LN(2)/25)*Calculateur!V32*Calculateur!X32*VLOOKUP('Données projet'!$B$9,Paramètres!$A$1:$I$89,3,0)*0.475*44/12</f>
        <v>7.8537748617342329</v>
      </c>
      <c r="AB32" s="23">
        <f>EXP(-LN(2)/2)*AB31+(1-EXP(-LN(2)/2))/(LN(2)/2)*V32*Y32*VLOOKUP('Données projet'!$B$9,Paramètres!$A$1:$I$89,3,0)*0.475*44/12</f>
        <v>4.2721955166417391</v>
      </c>
      <c r="AC32" s="24">
        <f t="shared" si="3"/>
        <v>14.160636648404326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59.314523148258708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13</v>
      </c>
      <c r="AI32" s="14">
        <f>IF('Données projet'!$A$62&gt;35,AI31+AH32-AQ31,IF(A32&lt;'Données projet'!$A$62,$AF$205^A32,IF(A32='Données projet'!$A$62,'Données projet'!$B$62,AI31+AH32-AQ31)))</f>
        <v>171.00000000000003</v>
      </c>
      <c r="AJ32" s="14">
        <f>AI32*VLOOKUP('Données projet'!$B$10,Paramètres!$A$1:$I$89,3,0)*VLOOKUP('Données projet'!$B$10,Paramètres!$A$1:$I$89,5,0)</f>
        <v>149.38560000000004</v>
      </c>
      <c r="AK32" s="14">
        <f t="shared" si="35"/>
        <v>38.438927680599591</v>
      </c>
      <c r="AL32" s="22">
        <f t="shared" si="4"/>
        <v>327.12771904371101</v>
      </c>
      <c r="AM32" s="62">
        <f t="shared" si="5"/>
        <v>580.05874836510407</v>
      </c>
      <c r="AN32" s="62">
        <f ca="1">AVERAGE(OFFSET($AM$3,0,0,'Données projet'!$E$10+1,1))-AVERAGE(OFFSET($H$3,0,0,'Données projet'!$E$10+1,1))</f>
        <v>335.71510570470264</v>
      </c>
      <c r="AO32" s="62">
        <f t="shared" si="36"/>
        <v>401.61823018046482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15.073845806428045</v>
      </c>
      <c r="AW32" s="23">
        <f>EXP(-LN(2)/2)*AW31+(1-EXP(-LN(2)/2))/(LN(2)/2)*AQ32*AT32*VLOOKUP('Données projet'!$B$10,Paramètres!$A$1:$I$89,3,0)*0.475*44/12</f>
        <v>5.3166540060591192</v>
      </c>
      <c r="AX32" s="23">
        <f t="shared" si="6"/>
        <v>20.390499812487164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59.314523148258708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9.1999999999999993</v>
      </c>
      <c r="BD32" s="13">
        <f>IF('Données projet'!$A$88&gt;35,BD31+BC32-BL31,IF(A32&lt;'Données projet'!$A$88,$BA$205^A32,IF(A32='Données projet'!$A$88,'Données projet'!$B$88,BD31+BC32-BL31)))</f>
        <v>111.80000000000003</v>
      </c>
      <c r="BE32" s="14">
        <f>BD32*VLOOKUP('Données projet'!$B$11,Paramètres!$A$1:$I$89,3,0)*VLOOKUP('Données projet'!$B$11,Paramètres!$A$1:$I$89,5,0)</f>
        <v>101.15664000000001</v>
      </c>
      <c r="BF32" s="14">
        <f t="shared" si="37"/>
        <v>27.237366379381644</v>
      </c>
      <c r="BG32" s="22">
        <f t="shared" si="7"/>
        <v>223.61956111075639</v>
      </c>
      <c r="BH32" s="62">
        <f t="shared" si="8"/>
        <v>476.55059043214942</v>
      </c>
      <c r="BI32" s="62">
        <f ca="1">AVERAGE(OFFSET($BH$3,0,0,'Données projet'!$E$11+1,1))-AVERAGE(OFFSET($H$3,0,0,'Données projet'!$E$11+1,1))</f>
        <v>462.677457131175</v>
      </c>
      <c r="BJ32" s="62">
        <f t="shared" si="38"/>
        <v>291.78368401945909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3.220841003903129</v>
      </c>
      <c r="BR32" s="23">
        <f>EXP(-LN(2)/2)*BR31+(1-EXP(-LN(2)/2))/(LN(2)/2)*BL32*BO32*VLOOKUP('Données projet'!$B$11,Paramètres!$A$1:$I$89,3,0)*0.475*44/12</f>
        <v>4.1831454464412818</v>
      </c>
      <c r="BS32" s="24">
        <f t="shared" si="9"/>
        <v>7.4039864503444104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59.314523148258708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17.8</v>
      </c>
      <c r="BY32" s="13">
        <f>IF('Données projet'!$A$114&gt;35,BY31+BX32-CG31,IF(A32&lt;'Données projet'!$A$114,$BV$205^A32,IF(A32='Données projet'!$A$114,'Données projet'!$B$114,BY31+BX32-CG31)))</f>
        <v>309.20000000000005</v>
      </c>
      <c r="BZ32" s="14">
        <f>BY32*VLOOKUP('Données projet'!$B$12,Paramètres!$A$1:$I$89,3,0)*VLOOKUP('Données projet'!$B$12,Paramètres!$A$1:$I$89,5,0)</f>
        <v>168.82320000000001</v>
      </c>
      <c r="CA32" s="14">
        <f t="shared" si="39"/>
        <v>42.826353072849329</v>
      </c>
      <c r="CB32" s="22">
        <f t="shared" si="10"/>
        <v>368.62297160187927</v>
      </c>
      <c r="CC32" s="62">
        <f t="shared" si="11"/>
        <v>621.55400092327227</v>
      </c>
      <c r="CD32" s="62">
        <f ca="1">AVERAGE(OFFSET($CC$3,0,0,'Données projet'!$E$12+1,1))-AVERAGE(OFFSET($H$3,0,0,'Données projet'!$E$12+1,1))</f>
        <v>302.37244372118971</v>
      </c>
      <c r="CE32" s="62">
        <f t="shared" si="40"/>
        <v>439.56450354660171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3.4326927769188686</v>
      </c>
      <c r="CL32" s="23">
        <f>EXP(-LN(2)/25)*CL31+(1-EXP(-LN(2)/25))/(LN(2)/25)*Calculateur!CG32*Calculateur!CI32*VLOOKUP('Données projet'!$B$12,Paramètres!$A$1:$I$89,3,0)*0.475*44/12</f>
        <v>8.8334211975530881</v>
      </c>
      <c r="CM32" s="23">
        <f>EXP(-LN(2)/2)*CM31+(1-EXP(-LN(2)/2))/(LN(2)/2)*CG32*CJ32*VLOOKUP('Données projet'!$B$12,Paramètres!$A$1:$I$89,3,0)*0.475*44/12</f>
        <v>5.9137687900235019</v>
      </c>
      <c r="CN32" s="24">
        <f t="shared" si="12"/>
        <v>18.17988276449546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59.314523148258708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11.4</v>
      </c>
      <c r="CT32" s="13">
        <f>IF('Données projet'!$A$140&gt;35,CT31+CS32-DB31,IF(A32&lt;'Données projet'!$A$140,$CQ$205^A32,IF(A32='Données projet'!$A$140,'Données projet'!$B$140,CT31+CS32-DB31)))</f>
        <v>151.6</v>
      </c>
      <c r="CU32" s="18">
        <f>CT32*VLOOKUP('Données projet'!$B$13,Paramètres!$A$1:$I$89,3,0)*VLOOKUP('Données projet'!$B$13,Paramètres!$A$1:$I$89,5,0)</f>
        <v>111.15312</v>
      </c>
      <c r="CV32" s="14">
        <f t="shared" si="41"/>
        <v>29.602503525728935</v>
      </c>
      <c r="CW32" s="22">
        <f t="shared" si="13"/>
        <v>245.14937764064459</v>
      </c>
      <c r="CX32" s="62">
        <f t="shared" si="14"/>
        <v>498.08040696203761</v>
      </c>
      <c r="CY32" s="62">
        <f ca="1">AVERAGE(OFFSET($CX$3,0,0,'Données projet'!$E$13+1,1))-AVERAGE(OFFSET($H$3,0,0,'Données projet'!$E$13+1,1))</f>
        <v>300.12722359176314</v>
      </c>
      <c r="CZ32" s="62">
        <f t="shared" si="42"/>
        <v>313.35115626175946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5.748196331883765</v>
      </c>
      <c r="DH32" s="23">
        <f>EXP(-LN(2)/2)*DH31+(1-EXP(-LN(2)/2))/(LN(2)/2)*DB32*DE32*VLOOKUP('Données projet'!$B$13,Paramètres!$A$1:$I$89,3,0)*0.475*44/12</f>
        <v>3.1995469437726016</v>
      </c>
      <c r="DI32" s="24">
        <f t="shared" si="15"/>
        <v>8.9477432756563662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59.314523148258708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59.314523148258708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59.314523148258708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59.314523148258708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59.314523148258708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3.55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13.016666666666666</v>
      </c>
      <c r="H33" s="70">
        <f t="shared" si="1"/>
        <v>204.6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59.499892282489029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421</v>
      </c>
      <c r="L33" s="13">
        <f>VLOOKUP(A33,'Données projet'!$A$35:$I$55,9,0)</f>
        <v>28</v>
      </c>
      <c r="M33" s="13">
        <f t="array" ref="M33">INDEX(L:L,MIN(IF(ISNUMBER(L33:L229),ROW(L33:L229),"")))</f>
        <v>28</v>
      </c>
      <c r="N33" s="14">
        <f>IF('Données projet'!$A$36&gt;35,N32+M33-V32,IF(A33&lt;'Données projet'!$A$36,$K$205^A33,IF(A33='Données projet'!$A$36,'Données projet'!$B$36,N32+M33-V32)))</f>
        <v>421</v>
      </c>
      <c r="O33" s="14">
        <f>N33*VLOOKUP('Données projet'!$B$9,Paramètres!$A$1:$I$89,3,0)*VLOOKUP('Données projet'!$B$9,Paramètres!$A$1:$I$89,5,0)</f>
        <v>235.339</v>
      </c>
      <c r="P33" s="14">
        <f t="shared" si="33"/>
        <v>57.43555185051494</v>
      </c>
      <c r="Q33" s="22">
        <f t="shared" si="2"/>
        <v>509.91567780631357</v>
      </c>
      <c r="R33" s="62">
        <f t="shared" si="0"/>
        <v>764.74861617544002</v>
      </c>
      <c r="S33" s="62">
        <f ca="1">AVERAGE(OFFSET($R$3,0,0,'Données projet'!$E$9+1,1))-AVERAGE(OFFSET($H$3,0,0,'Données projet'!$E$9+1,1))</f>
        <v>455.44531340185631</v>
      </c>
      <c r="T33" s="62">
        <f t="shared" si="34"/>
        <v>560.14861617544</v>
      </c>
      <c r="U33" s="16">
        <f>IF(ISNA(VLOOKUP(A33,'Données projet'!$A$35:$I$55,3,0)),0,VLOOKUP(A33,'Données projet'!$A$35:$I$55,3,0))</f>
        <v>3</v>
      </c>
      <c r="V33" s="16">
        <f>IF(ISNA(VLOOKUP(A33,'Données projet'!$A$35:$I$55,4,0)),0,VLOOKUP(A33,'Données projet'!$A$35:$I$55,4,0))</f>
        <v>54</v>
      </c>
      <c r="W33" s="17">
        <f>IF(ISNA(VLOOKUP(A33,'Données projet'!$A$35:$I$55,5,0)),0%,VLOOKUP(A33,'Données projet'!$A$35:$I$55,5,0)*VLOOKUP('Données projet'!$B$9,Paramètres!$A$1:$I$89,7,0))</f>
        <v>0.22000000000000003</v>
      </c>
      <c r="X33" s="17">
        <f>IF(ISNA(VLOOKUP(A33,'Données projet'!$A$35:$I$55,6,0)),0%,VLOOKUP(A33,'Données projet'!$A$35:$I$55,6,0)*VLOOKUP('Données projet'!$B$9,Paramètres!$A$1:$I$89,7,0))</f>
        <v>0.16500000000000001</v>
      </c>
      <c r="Y33" s="17">
        <f>IF(ISNA(VLOOKUP(A33,'Données projet'!$A$35:$I$55,7,0)),0%,VLOOKUP(A33,'Données projet'!$A$35:$I$55,7,0))</f>
        <v>0.3</v>
      </c>
      <c r="Z33" s="23">
        <f>EXP(-LN(2)/35)*Z32+(1-EXP(-LN(2)/35))/(LN(2)/35)*V33*W33*VLOOKUP('Données projet'!$B$9,Paramètres!$A$1:$I$89,3,0)*0.475*44/12</f>
        <v>10.804376128914534</v>
      </c>
      <c r="AA33" s="23">
        <f>EXP(-LN(2)/25)*AA32+(1-EXP(-LN(2)/25))/(LN(2)/25)*Calculateur!V33*Calculateur!X33*VLOOKUP('Données projet'!$B$9,Paramètres!$A$1:$I$89,3,0)*0.475*44/12</f>
        <v>14.220204203875978</v>
      </c>
      <c r="AB33" s="23">
        <f>EXP(-LN(2)/2)*AB32+(1-EXP(-LN(2)/2))/(LN(2)/2)*V33*Y33*VLOOKUP('Données projet'!$B$9,Paramètres!$A$1:$I$89,3,0)*0.475*44/12</f>
        <v>13.274167660312308</v>
      </c>
      <c r="AC33" s="24">
        <f t="shared" si="3"/>
        <v>38.298747993102822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59.499892282489029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184</v>
      </c>
      <c r="AG33" s="13">
        <f>VLOOKUP(A33,'Données projet'!$A$61:$I$81,9,0)</f>
        <v>13</v>
      </c>
      <c r="AH33" s="13">
        <f t="array" ref="AH33">INDEX(AG:AG,MIN(IF(ISNUMBER(AG33:AG229),ROW(AG33:AG229),"")))</f>
        <v>13</v>
      </c>
      <c r="AI33" s="14">
        <f>IF('Données projet'!$A$62&gt;35,AI32+AH33-AQ32,IF(A33&lt;'Données projet'!$A$62,$AF$205^A33,IF(A33='Données projet'!$A$62,'Données projet'!$B$62,AI32+AH33-AQ32)))</f>
        <v>184.00000000000003</v>
      </c>
      <c r="AJ33" s="14">
        <f>AI33*VLOOKUP('Données projet'!$B$10,Paramètres!$A$1:$I$89,3,0)*VLOOKUP('Données projet'!$B$10,Paramètres!$A$1:$I$89,5,0)</f>
        <v>160.74240000000003</v>
      </c>
      <c r="AK33" s="14">
        <f t="shared" si="35"/>
        <v>41.009920657227809</v>
      </c>
      <c r="AL33" s="22">
        <f t="shared" si="4"/>
        <v>351.38529181133845</v>
      </c>
      <c r="AM33" s="62">
        <f t="shared" si="5"/>
        <v>606.21823018046484</v>
      </c>
      <c r="AN33" s="62">
        <f ca="1">AVERAGE(OFFSET($AM$3,0,0,'Données projet'!$E$10+1,1))-AVERAGE(OFFSET($H$3,0,0,'Données projet'!$E$10+1,1))</f>
        <v>335.71510570470264</v>
      </c>
      <c r="AO33" s="62">
        <f t="shared" si="36"/>
        <v>401.61823018046482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44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0.25800000000000001</v>
      </c>
      <c r="AT33" s="17">
        <f>IF(ISNA(VLOOKUP(A33,'Données projet'!$A$61:$I$81,7,0)),0%,VLOOKUP(A33,'Données projet'!$A$61:$I$81,7,0))</f>
        <v>0.4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25.581553183408012</v>
      </c>
      <c r="AW33" s="23">
        <f>EXP(-LN(2)/2)*AW32+(1-EXP(-LN(2)/2))/(LN(2)/2)*AQ33*AT33*VLOOKUP('Données projet'!$B$10,Paramètres!$A$1:$I$89,3,0)*0.475*44/12</f>
        <v>18.266508082654131</v>
      </c>
      <c r="AX33" s="23">
        <f t="shared" si="6"/>
        <v>43.848061266062146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59.499892282489029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121</v>
      </c>
      <c r="BB33" s="13">
        <f>VLOOKUP(A33,'Données projet'!$A$87:$I$107,9,0)</f>
        <v>9.1999999999999993</v>
      </c>
      <c r="BC33" s="13">
        <f t="array" ref="BC33">INDEX(BB:BB,MIN(IF(ISNUMBER(BB33:BB229),ROW(BB33:BB229),"")))</f>
        <v>9.1999999999999993</v>
      </c>
      <c r="BD33" s="13">
        <f>IF('Données projet'!$A$88&gt;35,BD32+BC33-BL32,IF(A33&lt;'Données projet'!$A$88,$BA$205^A33,IF(A33='Données projet'!$A$88,'Données projet'!$B$88,BD32+BC33-BL32)))</f>
        <v>121.00000000000003</v>
      </c>
      <c r="BE33" s="14">
        <f>BD33*VLOOKUP('Données projet'!$B$11,Paramètres!$A$1:$I$89,3,0)*VLOOKUP('Données projet'!$B$11,Paramètres!$A$1:$I$89,5,0)</f>
        <v>109.48080000000002</v>
      </c>
      <c r="BF33" s="14">
        <f t="shared" si="37"/>
        <v>29.208623339903898</v>
      </c>
      <c r="BG33" s="22">
        <f t="shared" si="7"/>
        <v>241.55074565033269</v>
      </c>
      <c r="BH33" s="62">
        <f t="shared" si="8"/>
        <v>496.38368401945911</v>
      </c>
      <c r="BI33" s="62">
        <f ca="1">AVERAGE(OFFSET($BH$3,0,0,'Données projet'!$E$11+1,1))-AVERAGE(OFFSET($H$3,0,0,'Données projet'!$E$11+1,1))</f>
        <v>462.677457131175</v>
      </c>
      <c r="BJ33" s="62">
        <f t="shared" si="38"/>
        <v>291.78368401945909</v>
      </c>
      <c r="BK33" s="16">
        <f>IF(ISNA(VLOOKUP(A33,'Données projet'!$A$87:$I$107,3,0)),0,VLOOKUP(A33,'Données projet'!$A$87:$I$107,3,0))</f>
        <v>3</v>
      </c>
      <c r="BL33" s="16">
        <f>IF(ISNA(VLOOKUP(A33,'Données projet'!$A$87:$I$107,4,0)),0,VLOOKUP(A33,'Données projet'!$A$87:$I$107,4,0))</f>
        <v>28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0.215</v>
      </c>
      <c r="BO33" s="17">
        <f>IF(ISNA(VLOOKUP(A33,'Données projet'!$A$87:$I$107,7,0)),0%,VLOOKUP(A33,'Données projet'!$A$87:$I$107,7,0))</f>
        <v>0.5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9.1304406496690369</v>
      </c>
      <c r="BR33" s="23">
        <f>EXP(-LN(2)/2)*BR32+(1-EXP(-LN(2)/2))/(LN(2)/2)*BL33*BO33*VLOOKUP('Données projet'!$B$11,Paramètres!$A$1:$I$89,3,0)*0.475*44/12</f>
        <v>14.909774644557633</v>
      </c>
      <c r="BS33" s="24">
        <f t="shared" si="9"/>
        <v>24.04021529422667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59.499892282489029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327</v>
      </c>
      <c r="BW33" s="13">
        <f>VLOOKUP(A33,'Données projet'!$A$113:$I$133,9,0)</f>
        <v>17.8</v>
      </c>
      <c r="BX33" s="13">
        <f t="array" ref="BX33">INDEX(BW:BW,MIN(IF(ISNUMBER(BW33:BW229),ROW(BW33:BW229),"")))</f>
        <v>17.8</v>
      </c>
      <c r="BY33" s="13">
        <f>IF('Données projet'!$A$114&gt;35,BY32+BX33-CG32,IF(A33&lt;'Données projet'!$A$114,$BV$205^A33,IF(A33='Données projet'!$A$114,'Données projet'!$B$114,BY32+BX33-CG32)))</f>
        <v>327.00000000000006</v>
      </c>
      <c r="BZ33" s="14">
        <f>BY33*VLOOKUP('Données projet'!$B$12,Paramètres!$A$1:$I$89,3,0)*VLOOKUP('Données projet'!$B$12,Paramètres!$A$1:$I$89,5,0)</f>
        <v>178.54200000000006</v>
      </c>
      <c r="CA33" s="14">
        <f t="shared" si="39"/>
        <v>44.997654647354175</v>
      </c>
      <c r="CB33" s="22">
        <f t="shared" si="10"/>
        <v>389.33156517747528</v>
      </c>
      <c r="CC33" s="62">
        <f t="shared" si="11"/>
        <v>644.16450354660174</v>
      </c>
      <c r="CD33" s="62">
        <f ca="1">AVERAGE(OFFSET($CC$3,0,0,'Données projet'!$E$12+1,1))-AVERAGE(OFFSET($H$3,0,0,'Données projet'!$E$12+1,1))</f>
        <v>302.37244372118971</v>
      </c>
      <c r="CE33" s="62">
        <f t="shared" si="40"/>
        <v>439.56450354660171</v>
      </c>
      <c r="CF33" s="16">
        <f>IF(ISNA(VLOOKUP(A33,'Données projet'!$A$113:$I$133,3,0)),0,VLOOKUP(A33,'Données projet'!$A$113:$I$133,3,0))</f>
        <v>5</v>
      </c>
      <c r="CG33" s="16">
        <f>IF(ISNA(VLOOKUP(A33,'Données projet'!$A$113:$I$133,4,0)),0,VLOOKUP(A33,'Données projet'!$A$113:$I$133,4,0))</f>
        <v>48</v>
      </c>
      <c r="CH33" s="17">
        <f>IF(ISNA(VLOOKUP(A33,'Données projet'!$A$113:$I$133,5,0)),0%,VLOOKUP(A33,'Données projet'!$A$113:$I$133,5,0)*VLOOKUP('Données projet'!$B$12,Paramètres!$A$1:$I$89,7,0))</f>
        <v>0.12</v>
      </c>
      <c r="CI33" s="17">
        <f>IF(ISNA(VLOOKUP(A33,'Données projet'!$A$113:$I$133,6,0)),0%,VLOOKUP(A33,'Données projet'!$A$113:$I$133,6,0)*VLOOKUP('Données projet'!$B$12,Paramètres!$A$1:$I$89,7,0))</f>
        <v>0.24</v>
      </c>
      <c r="CJ33" s="17">
        <f>IF(ISNA(VLOOKUP(A33,'Données projet'!$A$113:$I$133,7,0)),0%,VLOOKUP(A33,'Données projet'!$A$113:$I$133,7,0))</f>
        <v>0.4</v>
      </c>
      <c r="CK33" s="23">
        <f>EXP(-LN(2)/35)*CK32+(1-EXP(-LN(2)/35))/(LN(2)/35)*CG33*CH33*VLOOKUP('Données projet'!$B$12,Paramètres!$A$1:$I$89,3,0)*0.475*44/12</f>
        <v>7.5373719150784808</v>
      </c>
      <c r="CL33" s="23">
        <f>EXP(-LN(2)/25)*CL32+(1-EXP(-LN(2)/25))/(LN(2)/25)*Calculateur!CG33*Calculateur!CI33*VLOOKUP('Données projet'!$B$12,Paramètres!$A$1:$I$89,3,0)*0.475*44/12</f>
        <v>16.903001684440206</v>
      </c>
      <c r="CM33" s="23">
        <f>EXP(-LN(2)/2)*CM32+(1-EXP(-LN(2)/2))/(LN(2)/2)*CG33*CJ33*VLOOKUP('Données projet'!$B$12,Paramètres!$A$1:$I$89,3,0)*0.475*44/12</f>
        <v>16.05108363522443</v>
      </c>
      <c r="CN33" s="24">
        <f t="shared" si="12"/>
        <v>40.491457234743116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59.499892282489029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163</v>
      </c>
      <c r="CR33" s="13">
        <f>VLOOKUP(A33,'Données projet'!$A$139:$I$159,9,0)</f>
        <v>11.4</v>
      </c>
      <c r="CS33" s="13">
        <f t="array" ref="CS33">INDEX(CR:CR,MIN(IF(ISNUMBER(CR33:CR229),ROW(CR33:CR229),"")))</f>
        <v>11.4</v>
      </c>
      <c r="CT33" s="13">
        <f>IF('Données projet'!$A$140&gt;35,CT32+CS33-DB32,IF(A33&lt;'Données projet'!$A$140,$CQ$205^A33,IF(A33='Données projet'!$A$140,'Données projet'!$B$140,CT32+CS33-DB32)))</f>
        <v>163</v>
      </c>
      <c r="CU33" s="18">
        <f>CT33*VLOOKUP('Données projet'!$B$13,Paramètres!$A$1:$I$89,3,0)*VLOOKUP('Données projet'!$B$13,Paramètres!$A$1:$I$89,5,0)</f>
        <v>119.5116</v>
      </c>
      <c r="CV33" s="14">
        <f t="shared" si="41"/>
        <v>31.561060990985474</v>
      </c>
      <c r="CW33" s="22">
        <f t="shared" si="13"/>
        <v>263.11821789263303</v>
      </c>
      <c r="CX33" s="62">
        <f t="shared" si="14"/>
        <v>517.95115626175948</v>
      </c>
      <c r="CY33" s="62">
        <f ca="1">AVERAGE(OFFSET($CX$3,0,0,'Données projet'!$E$13+1,1))-AVERAGE(OFFSET($H$3,0,0,'Données projet'!$E$13+1,1))</f>
        <v>300.12722359176314</v>
      </c>
      <c r="CZ33" s="62">
        <f t="shared" si="42"/>
        <v>313.35115626175946</v>
      </c>
      <c r="DA33" s="16">
        <f>IF(ISNA(VLOOKUP(A33,'Données projet'!$A$139:$I$159,3,0)),0,VLOOKUP(A33,'Données projet'!$A$139:$I$159,3,0))</f>
        <v>3</v>
      </c>
      <c r="DB33" s="16">
        <f>IF(ISNA(VLOOKUP(A33,'Données projet'!$A$139:$I$159,4,0)),0,VLOOKUP(A33,'Données projet'!$A$139:$I$159,4,0))</f>
        <v>37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0.215</v>
      </c>
      <c r="DE33" s="17">
        <f>IF(ISNA(VLOOKUP(A33,'Données projet'!$A$139:$I$159,7,0)),0%,VLOOKUP(A33,'Données projet'!$A$139:$I$159,7,0))</f>
        <v>0.5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12.013397429631542</v>
      </c>
      <c r="DH33" s="23">
        <f>EXP(-LN(2)/2)*DH32+(1-EXP(-LN(2)/2))/(LN(2)/2)*DB33*DE33*VLOOKUP('Données projet'!$B$13,Paramètres!$A$1:$I$89,3,0)*0.475*44/12</f>
        <v>15.060609115756707</v>
      </c>
      <c r="DI33" s="24">
        <f t="shared" si="15"/>
        <v>27.074006545388251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59.499892282489029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59.499892282489029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59.499892282489029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59.499892282489029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59.499892282489029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3.55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13.016666666666666</v>
      </c>
      <c r="H34" s="70">
        <f t="shared" si="1"/>
        <v>204.6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59.682045676663755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29.6</v>
      </c>
      <c r="N34" s="14">
        <f>IF('Données projet'!$A$36&gt;35,N33+M34-V33,IF(A34&lt;'Données projet'!$A$36,$K$205^A34,IF(A34='Données projet'!$A$36,'Données projet'!$B$36,N33+M34-V33)))</f>
        <v>396.6</v>
      </c>
      <c r="O34" s="14">
        <f>N34*VLOOKUP('Données projet'!$B$9,Paramètres!$A$1:$I$89,3,0)*VLOOKUP('Données projet'!$B$9,Paramètres!$A$1:$I$89,5,0)</f>
        <v>221.69940000000003</v>
      </c>
      <c r="P34" s="14">
        <f t="shared" si="33"/>
        <v>54.484076338645842</v>
      </c>
      <c r="Q34" s="22">
        <f t="shared" si="2"/>
        <v>481.01955462314157</v>
      </c>
      <c r="R34" s="62">
        <f t="shared" si="0"/>
        <v>736.52038877090877</v>
      </c>
      <c r="S34" s="62">
        <f ca="1">AVERAGE(OFFSET($R$3,0,0,'Données projet'!$E$9+1,1))-AVERAGE(OFFSET($H$3,0,0,'Données projet'!$E$9+1,1))</f>
        <v>455.44531340185631</v>
      </c>
      <c r="T34" s="62">
        <f t="shared" si="34"/>
        <v>560.14861617544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10.592508903045248</v>
      </c>
      <c r="AA34" s="23">
        <f>EXP(-LN(2)/25)*AA33+(1-EXP(-LN(2)/25))/(LN(2)/25)*Calculateur!V34*Calculateur!X34*VLOOKUP('Données projet'!$B$9,Paramètres!$A$1:$I$89,3,0)*0.475*44/12</f>
        <v>13.831351972112952</v>
      </c>
      <c r="AB34" s="23">
        <f>EXP(-LN(2)/2)*AB33+(1-EXP(-LN(2)/2))/(LN(2)/2)*V34*Y34*VLOOKUP('Données projet'!$B$9,Paramètres!$A$1:$I$89,3,0)*0.475*44/12</f>
        <v>9.3862539672140013</v>
      </c>
      <c r="AC34" s="24">
        <f t="shared" si="3"/>
        <v>33.810114842372201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59.682045676663755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12.2</v>
      </c>
      <c r="AI34" s="14">
        <f>IF('Données projet'!$A$62&gt;35,AI33+AH34-AQ33,IF(A34&lt;'Données projet'!$A$62,$AF$205^A34,IF(A34='Données projet'!$A$62,'Données projet'!$B$62,AI33+AH34-AQ33)))</f>
        <v>152.20000000000002</v>
      </c>
      <c r="AJ34" s="14">
        <f>AI34*VLOOKUP('Données projet'!$B$10,Paramètres!$A$1:$I$89,3,0)*VLOOKUP('Données projet'!$B$10,Paramètres!$A$1:$I$89,5,0)</f>
        <v>132.96192000000002</v>
      </c>
      <c r="AK34" s="14">
        <f t="shared" si="35"/>
        <v>34.679872132599144</v>
      </c>
      <c r="AL34" s="22">
        <f t="shared" si="4"/>
        <v>291.97612129761018</v>
      </c>
      <c r="AM34" s="62">
        <f t="shared" si="5"/>
        <v>547.47695544537737</v>
      </c>
      <c r="AN34" s="62">
        <f ca="1">AVERAGE(OFFSET($AM$3,0,0,'Données projet'!$E$10+1,1))-AVERAGE(OFFSET($H$3,0,0,'Données projet'!$E$10+1,1))</f>
        <v>335.71510570470264</v>
      </c>
      <c r="AO34" s="62">
        <f t="shared" si="36"/>
        <v>401.61823018046482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24.882024266332305</v>
      </c>
      <c r="AW34" s="23">
        <f>EXP(-LN(2)/2)*AW33+(1-EXP(-LN(2)/2))/(LN(2)/2)*AQ34*AT34*VLOOKUP('Données projet'!$B$10,Paramètres!$A$1:$I$89,3,0)*0.475*44/12</f>
        <v>12.916371733843617</v>
      </c>
      <c r="AX34" s="23">
        <f t="shared" si="6"/>
        <v>37.79839600017592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59.682045676663755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10.8</v>
      </c>
      <c r="BD34" s="13">
        <f>IF('Données projet'!$A$88&gt;35,BD33+BC34-BL33,IF(A34&lt;'Données projet'!$A$88,$BA$205^A34,IF(A34='Données projet'!$A$88,'Données projet'!$B$88,BD33+BC34-BL33)))</f>
        <v>103.80000000000004</v>
      </c>
      <c r="BE34" s="14">
        <f>BD34*VLOOKUP('Données projet'!$B$11,Paramètres!$A$1:$I$89,3,0)*VLOOKUP('Données projet'!$B$11,Paramètres!$A$1:$I$89,5,0)</f>
        <v>93.91824000000004</v>
      </c>
      <c r="BF34" s="14">
        <f t="shared" si="37"/>
        <v>25.507853654186022</v>
      </c>
      <c r="BG34" s="22">
        <f t="shared" si="7"/>
        <v>208.00044644770739</v>
      </c>
      <c r="BH34" s="62">
        <f t="shared" si="8"/>
        <v>463.50128059547455</v>
      </c>
      <c r="BI34" s="62">
        <f ca="1">AVERAGE(OFFSET($BH$3,0,0,'Données projet'!$E$11+1,1))-AVERAGE(OFFSET($H$3,0,0,'Données projet'!$E$11+1,1))</f>
        <v>462.677457131175</v>
      </c>
      <c r="BJ34" s="62">
        <f t="shared" si="38"/>
        <v>291.78368401945909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8.8807682699548316</v>
      </c>
      <c r="BR34" s="23">
        <f>EXP(-LN(2)/2)*BR33+(1-EXP(-LN(2)/2))/(LN(2)/2)*BL34*BO34*VLOOKUP('Données projet'!$B$11,Paramètres!$A$1:$I$89,3,0)*0.475*44/12</f>
        <v>10.54280275712995</v>
      </c>
      <c r="BS34" s="24">
        <f t="shared" si="9"/>
        <v>19.423571027084783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59.682045676663755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13.6</v>
      </c>
      <c r="BY34" s="13">
        <f>IF('Données projet'!$A$114&gt;35,BY33+BX34-CG33,IF(A34&lt;'Données projet'!$A$114,$BV$205^A34,IF(A34='Données projet'!$A$114,'Données projet'!$B$114,BY33+BX34-CG33)))</f>
        <v>292.60000000000008</v>
      </c>
      <c r="BZ34" s="14">
        <f>BY34*VLOOKUP('Données projet'!$B$12,Paramètres!$A$1:$I$89,3,0)*VLOOKUP('Données projet'!$B$12,Paramètres!$A$1:$I$89,5,0)</f>
        <v>159.75960000000003</v>
      </c>
      <c r="CA34" s="14">
        <f t="shared" si="39"/>
        <v>40.788287771458215</v>
      </c>
      <c r="CB34" s="22">
        <f t="shared" si="10"/>
        <v>349.28757120195638</v>
      </c>
      <c r="CC34" s="62">
        <f t="shared" si="11"/>
        <v>604.78840534972346</v>
      </c>
      <c r="CD34" s="62">
        <f ca="1">AVERAGE(OFFSET($CC$3,0,0,'Données projet'!$E$12+1,1))-AVERAGE(OFFSET($H$3,0,0,'Données projet'!$E$12+1,1))</f>
        <v>302.37244372118971</v>
      </c>
      <c r="CE34" s="62">
        <f t="shared" si="40"/>
        <v>439.56450354660171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7.3895686491667103</v>
      </c>
      <c r="CL34" s="23">
        <f>EXP(-LN(2)/25)*CL33+(1-EXP(-LN(2)/25))/(LN(2)/25)*Calculateur!CG34*Calculateur!CI34*VLOOKUP('Données projet'!$B$12,Paramètres!$A$1:$I$89,3,0)*0.475*44/12</f>
        <v>16.440788214488961</v>
      </c>
      <c r="CM34" s="23">
        <f>EXP(-LN(2)/2)*CM33+(1-EXP(-LN(2)/2))/(LN(2)/2)*CG34*CJ34*VLOOKUP('Données projet'!$B$12,Paramètres!$A$1:$I$89,3,0)*0.475*44/12</f>
        <v>11.349830083859615</v>
      </c>
      <c r="CN34" s="24">
        <f t="shared" si="12"/>
        <v>35.180186947515288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59.682045676663755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10.6</v>
      </c>
      <c r="CT34" s="13">
        <f>IF('Données projet'!$A$140&gt;35,CT33+CS34-DB33,IF(A34&lt;'Données projet'!$A$140,$CQ$205^A34,IF(A34='Données projet'!$A$140,'Données projet'!$B$140,CT33+CS34-DB33)))</f>
        <v>136.6</v>
      </c>
      <c r="CU34" s="18">
        <f>CT34*VLOOKUP('Données projet'!$B$13,Paramètres!$A$1:$I$89,3,0)*VLOOKUP('Données projet'!$B$13,Paramètres!$A$1:$I$89,5,0)</f>
        <v>100.15512</v>
      </c>
      <c r="CV34" s="14">
        <f t="shared" si="41"/>
        <v>26.998949414913174</v>
      </c>
      <c r="CW34" s="22">
        <f t="shared" si="13"/>
        <v>221.46000423097374</v>
      </c>
      <c r="CX34" s="62">
        <f t="shared" si="14"/>
        <v>476.96083837874085</v>
      </c>
      <c r="CY34" s="62">
        <f ca="1">AVERAGE(OFFSET($CX$3,0,0,'Données projet'!$E$13+1,1))-AVERAGE(OFFSET($H$3,0,0,'Données projet'!$E$13+1,1))</f>
        <v>300.12722359176314</v>
      </c>
      <c r="CZ34" s="62">
        <f t="shared" si="42"/>
        <v>313.35115626175946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11.684890445161153</v>
      </c>
      <c r="DH34" s="23">
        <f>EXP(-LN(2)/2)*DH33+(1-EXP(-LN(2)/2))/(LN(2)/2)*DB34*DE34*VLOOKUP('Données projet'!$B$13,Paramètres!$A$1:$I$89,3,0)*0.475*44/12</f>
        <v>10.649458834551501</v>
      </c>
      <c r="DI34" s="24">
        <f t="shared" si="15"/>
        <v>22.334349279712654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59.682045676663755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59.682045676663755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59.682045676663755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59.682045676663755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59.682045676663755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3.55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13.016666666666666</v>
      </c>
      <c r="H35" s="70">
        <f t="shared" si="1"/>
        <v>204.6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59.861039116683529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29.6</v>
      </c>
      <c r="N35" s="14">
        <f>IF('Données projet'!$A$36&gt;35,N34+M35-V34,IF(A35&lt;'Données projet'!$A$36,$K$205^A35,IF(A35='Données projet'!$A$36,'Données projet'!$B$36,N34+M35-V34)))</f>
        <v>426.20000000000005</v>
      </c>
      <c r="O35" s="14">
        <f>N35*VLOOKUP('Données projet'!$B$9,Paramètres!$A$1:$I$89,3,0)*VLOOKUP('Données projet'!$B$9,Paramètres!$A$1:$I$89,5,0)</f>
        <v>238.24580000000003</v>
      </c>
      <c r="P35" s="14">
        <f t="shared" si="33"/>
        <v>58.061944814414012</v>
      </c>
      <c r="Q35" s="22">
        <f t="shared" ref="Q35:Q66" si="53">(O35+P35)*0.475*44/12</f>
        <v>516.06932221843772</v>
      </c>
      <c r="R35" s="62">
        <f t="shared" si="0"/>
        <v>772.22646564627735</v>
      </c>
      <c r="S35" s="62">
        <f ca="1">AVERAGE(OFFSET($R$3,0,0,'Données projet'!$E$9+1,1))-AVERAGE(OFFSET($H$3,0,0,'Données projet'!$E$9+1,1))</f>
        <v>455.44531340185631</v>
      </c>
      <c r="T35" s="62">
        <f t="shared" si="34"/>
        <v>560.14861617544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10.384796264249012</v>
      </c>
      <c r="AA35" s="23">
        <f>EXP(-LN(2)/25)*AA34+(1-EXP(-LN(2)/25))/(LN(2)/25)*Calculateur!V35*Calculateur!X35*VLOOKUP('Données projet'!$B$9,Paramètres!$A$1:$I$89,3,0)*0.475*44/12</f>
        <v>13.453132925076336</v>
      </c>
      <c r="AB35" s="23">
        <f>EXP(-LN(2)/2)*AB34+(1-EXP(-LN(2)/2))/(LN(2)/2)*V35*Y35*VLOOKUP('Données projet'!$B$9,Paramètres!$A$1:$I$89,3,0)*0.475*44/12</f>
        <v>6.637083830156155</v>
      </c>
      <c r="AC35" s="24">
        <f t="shared" si="3"/>
        <v>30.475013019481501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59.861039116683529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12.2</v>
      </c>
      <c r="AI35" s="14">
        <f>IF('Données projet'!$A$62&gt;35,AI34+AH35-AQ34,IF(A35&lt;'Données projet'!$A$62,$AF$205^A35,IF(A35='Données projet'!$A$62,'Données projet'!$B$62,AI34+AH35-AQ34)))</f>
        <v>164.4</v>
      </c>
      <c r="AJ35" s="14">
        <f>AI35*VLOOKUP('Données projet'!$B$10,Paramètres!$A$1:$I$89,3,0)*VLOOKUP('Données projet'!$B$10,Paramètres!$A$1:$I$89,5,0)</f>
        <v>143.61984000000001</v>
      </c>
      <c r="AK35" s="14">
        <f t="shared" si="35"/>
        <v>37.125023974706046</v>
      </c>
      <c r="AL35" s="22">
        <f t="shared" si="4"/>
        <v>314.79730475594641</v>
      </c>
      <c r="AM35" s="62">
        <f t="shared" si="5"/>
        <v>570.95444818378598</v>
      </c>
      <c r="AN35" s="62">
        <f ca="1">AVERAGE(OFFSET($AM$3,0,0,'Données projet'!$E$10+1,1))-AVERAGE(OFFSET($H$3,0,0,'Données projet'!$E$10+1,1))</f>
        <v>335.71510570470264</v>
      </c>
      <c r="AO35" s="62">
        <f t="shared" si="36"/>
        <v>401.61823018046482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24.20162400428066</v>
      </c>
      <c r="AW35" s="23">
        <f>EXP(-LN(2)/2)*AW34+(1-EXP(-LN(2)/2))/(LN(2)/2)*AQ35*AT35*VLOOKUP('Données projet'!$B$10,Paramètres!$A$1:$I$89,3,0)*0.475*44/12</f>
        <v>9.1332540413270671</v>
      </c>
      <c r="AX35" s="23">
        <f t="shared" si="6"/>
        <v>33.334878045607724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59.861039116683529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10.8</v>
      </c>
      <c r="BD35" s="13">
        <f>IF('Données projet'!$A$88&gt;35,BD34+BC35-BL34,IF(A35&lt;'Données projet'!$A$88,$BA$205^A35,IF(A35='Données projet'!$A$88,'Données projet'!$B$88,BD34+BC35-BL34)))</f>
        <v>114.60000000000004</v>
      </c>
      <c r="BE35" s="14">
        <f>BD35*VLOOKUP('Données projet'!$B$11,Paramètres!$A$1:$I$89,3,0)*VLOOKUP('Données projet'!$B$11,Paramètres!$A$1:$I$89,5,0)</f>
        <v>103.69008000000004</v>
      </c>
      <c r="BF35" s="14">
        <f t="shared" si="37"/>
        <v>27.83924565319537</v>
      </c>
      <c r="BG35" s="22">
        <f t="shared" si="7"/>
        <v>229.08024217931529</v>
      </c>
      <c r="BH35" s="62">
        <f t="shared" si="8"/>
        <v>485.23738560715486</v>
      </c>
      <c r="BI35" s="62">
        <f ca="1">AVERAGE(OFFSET($BH$3,0,0,'Données projet'!$E$11+1,1))-AVERAGE(OFFSET($H$3,0,0,'Données projet'!$E$11+1,1))</f>
        <v>462.677457131175</v>
      </c>
      <c r="BJ35" s="62">
        <f t="shared" si="38"/>
        <v>291.78368401945909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8.6379231945936112</v>
      </c>
      <c r="BR35" s="23">
        <f>EXP(-LN(2)/2)*BR34+(1-EXP(-LN(2)/2))/(LN(2)/2)*BL35*BO35*VLOOKUP('Données projet'!$B$11,Paramètres!$A$1:$I$89,3,0)*0.475*44/12</f>
        <v>7.4548873222788181</v>
      </c>
      <c r="BS35" s="24">
        <f t="shared" si="9"/>
        <v>16.092810516872429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59.861039116683529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13.6</v>
      </c>
      <c r="BY35" s="13">
        <f>IF('Données projet'!$A$114&gt;35,BY34+BX35-CG34,IF(A35&lt;'Données projet'!$A$114,$BV$205^A35,IF(A35='Données projet'!$A$114,'Données projet'!$B$114,BY34+BX35-CG34)))</f>
        <v>306.2000000000001</v>
      </c>
      <c r="BZ35" s="14">
        <f>BY35*VLOOKUP('Données projet'!$B$12,Paramètres!$A$1:$I$89,3,0)*VLOOKUP('Données projet'!$B$12,Paramètres!$A$1:$I$89,5,0)</f>
        <v>167.18520000000007</v>
      </c>
      <c r="CA35" s="14">
        <f t="shared" si="39"/>
        <v>42.458990736132044</v>
      </c>
      <c r="CB35" s="22">
        <f t="shared" si="10"/>
        <v>365.13029886543012</v>
      </c>
      <c r="CC35" s="62">
        <f t="shared" si="11"/>
        <v>621.28744229326969</v>
      </c>
      <c r="CD35" s="62">
        <f ca="1">AVERAGE(OFFSET($CC$3,0,0,'Données projet'!$E$12+1,1))-AVERAGE(OFFSET($H$3,0,0,'Données projet'!$E$12+1,1))</f>
        <v>302.37244372118971</v>
      </c>
      <c r="CE35" s="62">
        <f t="shared" si="40"/>
        <v>439.56450354660171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7.2446637151483788</v>
      </c>
      <c r="CL35" s="23">
        <f>EXP(-LN(2)/25)*CL34+(1-EXP(-LN(2)/25))/(LN(2)/25)*Calculateur!CG35*Calculateur!CI35*VLOOKUP('Données projet'!$B$12,Paramètres!$A$1:$I$89,3,0)*0.475*44/12</f>
        <v>15.991213996180285</v>
      </c>
      <c r="CM35" s="23">
        <f>EXP(-LN(2)/2)*CM34+(1-EXP(-LN(2)/2))/(LN(2)/2)*CG35*CJ35*VLOOKUP('Données projet'!$B$12,Paramètres!$A$1:$I$89,3,0)*0.475*44/12</f>
        <v>8.0255418176122166</v>
      </c>
      <c r="CN35" s="24">
        <f t="shared" si="12"/>
        <v>31.261419528940877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59.861039116683529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10.6</v>
      </c>
      <c r="CT35" s="13">
        <f>IF('Données projet'!$A$140&gt;35,CT34+CS35-DB34,IF(A35&lt;'Données projet'!$A$140,$CQ$205^A35,IF(A35='Données projet'!$A$140,'Données projet'!$B$140,CT34+CS35-DB34)))</f>
        <v>147.19999999999999</v>
      </c>
      <c r="CU35" s="18">
        <f>CT35*VLOOKUP('Données projet'!$B$13,Paramètres!$A$1:$I$89,3,0)*VLOOKUP('Données projet'!$B$13,Paramètres!$A$1:$I$89,5,0)</f>
        <v>107.92704000000001</v>
      </c>
      <c r="CV35" s="14">
        <f t="shared" si="41"/>
        <v>28.842039558004849</v>
      </c>
      <c r="CW35" s="22">
        <f t="shared" si="13"/>
        <v>238.2061468968584</v>
      </c>
      <c r="CX35" s="62">
        <f t="shared" si="14"/>
        <v>494.36329032469797</v>
      </c>
      <c r="CY35" s="62">
        <f ca="1">AVERAGE(OFFSET($CX$3,0,0,'Données projet'!$E$13+1,1))-AVERAGE(OFFSET($H$3,0,0,'Données projet'!$E$13+1,1))</f>
        <v>300.12722359176314</v>
      </c>
      <c r="CZ35" s="62">
        <f t="shared" si="42"/>
        <v>313.35115626175946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11.36536650145654</v>
      </c>
      <c r="DH35" s="23">
        <f>EXP(-LN(2)/2)*DH34+(1-EXP(-LN(2)/2))/(LN(2)/2)*DB35*DE35*VLOOKUP('Données projet'!$B$13,Paramètres!$A$1:$I$89,3,0)*0.475*44/12</f>
        <v>7.5303045578783543</v>
      </c>
      <c r="DI35" s="24">
        <f t="shared" si="15"/>
        <v>18.895671059334894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59.861039116683529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59.861039116683529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59.861039116683529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59.861039116683529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59.861039116683529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3.55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13.016666666666666</v>
      </c>
      <c r="H36" s="70">
        <f t="shared" si="1"/>
        <v>204.6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60.036927420688343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29.6</v>
      </c>
      <c r="N36" s="14">
        <f>IF('Données projet'!$A$36&gt;35,N35+M36-V35,IF(A36&lt;'Données projet'!$A$36,$K$205^A36,IF(A36='Données projet'!$A$36,'Données projet'!$B$36,N35+M36-V35)))</f>
        <v>455.80000000000007</v>
      </c>
      <c r="O36" s="14">
        <f>N36*VLOOKUP('Données projet'!$B$9,Paramètres!$A$1:$I$89,3,0)*VLOOKUP('Données projet'!$B$9,Paramètres!$A$1:$I$89,5,0)</f>
        <v>254.79220000000004</v>
      </c>
      <c r="P36" s="14">
        <f t="shared" si="33"/>
        <v>61.610981612808445</v>
      </c>
      <c r="Q36" s="22">
        <f t="shared" si="53"/>
        <v>551.06887464230806</v>
      </c>
      <c r="R36" s="62">
        <f t="shared" si="0"/>
        <v>807.87094185149863</v>
      </c>
      <c r="S36" s="62">
        <f ca="1">AVERAGE(OFFSET($R$3,0,0,'Données projet'!$E$9+1,1))-AVERAGE(OFFSET($H$3,0,0,'Données projet'!$E$9+1,1))</f>
        <v>455.44531340185631</v>
      </c>
      <c r="T36" s="62">
        <f t="shared" si="34"/>
        <v>560.14861617544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10.181156743607369</v>
      </c>
      <c r="AA36" s="23">
        <f>EXP(-LN(2)/25)*AA35+(1-EXP(-LN(2)/25))/(LN(2)/25)*Calculateur!V36*Calculateur!X36*VLOOKUP('Données projet'!$B$9,Paramètres!$A$1:$I$89,3,0)*0.475*44/12</f>
        <v>13.085256297770611</v>
      </c>
      <c r="AB36" s="23">
        <f>EXP(-LN(2)/2)*AB35+(1-EXP(-LN(2)/2))/(LN(2)/2)*V36*Y36*VLOOKUP('Données projet'!$B$9,Paramètres!$A$1:$I$89,3,0)*0.475*44/12</f>
        <v>4.6931269836070015</v>
      </c>
      <c r="AC36" s="24">
        <f t="shared" si="3"/>
        <v>27.959540024984982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60.036927420688343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12.2</v>
      </c>
      <c r="AI36" s="14">
        <f>IF('Données projet'!$A$62&gt;35,AI35+AH36-AQ35,IF(A36&lt;'Données projet'!$A$62,$AF$205^A36,IF(A36='Données projet'!$A$62,'Données projet'!$B$62,AI35+AH36-AQ35)))</f>
        <v>176.6</v>
      </c>
      <c r="AJ36" s="14">
        <f>AI36*VLOOKUP('Données projet'!$B$10,Paramètres!$A$1:$I$89,3,0)*VLOOKUP('Données projet'!$B$10,Paramètres!$A$1:$I$89,5,0)</f>
        <v>154.27776</v>
      </c>
      <c r="AK36" s="14">
        <f t="shared" si="35"/>
        <v>39.549125277353333</v>
      </c>
      <c r="AL36" s="22">
        <f t="shared" si="4"/>
        <v>337.58182519139035</v>
      </c>
      <c r="AM36" s="62">
        <f t="shared" si="5"/>
        <v>594.38389240058098</v>
      </c>
      <c r="AN36" s="62">
        <f ca="1">AVERAGE(OFFSET($AM$3,0,0,'Données projet'!$E$10+1,1))-AVERAGE(OFFSET($H$3,0,0,'Données projet'!$E$10+1,1))</f>
        <v>335.71510570470264</v>
      </c>
      <c r="AO36" s="62">
        <f t="shared" si="36"/>
        <v>401.61823018046482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23.539829323175514</v>
      </c>
      <c r="AW36" s="23">
        <f>EXP(-LN(2)/2)*AW35+(1-EXP(-LN(2)/2))/(LN(2)/2)*AQ36*AT36*VLOOKUP('Données projet'!$B$10,Paramètres!$A$1:$I$89,3,0)*0.475*44/12</f>
        <v>6.4581858669218102</v>
      </c>
      <c r="AX36" s="23">
        <f t="shared" si="6"/>
        <v>29.998015190097323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60.036927420688343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10.8</v>
      </c>
      <c r="BD36" s="13">
        <f>IF('Données projet'!$A$88&gt;35,BD35+BC36-BL35,IF(A36&lt;'Données projet'!$A$88,$BA$205^A36,IF(A36='Données projet'!$A$88,'Données projet'!$B$88,BD35+BC36-BL35)))</f>
        <v>125.40000000000003</v>
      </c>
      <c r="BE36" s="14">
        <f>BD36*VLOOKUP('Données projet'!$B$11,Paramètres!$A$1:$I$89,3,0)*VLOOKUP('Données projet'!$B$11,Paramètres!$A$1:$I$89,5,0)</f>
        <v>113.46192000000002</v>
      </c>
      <c r="BF36" s="14">
        <f t="shared" si="37"/>
        <v>30.145163126535493</v>
      </c>
      <c r="BG36" s="22">
        <f t="shared" si="7"/>
        <v>250.11566977871598</v>
      </c>
      <c r="BH36" s="62">
        <f t="shared" si="8"/>
        <v>506.91773698790661</v>
      </c>
      <c r="BI36" s="62">
        <f ca="1">AVERAGE(OFFSET($BH$3,0,0,'Données projet'!$E$11+1,1))-AVERAGE(OFFSET($H$3,0,0,'Données projet'!$E$11+1,1))</f>
        <v>462.677457131175</v>
      </c>
      <c r="BJ36" s="62">
        <f t="shared" si="38"/>
        <v>291.78368401945909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8.4017187305888097</v>
      </c>
      <c r="BR36" s="23">
        <f>EXP(-LN(2)/2)*BR35+(1-EXP(-LN(2)/2))/(LN(2)/2)*BL36*BO36*VLOOKUP('Données projet'!$B$11,Paramètres!$A$1:$I$89,3,0)*0.475*44/12</f>
        <v>5.2714013785649758</v>
      </c>
      <c r="BS36" s="24">
        <f t="shared" si="9"/>
        <v>13.673120109153786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60.036927420688343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13.6</v>
      </c>
      <c r="BY36" s="13">
        <f>IF('Données projet'!$A$114&gt;35,BY35+BX36-CG35,IF(A36&lt;'Données projet'!$A$114,$BV$205^A36,IF(A36='Données projet'!$A$114,'Données projet'!$B$114,BY35+BX36-CG35)))</f>
        <v>319.80000000000013</v>
      </c>
      <c r="BZ36" s="14">
        <f>BY36*VLOOKUP('Données projet'!$B$12,Paramètres!$A$1:$I$89,3,0)*VLOOKUP('Données projet'!$B$12,Paramètres!$A$1:$I$89,5,0)</f>
        <v>174.6108000000001</v>
      </c>
      <c r="CA36" s="14">
        <f t="shared" si="39"/>
        <v>44.121075539920255</v>
      </c>
      <c r="CB36" s="22">
        <f t="shared" si="10"/>
        <v>380.95801656536122</v>
      </c>
      <c r="CC36" s="62">
        <f t="shared" si="11"/>
        <v>637.76008377455184</v>
      </c>
      <c r="CD36" s="62">
        <f ca="1">AVERAGE(OFFSET($CC$3,0,0,'Données projet'!$E$12+1,1))-AVERAGE(OFFSET($H$3,0,0,'Données projet'!$E$12+1,1))</f>
        <v>302.37244372118971</v>
      </c>
      <c r="CE36" s="62">
        <f t="shared" si="40"/>
        <v>439.56450354660171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7.1026002785028641</v>
      </c>
      <c r="CL36" s="23">
        <f>EXP(-LN(2)/25)*CL35+(1-EXP(-LN(2)/25))/(LN(2)/25)*Calculateur!CG36*Calculateur!CI36*VLOOKUP('Données projet'!$B$12,Paramètres!$A$1:$I$89,3,0)*0.475*44/12</f>
        <v>15.553933408513339</v>
      </c>
      <c r="CM36" s="23">
        <f>EXP(-LN(2)/2)*CM35+(1-EXP(-LN(2)/2))/(LN(2)/2)*CG36*CJ36*VLOOKUP('Données projet'!$B$12,Paramètres!$A$1:$I$89,3,0)*0.475*44/12</f>
        <v>5.6749150419298093</v>
      </c>
      <c r="CN36" s="24">
        <f t="shared" si="12"/>
        <v>28.331448728946015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60.036927420688343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10.6</v>
      </c>
      <c r="CT36" s="13">
        <f>IF('Données projet'!$A$140&gt;35,CT35+CS36-DB35,IF(A36&lt;'Données projet'!$A$140,$CQ$205^A36,IF(A36='Données projet'!$A$140,'Données projet'!$B$140,CT35+CS36-DB35)))</f>
        <v>157.79999999999998</v>
      </c>
      <c r="CU36" s="18">
        <f>CT36*VLOOKUP('Données projet'!$B$13,Paramètres!$A$1:$I$89,3,0)*VLOOKUP('Données projet'!$B$13,Paramètres!$A$1:$I$89,5,0)</f>
        <v>115.69895999999997</v>
      </c>
      <c r="CV36" s="14">
        <f t="shared" si="41"/>
        <v>30.669731324156793</v>
      </c>
      <c r="CW36" s="22">
        <f t="shared" si="13"/>
        <v>254.92547072290634</v>
      </c>
      <c r="CX36" s="62">
        <f t="shared" si="14"/>
        <v>511.72753793209699</v>
      </c>
      <c r="CY36" s="62">
        <f ca="1">AVERAGE(OFFSET($CX$3,0,0,'Données projet'!$E$13+1,1))-AVERAGE(OFFSET($H$3,0,0,'Données projet'!$E$13+1,1))</f>
        <v>300.12722359176314</v>
      </c>
      <c r="CZ36" s="62">
        <f t="shared" si="42"/>
        <v>313.35115626175946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11.054579956795562</v>
      </c>
      <c r="DH36" s="23">
        <f>EXP(-LN(2)/2)*DH35+(1-EXP(-LN(2)/2))/(LN(2)/2)*DB36*DE36*VLOOKUP('Données projet'!$B$13,Paramètres!$A$1:$I$89,3,0)*0.475*44/12</f>
        <v>5.3247294172757513</v>
      </c>
      <c r="DI36" s="24">
        <f t="shared" si="15"/>
        <v>16.379309374071312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60.036927420688343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60.036927420688343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60.036927420688343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60.036927420688343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60.036927420688343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3.55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13.016666666666666</v>
      </c>
      <c r="H37" s="70">
        <f t="shared" si="1"/>
        <v>204.6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60.20976445584602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29.6</v>
      </c>
      <c r="N37" s="14">
        <f>IF('Données projet'!$A$36&gt;35,N36+M37-V36,IF(A37&lt;'Données projet'!$A$36,$K$205^A37,IF(A37='Données projet'!$A$36,'Données projet'!$B$36,N36+M37-V36)))</f>
        <v>485.40000000000009</v>
      </c>
      <c r="O37" s="14">
        <f>N37*VLOOKUP('Données projet'!$B$9,Paramètres!$A$1:$I$89,3,0)*VLOOKUP('Données projet'!$B$9,Paramètres!$A$1:$I$89,5,0)</f>
        <v>271.33860000000004</v>
      </c>
      <c r="P37" s="14">
        <f t="shared" si="33"/>
        <v>65.133272172114076</v>
      </c>
      <c r="Q37" s="22">
        <f t="shared" si="53"/>
        <v>586.02184403309866</v>
      </c>
      <c r="R37" s="62">
        <f t="shared" si="0"/>
        <v>843.45764703786745</v>
      </c>
      <c r="S37" s="62">
        <f ca="1">AVERAGE(OFFSET($R$3,0,0,'Données projet'!$E$9+1,1))-AVERAGE(OFFSET($H$3,0,0,'Données projet'!$E$9+1,1))</f>
        <v>455.44531340185631</v>
      </c>
      <c r="T37" s="62">
        <f t="shared" si="34"/>
        <v>560.14861617544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9.9815104697576658</v>
      </c>
      <c r="AA37" s="23">
        <f>EXP(-LN(2)/25)*AA36+(1-EXP(-LN(2)/25))/(LN(2)/25)*Calculateur!V37*Calculateur!X37*VLOOKUP('Données projet'!$B$9,Paramètres!$A$1:$I$89,3,0)*0.475*44/12</f>
        <v>12.727439276184352</v>
      </c>
      <c r="AB37" s="23">
        <f>EXP(-LN(2)/2)*AB36+(1-EXP(-LN(2)/2))/(LN(2)/2)*V37*Y37*VLOOKUP('Données projet'!$B$9,Paramètres!$A$1:$I$89,3,0)*0.475*44/12</f>
        <v>3.3185419150780779</v>
      </c>
      <c r="AC37" s="24">
        <f t="shared" si="3"/>
        <v>26.027491661020097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60.20976445584602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12.2</v>
      </c>
      <c r="AI37" s="14">
        <f>IF('Données projet'!$A$62&gt;35,AI36+AH37-AQ36,IF(A37&lt;'Données projet'!$A$62,$AF$205^A37,IF(A37='Données projet'!$A$62,'Données projet'!$B$62,AI36+AH37-AQ36)))</f>
        <v>188.79999999999998</v>
      </c>
      <c r="AJ37" s="14">
        <f>AI37*VLOOKUP('Données projet'!$B$10,Paramètres!$A$1:$I$89,3,0)*VLOOKUP('Données projet'!$B$10,Paramètres!$A$1:$I$89,5,0)</f>
        <v>164.93567999999999</v>
      </c>
      <c r="AK37" s="14">
        <f t="shared" si="35"/>
        <v>41.953795695589498</v>
      </c>
      <c r="AL37" s="22">
        <f t="shared" si="4"/>
        <v>360.33250350315166</v>
      </c>
      <c r="AM37" s="62">
        <f t="shared" si="5"/>
        <v>617.76830650792044</v>
      </c>
      <c r="AN37" s="62">
        <f ca="1">AVERAGE(OFFSET($AM$3,0,0,'Données projet'!$E$10+1,1))-AVERAGE(OFFSET($H$3,0,0,'Données projet'!$E$10+1,1))</f>
        <v>335.71510570470264</v>
      </c>
      <c r="AO37" s="62">
        <f t="shared" si="36"/>
        <v>401.61823018046482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22.896131452427458</v>
      </c>
      <c r="AW37" s="23">
        <f>EXP(-LN(2)/2)*AW36+(1-EXP(-LN(2)/2))/(LN(2)/2)*AQ37*AT37*VLOOKUP('Données projet'!$B$10,Paramètres!$A$1:$I$89,3,0)*0.475*44/12</f>
        <v>4.5666270206635344</v>
      </c>
      <c r="AX37" s="23">
        <f t="shared" si="6"/>
        <v>27.462758473090993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60.20976445584602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10.8</v>
      </c>
      <c r="BD37" s="13">
        <f>IF('Données projet'!$A$88&gt;35,BD36+BC37-BL36,IF(A37&lt;'Données projet'!$A$88,$BA$205^A37,IF(A37='Données projet'!$A$88,'Données projet'!$B$88,BD36+BC37-BL36)))</f>
        <v>136.20000000000005</v>
      </c>
      <c r="BE37" s="14">
        <f>BD37*VLOOKUP('Données projet'!$B$11,Paramètres!$A$1:$I$89,3,0)*VLOOKUP('Données projet'!$B$11,Paramètres!$A$1:$I$89,5,0)</f>
        <v>123.23376000000005</v>
      </c>
      <c r="BF37" s="14">
        <f t="shared" si="37"/>
        <v>32.428049504876491</v>
      </c>
      <c r="BG37" s="22">
        <f t="shared" si="7"/>
        <v>271.11098488765998</v>
      </c>
      <c r="BH37" s="62">
        <f t="shared" si="8"/>
        <v>528.54678789242871</v>
      </c>
      <c r="BI37" s="62">
        <f ca="1">AVERAGE(OFFSET($BH$3,0,0,'Données projet'!$E$11+1,1))-AVERAGE(OFFSET($H$3,0,0,'Données projet'!$E$11+1,1))</f>
        <v>462.677457131175</v>
      </c>
      <c r="BJ37" s="62">
        <f t="shared" si="38"/>
        <v>291.78368401945909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8.171973290073673</v>
      </c>
      <c r="BR37" s="23">
        <f>EXP(-LN(2)/2)*BR36+(1-EXP(-LN(2)/2))/(LN(2)/2)*BL37*BO37*VLOOKUP('Données projet'!$B$11,Paramètres!$A$1:$I$89,3,0)*0.475*44/12</f>
        <v>3.7274436611394095</v>
      </c>
      <c r="BS37" s="24">
        <f t="shared" si="9"/>
        <v>11.899416951213082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60.20976445584602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13.6</v>
      </c>
      <c r="BY37" s="13">
        <f>IF('Données projet'!$A$114&gt;35,BY36+BX37-CG36,IF(A37&lt;'Données projet'!$A$114,$BV$205^A37,IF(A37='Données projet'!$A$114,'Données projet'!$B$114,BY36+BX37-CG36)))</f>
        <v>333.40000000000015</v>
      </c>
      <c r="BZ37" s="14">
        <f>BY37*VLOOKUP('Données projet'!$B$12,Paramètres!$A$1:$I$89,3,0)*VLOOKUP('Données projet'!$B$12,Paramètres!$A$1:$I$89,5,0)</f>
        <v>182.03640000000007</v>
      </c>
      <c r="CA37" s="14">
        <f t="shared" si="39"/>
        <v>45.774950584579294</v>
      </c>
      <c r="CB37" s="22">
        <f t="shared" si="10"/>
        <v>396.77143560147573</v>
      </c>
      <c r="CC37" s="62">
        <f t="shared" si="11"/>
        <v>654.20723860624457</v>
      </c>
      <c r="CD37" s="62">
        <f ca="1">AVERAGE(OFFSET($CC$3,0,0,'Données projet'!$E$12+1,1))-AVERAGE(OFFSET($H$3,0,0,'Données projet'!$E$12+1,1))</f>
        <v>302.37244372118971</v>
      </c>
      <c r="CE37" s="62">
        <f t="shared" si="40"/>
        <v>439.56450354660171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6.9633226191998281</v>
      </c>
      <c r="CL37" s="23">
        <f>EXP(-LN(2)/25)*CL36+(1-EXP(-LN(2)/25))/(LN(2)/25)*Calculateur!CG37*Calculateur!CI37*VLOOKUP('Données projet'!$B$12,Paramètres!$A$1:$I$89,3,0)*0.475*44/12</f>
        <v>15.128610281511733</v>
      </c>
      <c r="CM37" s="23">
        <f>EXP(-LN(2)/2)*CM36+(1-EXP(-LN(2)/2))/(LN(2)/2)*CG37*CJ37*VLOOKUP('Données projet'!$B$12,Paramètres!$A$1:$I$89,3,0)*0.475*44/12</f>
        <v>4.0127709088061092</v>
      </c>
      <c r="CN37" s="24">
        <f t="shared" si="12"/>
        <v>26.104703809517673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60.20976445584602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10.6</v>
      </c>
      <c r="CT37" s="13">
        <f>IF('Données projet'!$A$140&gt;35,CT36+CS37-DB36,IF(A37&lt;'Données projet'!$A$140,$CQ$205^A37,IF(A37='Données projet'!$A$140,'Données projet'!$B$140,CT36+CS37-DB36)))</f>
        <v>168.39999999999998</v>
      </c>
      <c r="CU37" s="18">
        <f>CT37*VLOOKUP('Données projet'!$B$13,Paramètres!$A$1:$I$89,3,0)*VLOOKUP('Données projet'!$B$13,Paramètres!$A$1:$I$89,5,0)</f>
        <v>123.47087999999998</v>
      </c>
      <c r="CV37" s="14">
        <f t="shared" si="41"/>
        <v>32.483176766344855</v>
      </c>
      <c r="CW37" s="22">
        <f t="shared" si="13"/>
        <v>271.61998220138389</v>
      </c>
      <c r="CX37" s="62">
        <f t="shared" si="14"/>
        <v>529.05578520615268</v>
      </c>
      <c r="CY37" s="62">
        <f ca="1">AVERAGE(OFFSET($CX$3,0,0,'Données projet'!$E$13+1,1))-AVERAGE(OFFSET($H$3,0,0,'Données projet'!$E$13+1,1))</f>
        <v>300.12722359176314</v>
      </c>
      <c r="CZ37" s="62">
        <f t="shared" si="42"/>
        <v>313.35115626175946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10.752291886541894</v>
      </c>
      <c r="DH37" s="23">
        <f>EXP(-LN(2)/2)*DH36+(1-EXP(-LN(2)/2))/(LN(2)/2)*DB37*DE37*VLOOKUP('Données projet'!$B$13,Paramètres!$A$1:$I$89,3,0)*0.475*44/12</f>
        <v>3.7651522789391776</v>
      </c>
      <c r="DI37" s="24">
        <f t="shared" si="15"/>
        <v>14.517444165481072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60.20976445584602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60.20976445584602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60.20976445584602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60.20976445584602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60.20976445584602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3.55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13.016666666666666</v>
      </c>
      <c r="H38" s="70">
        <f t="shared" si="1"/>
        <v>204.6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60.37960315484942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515</v>
      </c>
      <c r="L38" s="13">
        <f>VLOOKUP(A38,'Données projet'!$A$35:$I$55,9,0)</f>
        <v>29.6</v>
      </c>
      <c r="M38" s="13">
        <f t="array" ref="M38">INDEX(L:L,MIN(IF(ISNUMBER(L38:L234),ROW(L38:L234),"")))</f>
        <v>29.6</v>
      </c>
      <c r="N38" s="14">
        <f>IF('Données projet'!$A$36&gt;35,N37+M38-V37,IF(A38&lt;'Données projet'!$A$36,$K$205^A38,IF(A38='Données projet'!$A$36,'Données projet'!$B$36,N37+M38-V37)))</f>
        <v>515.00000000000011</v>
      </c>
      <c r="O38" s="14">
        <f>N38*VLOOKUP('Données projet'!$B$9,Paramètres!$A$1:$I$89,3,0)*VLOOKUP('Données projet'!$B$9,Paramètres!$A$1:$I$89,5,0)</f>
        <v>287.88500000000005</v>
      </c>
      <c r="P38" s="14">
        <f t="shared" si="33"/>
        <v>68.630633216048935</v>
      </c>
      <c r="Q38" s="22">
        <f t="shared" si="53"/>
        <v>620.93139451795184</v>
      </c>
      <c r="R38" s="62">
        <f t="shared" si="0"/>
        <v>878.98993941906633</v>
      </c>
      <c r="S38" s="62">
        <f ca="1">AVERAGE(OFFSET($R$3,0,0,'Données projet'!$E$9+1,1))-AVERAGE(OFFSET($H$3,0,0,'Données projet'!$E$9+1,1))</f>
        <v>455.44531340185631</v>
      </c>
      <c r="T38" s="62">
        <f t="shared" si="34"/>
        <v>560.14861617544</v>
      </c>
      <c r="U38" s="16">
        <f>IF(ISNA(VLOOKUP(A38,'Données projet'!$A$35:$I$55,3,0)),0,VLOOKUP(A38,'Données projet'!$A$35:$I$55,3,0))</f>
        <v>4</v>
      </c>
      <c r="V38" s="16">
        <f>IF(ISNA(VLOOKUP(A38,'Données projet'!$A$35:$I$55,4,0)),0,VLOOKUP(A38,'Données projet'!$A$35:$I$55,4,0))</f>
        <v>69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9.7857791375659531</v>
      </c>
      <c r="AA38" s="23">
        <f>EXP(-LN(2)/25)*AA37+(1-EXP(-LN(2)/25))/(LN(2)/25)*Calculateur!V38*Calculateur!X38*VLOOKUP('Données projet'!$B$9,Paramètres!$A$1:$I$89,3,0)*0.475*44/12</f>
        <v>12.379406779870148</v>
      </c>
      <c r="AB38" s="23">
        <f>EXP(-LN(2)/2)*AB37+(1-EXP(-LN(2)/2))/(LN(2)/2)*V38*Y38*VLOOKUP('Données projet'!$B$9,Paramètres!$A$1:$I$89,3,0)*0.475*44/12</f>
        <v>2.3465634918035012</v>
      </c>
      <c r="AC38" s="24">
        <f t="shared" si="3"/>
        <v>24.511749409239602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60.37960315484942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201</v>
      </c>
      <c r="AG38" s="13">
        <f>VLOOKUP(A38,'Données projet'!$A$61:$I$81,9,0)</f>
        <v>12.2</v>
      </c>
      <c r="AH38" s="13">
        <f t="array" ref="AH38">INDEX(AG:AG,MIN(IF(ISNUMBER(AG38:AG234),ROW(AG38:AG234),"")))</f>
        <v>12.2</v>
      </c>
      <c r="AI38" s="14">
        <f>IF('Données projet'!$A$62&gt;35,AI37+AH38-AQ37,IF(A38&lt;'Données projet'!$A$62,$AF$205^A38,IF(A38='Données projet'!$A$62,'Données projet'!$B$62,AI37+AH38-AQ37)))</f>
        <v>200.99999999999997</v>
      </c>
      <c r="AJ38" s="14">
        <f>AI38*VLOOKUP('Données projet'!$B$10,Paramètres!$A$1:$I$89,3,0)*VLOOKUP('Données projet'!$B$10,Paramètres!$A$1:$I$89,5,0)</f>
        <v>175.59359999999998</v>
      </c>
      <c r="AK38" s="14">
        <f t="shared" si="35"/>
        <v>44.340433728638573</v>
      </c>
      <c r="AL38" s="22">
        <f t="shared" si="4"/>
        <v>383.05177541071208</v>
      </c>
      <c r="AM38" s="62">
        <f t="shared" si="5"/>
        <v>641.11032031182663</v>
      </c>
      <c r="AN38" s="62">
        <f ca="1">AVERAGE(OFFSET($AM$3,0,0,'Données projet'!$E$10+1,1))-AVERAGE(OFFSET($H$3,0,0,'Données projet'!$E$10+1,1))</f>
        <v>335.71510570470264</v>
      </c>
      <c r="AO38" s="62">
        <f t="shared" si="36"/>
        <v>401.61823018046482</v>
      </c>
      <c r="AP38" s="16">
        <f>IF(ISNA(VLOOKUP(A38,'Données projet'!$A$61:$I$81,3,0)),0,VLOOKUP(A38,'Données projet'!$A$61:$I$81,3,0))</f>
        <v>5</v>
      </c>
      <c r="AQ38" s="16">
        <f>IF(ISNA(VLOOKUP(A38,'Données projet'!$A$61:$I$81,4,0)),0,VLOOKUP(A38,'Données projet'!$A$61:$I$81,4,0))</f>
        <v>42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22.270035533805604</v>
      </c>
      <c r="AW38" s="23">
        <f>EXP(-LN(2)/2)*AW37+(1-EXP(-LN(2)/2))/(LN(2)/2)*AQ38*AT38*VLOOKUP('Données projet'!$B$10,Paramètres!$A$1:$I$89,3,0)*0.475*44/12</f>
        <v>3.2290929334609055</v>
      </c>
      <c r="AX38" s="23">
        <f t="shared" si="6"/>
        <v>25.499128467266509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60.37960315484942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147</v>
      </c>
      <c r="BB38" s="13">
        <f>VLOOKUP(A38,'Données projet'!$A$87:$I$107,9,0)</f>
        <v>10.8</v>
      </c>
      <c r="BC38" s="13">
        <f t="array" ref="BC38">INDEX(BB:BB,MIN(IF(ISNUMBER(BB38:BB234),ROW(BB38:BB234),"")))</f>
        <v>10.8</v>
      </c>
      <c r="BD38" s="13">
        <f>IF('Données projet'!$A$88&gt;35,BD37+BC38-BL37,IF(A38&lt;'Données projet'!$A$88,$BA$205^A38,IF(A38='Données projet'!$A$88,'Données projet'!$B$88,BD37+BC38-BL37)))</f>
        <v>147.00000000000006</v>
      </c>
      <c r="BE38" s="14">
        <f>BD38*VLOOKUP('Données projet'!$B$11,Paramètres!$A$1:$I$89,3,0)*VLOOKUP('Données projet'!$B$11,Paramètres!$A$1:$I$89,5,0)</f>
        <v>133.00560000000004</v>
      </c>
      <c r="BF38" s="14">
        <f t="shared" si="37"/>
        <v>34.689938673073549</v>
      </c>
      <c r="BG38" s="22">
        <f t="shared" si="7"/>
        <v>292.06972985560316</v>
      </c>
      <c r="BH38" s="62">
        <f t="shared" si="8"/>
        <v>550.1282747567177</v>
      </c>
      <c r="BI38" s="62">
        <f ca="1">AVERAGE(OFFSET($BH$3,0,0,'Données projet'!$E$11+1,1))-AVERAGE(OFFSET($H$3,0,0,'Données projet'!$E$11+1,1))</f>
        <v>462.677457131175</v>
      </c>
      <c r="BJ38" s="62">
        <f t="shared" si="38"/>
        <v>291.78368401945909</v>
      </c>
      <c r="BK38" s="16">
        <f>IF(ISNA(VLOOKUP(A38,'Données projet'!$A$87:$I$107,3,0)),0,VLOOKUP(A38,'Données projet'!$A$87:$I$107,3,0))</f>
        <v>4</v>
      </c>
      <c r="BL38" s="16">
        <f>IF(ISNA(VLOOKUP(A38,'Données projet'!$A$87:$I$107,4,0)),0,VLOOKUP(A38,'Données projet'!$A$87:$I$107,4,0))</f>
        <v>28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7.9485102507112106</v>
      </c>
      <c r="BR38" s="23">
        <f>EXP(-LN(2)/2)*BR37+(1-EXP(-LN(2)/2))/(LN(2)/2)*BL38*BO38*VLOOKUP('Données projet'!$B$11,Paramètres!$A$1:$I$89,3,0)*0.475*44/12</f>
        <v>2.6357006892824884</v>
      </c>
      <c r="BS38" s="24">
        <f t="shared" si="9"/>
        <v>10.584210939993699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60.37960315484942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347</v>
      </c>
      <c r="BW38" s="13">
        <f>VLOOKUP(A38,'Données projet'!$A$113:$I$133,9,0)</f>
        <v>13.6</v>
      </c>
      <c r="BX38" s="13">
        <f t="array" ref="BX38">INDEX(BW:BW,MIN(IF(ISNUMBER(BW38:BW234),ROW(BW38:BW234),"")))</f>
        <v>13.6</v>
      </c>
      <c r="BY38" s="13">
        <f>IF('Données projet'!$A$114&gt;35,BY37+BX38-CG37,IF(A38&lt;'Données projet'!$A$114,$BV$205^A38,IF(A38='Données projet'!$A$114,'Données projet'!$B$114,BY37+BX38-CG37)))</f>
        <v>347.00000000000017</v>
      </c>
      <c r="BZ38" s="14">
        <f>BY38*VLOOKUP('Données projet'!$B$12,Paramètres!$A$1:$I$89,3,0)*VLOOKUP('Données projet'!$B$12,Paramètres!$A$1:$I$89,5,0)</f>
        <v>189.4620000000001</v>
      </c>
      <c r="CA38" s="14">
        <f t="shared" si="39"/>
        <v>47.420989067433958</v>
      </c>
      <c r="CB38" s="22">
        <f t="shared" si="10"/>
        <v>412.57120595911425</v>
      </c>
      <c r="CC38" s="62">
        <f t="shared" si="11"/>
        <v>670.6297508602288</v>
      </c>
      <c r="CD38" s="62">
        <f ca="1">AVERAGE(OFFSET($CC$3,0,0,'Données projet'!$E$12+1,1))-AVERAGE(OFFSET($H$3,0,0,'Données projet'!$E$12+1,1))</f>
        <v>302.37244372118971</v>
      </c>
      <c r="CE38" s="62">
        <f t="shared" si="40"/>
        <v>439.56450354660171</v>
      </c>
      <c r="CF38" s="16">
        <f>IF(ISNA(VLOOKUP(A38,'Données projet'!$A$113:$I$133,3,0)),0,VLOOKUP(A38,'Données projet'!$A$113:$I$133,3,0))</f>
        <v>6</v>
      </c>
      <c r="CG38" s="16">
        <f>IF(ISNA(VLOOKUP(A38,'Données projet'!$A$113:$I$133,4,0)),0,VLOOKUP(A38,'Données projet'!$A$113:$I$133,4,0))</f>
        <v>38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6.8267761098447401</v>
      </c>
      <c r="CL38" s="23">
        <f>EXP(-LN(2)/25)*CL37+(1-EXP(-LN(2)/25))/(LN(2)/25)*Calculateur!CG38*Calculateur!CI38*VLOOKUP('Données projet'!$B$12,Paramètres!$A$1:$I$89,3,0)*0.475*44/12</f>
        <v>14.714917637784756</v>
      </c>
      <c r="CM38" s="23">
        <f>EXP(-LN(2)/2)*CM37+(1-EXP(-LN(2)/2))/(LN(2)/2)*CG38*CJ38*VLOOKUP('Données projet'!$B$12,Paramètres!$A$1:$I$89,3,0)*0.475*44/12</f>
        <v>2.8374575209649051</v>
      </c>
      <c r="CN38" s="24">
        <f t="shared" si="12"/>
        <v>24.379151268594399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60.37960315484942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179</v>
      </c>
      <c r="CR38" s="13">
        <f>VLOOKUP(A38,'Données projet'!$A$139:$I$159,9,0)</f>
        <v>10.6</v>
      </c>
      <c r="CS38" s="13">
        <f t="array" ref="CS38">INDEX(CR:CR,MIN(IF(ISNUMBER(CR38:CR234),ROW(CR38:CR234),"")))</f>
        <v>10.6</v>
      </c>
      <c r="CT38" s="13">
        <f>IF('Données projet'!$A$140&gt;35,CT37+CS38-DB37,IF(A38&lt;'Données projet'!$A$140,$CQ$205^A38,IF(A38='Données projet'!$A$140,'Données projet'!$B$140,CT37+CS38-DB37)))</f>
        <v>178.99999999999997</v>
      </c>
      <c r="CU38" s="18">
        <f>CT38*VLOOKUP('Données projet'!$B$13,Paramètres!$A$1:$I$89,3,0)*VLOOKUP('Données projet'!$B$13,Paramètres!$A$1:$I$89,5,0)</f>
        <v>131.24279999999999</v>
      </c>
      <c r="CV38" s="14">
        <f t="shared" si="41"/>
        <v>34.28337470677905</v>
      </c>
      <c r="CW38" s="22">
        <f t="shared" si="13"/>
        <v>288.29142094764012</v>
      </c>
      <c r="CX38" s="62">
        <f t="shared" si="14"/>
        <v>546.34996584875466</v>
      </c>
      <c r="CY38" s="62">
        <f ca="1">AVERAGE(OFFSET($CX$3,0,0,'Données projet'!$E$13+1,1))-AVERAGE(OFFSET($H$3,0,0,'Données projet'!$E$13+1,1))</f>
        <v>300.12722359176314</v>
      </c>
      <c r="CZ38" s="62">
        <f t="shared" si="42"/>
        <v>313.35115626175946</v>
      </c>
      <c r="DA38" s="16">
        <f>IF(ISNA(VLOOKUP(A38,'Données projet'!$A$139:$I$159,3,0)),0,VLOOKUP(A38,'Données projet'!$A$139:$I$159,3,0))</f>
        <v>4</v>
      </c>
      <c r="DB38" s="16">
        <f>IF(ISNA(VLOOKUP(A38,'Données projet'!$A$139:$I$159,4,0)),0,VLOOKUP(A38,'Données projet'!$A$139:$I$159,4,0))</f>
        <v>36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10.45826989946595</v>
      </c>
      <c r="DH38" s="23">
        <f>EXP(-LN(2)/2)*DH37+(1-EXP(-LN(2)/2))/(LN(2)/2)*DB38*DE38*VLOOKUP('Données projet'!$B$13,Paramètres!$A$1:$I$89,3,0)*0.475*44/12</f>
        <v>2.6623647086378761</v>
      </c>
      <c r="DI38" s="24">
        <f t="shared" si="15"/>
        <v>13.120634608103826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60.37960315484942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60.37960315484942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60.37960315484942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60.37960315484942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60.37960315484942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3.55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13.016666666666666</v>
      </c>
      <c r="H39" s="70">
        <f t="shared" si="1"/>
        <v>204.6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60.546495532127572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23.6</v>
      </c>
      <c r="N39" s="14">
        <f>IF('Données projet'!$A$36&gt;35,N38+M39-V38,IF(A39&lt;'Données projet'!$A$36,$K$205^A39,IF(A39='Données projet'!$A$36,'Données projet'!$B$36,N38+M39-V38)))</f>
        <v>469.60000000000014</v>
      </c>
      <c r="O39" s="14">
        <f>N39*VLOOKUP('Données projet'!$B$9,Paramètres!$A$1:$I$89,3,0)*VLOOKUP('Données projet'!$B$9,Paramètres!$A$1:$I$89,5,0)</f>
        <v>262.5064000000001</v>
      </c>
      <c r="P39" s="14">
        <f t="shared" si="33"/>
        <v>63.256342472799716</v>
      </c>
      <c r="Q39" s="22">
        <f t="shared" si="53"/>
        <v>567.37010980679293</v>
      </c>
      <c r="R39" s="62">
        <f t="shared" si="0"/>
        <v>826.04059342459414</v>
      </c>
      <c r="S39" s="62">
        <f ca="1">AVERAGE(OFFSET($R$3,0,0,'Données projet'!$E$9+1,1))-AVERAGE(OFFSET($H$3,0,0,'Données projet'!$E$9+1,1))</f>
        <v>455.44531340185631</v>
      </c>
      <c r="T39" s="62">
        <f t="shared" si="34"/>
        <v>560.14861617544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9.5938859774141942</v>
      </c>
      <c r="AA39" s="23">
        <f>EXP(-LN(2)/25)*AA38+(1-EXP(-LN(2)/25))/(LN(2)/25)*Calculateur!V39*Calculateur!X39*VLOOKUP('Données projet'!$B$9,Paramètres!$A$1:$I$89,3,0)*0.475*44/12</f>
        <v>12.04089125046989</v>
      </c>
      <c r="AB39" s="23">
        <f>EXP(-LN(2)/2)*AB38+(1-EXP(-LN(2)/2))/(LN(2)/2)*V39*Y39*VLOOKUP('Données projet'!$B$9,Paramètres!$A$1:$I$89,3,0)*0.475*44/12</f>
        <v>1.6592709575390394</v>
      </c>
      <c r="AC39" s="24">
        <f t="shared" si="3"/>
        <v>23.294048185423126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60.546495532127572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10.8</v>
      </c>
      <c r="AI39" s="14">
        <f>IF('Données projet'!$A$62&gt;35,AI38+AH39-AQ38,IF(A39&lt;'Données projet'!$A$62,$AF$205^A39,IF(A39='Données projet'!$A$62,'Données projet'!$B$62,AI38+AH39-AQ38)))</f>
        <v>169.79999999999998</v>
      </c>
      <c r="AJ39" s="14">
        <f>AI39*VLOOKUP('Données projet'!$B$10,Paramètres!$A$1:$I$89,3,0)*VLOOKUP('Données projet'!$B$10,Paramètres!$A$1:$I$89,5,0)</f>
        <v>148.33727999999999</v>
      </c>
      <c r="AK39" s="14">
        <f t="shared" si="35"/>
        <v>38.200481752654802</v>
      </c>
      <c r="AL39" s="22">
        <f t="shared" si="4"/>
        <v>324.88660171920714</v>
      </c>
      <c r="AM39" s="62">
        <f t="shared" si="5"/>
        <v>583.55708533700829</v>
      </c>
      <c r="AN39" s="62">
        <f ca="1">AVERAGE(OFFSET($AM$3,0,0,'Données projet'!$E$10+1,1))-AVERAGE(OFFSET($H$3,0,0,'Données projet'!$E$10+1,1))</f>
        <v>335.71510570470264</v>
      </c>
      <c r="AO39" s="62">
        <f t="shared" si="36"/>
        <v>401.61823018046482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21.661060241003419</v>
      </c>
      <c r="AW39" s="23">
        <f>EXP(-LN(2)/2)*AW38+(1-EXP(-LN(2)/2))/(LN(2)/2)*AQ39*AT39*VLOOKUP('Données projet'!$B$10,Paramètres!$A$1:$I$89,3,0)*0.475*44/12</f>
        <v>2.2833135103317677</v>
      </c>
      <c r="AX39" s="23">
        <f t="shared" si="6"/>
        <v>23.944373751335185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60.546495532127572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11.2</v>
      </c>
      <c r="BD39" s="13">
        <f>IF('Données projet'!$A$88&gt;35,BD38+BC39-BL38,IF(A39&lt;'Données projet'!$A$88,$BA$205^A39,IF(A39='Données projet'!$A$88,'Données projet'!$B$88,BD38+BC39-BL38)))</f>
        <v>130.20000000000005</v>
      </c>
      <c r="BE39" s="14">
        <f>BD39*VLOOKUP('Données projet'!$B$11,Paramètres!$A$1:$I$89,3,0)*VLOOKUP('Données projet'!$B$11,Paramètres!$A$1:$I$89,5,0)</f>
        <v>117.80496000000004</v>
      </c>
      <c r="BF39" s="14">
        <f t="shared" si="37"/>
        <v>31.162493487829593</v>
      </c>
      <c r="BG39" s="22">
        <f t="shared" si="7"/>
        <v>259.45164815796994</v>
      </c>
      <c r="BH39" s="62">
        <f t="shared" si="8"/>
        <v>518.12213177577109</v>
      </c>
      <c r="BI39" s="62">
        <f ca="1">AVERAGE(OFFSET($BH$3,0,0,'Données projet'!$E$11+1,1))-AVERAGE(OFFSET($H$3,0,0,'Données projet'!$E$11+1,1))</f>
        <v>462.677457131175</v>
      </c>
      <c r="BJ39" s="62">
        <f t="shared" si="38"/>
        <v>291.78368401945909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7.731157819911525</v>
      </c>
      <c r="BR39" s="23">
        <f>EXP(-LN(2)/2)*BR38+(1-EXP(-LN(2)/2))/(LN(2)/2)*BL39*BO39*VLOOKUP('Données projet'!$B$11,Paramètres!$A$1:$I$89,3,0)*0.475*44/12</f>
        <v>1.8637218305697052</v>
      </c>
      <c r="BS39" s="24">
        <f t="shared" si="9"/>
        <v>9.5948796504812304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60.546495532127572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10.199999999999999</v>
      </c>
      <c r="BY39" s="13">
        <f>IF('Données projet'!$A$114&gt;35,BY38+BX39-CG38,IF(A39&lt;'Données projet'!$A$114,$BV$205^A39,IF(A39='Données projet'!$A$114,'Données projet'!$B$114,BY38+BX39-CG38)))</f>
        <v>319.20000000000016</v>
      </c>
      <c r="BZ39" s="14">
        <f>BY39*VLOOKUP('Données projet'!$B$12,Paramètres!$A$1:$I$89,3,0)*VLOOKUP('Données projet'!$B$12,Paramètres!$A$1:$I$89,5,0)</f>
        <v>174.28320000000008</v>
      </c>
      <c r="CA39" s="14">
        <f t="shared" si="39"/>
        <v>44.047924241116156</v>
      </c>
      <c r="CB39" s="22">
        <f t="shared" si="10"/>
        <v>380.26004138661079</v>
      </c>
      <c r="CC39" s="62">
        <f t="shared" si="11"/>
        <v>638.93052500441195</v>
      </c>
      <c r="CD39" s="62">
        <f ca="1">AVERAGE(OFFSET($CC$3,0,0,'Données projet'!$E$12+1,1))-AVERAGE(OFFSET($H$3,0,0,'Données projet'!$E$12+1,1))</f>
        <v>302.37244372118971</v>
      </c>
      <c r="CE39" s="62">
        <f t="shared" si="40"/>
        <v>439.56450354660171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6.6929071942529585</v>
      </c>
      <c r="CL39" s="23">
        <f>EXP(-LN(2)/25)*CL38+(1-EXP(-LN(2)/25))/(LN(2)/25)*Calculateur!CG39*Calculateur!CI39*VLOOKUP('Données projet'!$B$12,Paramètres!$A$1:$I$89,3,0)*0.475*44/12</f>
        <v>14.312537441155644</v>
      </c>
      <c r="CM39" s="23">
        <f>EXP(-LN(2)/2)*CM38+(1-EXP(-LN(2)/2))/(LN(2)/2)*CG39*CJ39*VLOOKUP('Données projet'!$B$12,Paramètres!$A$1:$I$89,3,0)*0.475*44/12</f>
        <v>2.006385454403055</v>
      </c>
      <c r="CN39" s="24">
        <f t="shared" si="12"/>
        <v>23.011830089811657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60.546495532127572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9.6</v>
      </c>
      <c r="CT39" s="13">
        <f>IF('Données projet'!$A$140&gt;35,CT38+CS39-DB38,IF(A39&lt;'Données projet'!$A$140,$CQ$205^A39,IF(A39='Données projet'!$A$140,'Données projet'!$B$140,CT38+CS39-DB38)))</f>
        <v>152.59999999999997</v>
      </c>
      <c r="CU39" s="18">
        <f>CT39*VLOOKUP('Données projet'!$B$13,Paramètres!$A$1:$I$89,3,0)*VLOOKUP('Données projet'!$B$13,Paramètres!$A$1:$I$89,5,0)</f>
        <v>111.88631999999997</v>
      </c>
      <c r="CV39" s="14">
        <f t="shared" si="41"/>
        <v>29.774975524166688</v>
      </c>
      <c r="CW39" s="22">
        <f t="shared" si="13"/>
        <v>246.7267563712569</v>
      </c>
      <c r="CX39" s="62">
        <f t="shared" si="14"/>
        <v>505.39723998905805</v>
      </c>
      <c r="CY39" s="62">
        <f ca="1">AVERAGE(OFFSET($CX$3,0,0,'Données projet'!$E$13+1,1))-AVERAGE(OFFSET($H$3,0,0,'Données projet'!$E$13+1,1))</f>
        <v>300.12722359176314</v>
      </c>
      <c r="CZ39" s="62">
        <f t="shared" si="42"/>
        <v>313.35115626175946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10.172287959088543</v>
      </c>
      <c r="DH39" s="23">
        <f>EXP(-LN(2)/2)*DH38+(1-EXP(-LN(2)/2))/(LN(2)/2)*DB39*DE39*VLOOKUP('Données projet'!$B$13,Paramètres!$A$1:$I$89,3,0)*0.475*44/12</f>
        <v>1.8825761394695892</v>
      </c>
      <c r="DI39" s="24">
        <f t="shared" si="15"/>
        <v>12.054864098558133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60.546495532127572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60.546495532127572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60.546495532127572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60.546495532127572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60.546495532127572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3.55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13.016666666666666</v>
      </c>
      <c r="H40" s="70">
        <f t="shared" si="1"/>
        <v>204.6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60.710492699775401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23.6</v>
      </c>
      <c r="N40" s="14">
        <f>IF('Données projet'!$A$36&gt;35,N39+M40-V39,IF(A40&lt;'Données projet'!$A$36,$K$205^A40,IF(A40='Données projet'!$A$36,'Données projet'!$B$36,N39+M40-V39)))</f>
        <v>493.20000000000016</v>
      </c>
      <c r="O40" s="14">
        <f>N40*VLOOKUP('Données projet'!$B$9,Paramètres!$A$1:$I$89,3,0)*VLOOKUP('Données projet'!$B$9,Paramètres!$A$1:$I$89,5,0)</f>
        <v>275.69880000000012</v>
      </c>
      <c r="P40" s="14">
        <f t="shared" si="33"/>
        <v>66.057224343988935</v>
      </c>
      <c r="Q40" s="22">
        <f t="shared" si="53"/>
        <v>595.22507573244764</v>
      </c>
      <c r="R40" s="62">
        <f t="shared" si="0"/>
        <v>854.49688229829076</v>
      </c>
      <c r="S40" s="62">
        <f ca="1">AVERAGE(OFFSET($R$3,0,0,'Données projet'!$E$9+1,1))-AVERAGE(OFFSET($H$3,0,0,'Données projet'!$E$9+1,1))</f>
        <v>455.44531340185631</v>
      </c>
      <c r="T40" s="62">
        <f t="shared" si="34"/>
        <v>560.14861617544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9.4057557250897421</v>
      </c>
      <c r="AA40" s="23">
        <f>EXP(-LN(2)/25)*AA39+(1-EXP(-LN(2)/25))/(LN(2)/25)*Calculateur!V40*Calculateur!X40*VLOOKUP('Données projet'!$B$9,Paramètres!$A$1:$I$89,3,0)*0.475*44/12</f>
        <v>11.71163244602284</v>
      </c>
      <c r="AB40" s="23">
        <f>EXP(-LN(2)/2)*AB39+(1-EXP(-LN(2)/2))/(LN(2)/2)*V40*Y40*VLOOKUP('Données projet'!$B$9,Paramètres!$A$1:$I$89,3,0)*0.475*44/12</f>
        <v>1.1732817459017508</v>
      </c>
      <c r="AC40" s="24">
        <f t="shared" si="3"/>
        <v>22.290669917014331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60.710492699775401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10.8</v>
      </c>
      <c r="AI40" s="14">
        <f>IF('Données projet'!$A$62&gt;35,AI39+AH40-AQ39,IF(A40&lt;'Données projet'!$A$62,$AF$205^A40,IF(A40='Données projet'!$A$62,'Données projet'!$B$62,AI39+AH40-AQ39)))</f>
        <v>180.6</v>
      </c>
      <c r="AJ40" s="14">
        <f>AI40*VLOOKUP('Données projet'!$B$10,Paramètres!$A$1:$I$89,3,0)*VLOOKUP('Données projet'!$B$10,Paramètres!$A$1:$I$89,5,0)</f>
        <v>157.77216000000001</v>
      </c>
      <c r="AK40" s="14">
        <f t="shared" si="35"/>
        <v>40.339610539653599</v>
      </c>
      <c r="AL40" s="22">
        <f t="shared" si="4"/>
        <v>345.04466702323003</v>
      </c>
      <c r="AM40" s="62">
        <f t="shared" si="5"/>
        <v>604.31647358907321</v>
      </c>
      <c r="AN40" s="62">
        <f ca="1">AVERAGE(OFFSET($AM$3,0,0,'Données projet'!$E$10+1,1))-AVERAGE(OFFSET($H$3,0,0,'Données projet'!$E$10+1,1))</f>
        <v>335.71510570470264</v>
      </c>
      <c r="AO40" s="62">
        <f t="shared" si="36"/>
        <v>401.61823018046482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21.068737409607529</v>
      </c>
      <c r="AW40" s="23">
        <f>EXP(-LN(2)/2)*AW39+(1-EXP(-LN(2)/2))/(LN(2)/2)*AQ40*AT40*VLOOKUP('Données projet'!$B$10,Paramètres!$A$1:$I$89,3,0)*0.475*44/12</f>
        <v>1.614546466730453</v>
      </c>
      <c r="AX40" s="23">
        <f t="shared" si="6"/>
        <v>22.683283876337981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60.710492699775401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11.2</v>
      </c>
      <c r="BD40" s="13">
        <f>IF('Données projet'!$A$88&gt;35,BD39+BC40-BL39,IF(A40&lt;'Données projet'!$A$88,$BA$205^A40,IF(A40='Données projet'!$A$88,'Données projet'!$B$88,BD39+BC40-BL39)))</f>
        <v>141.40000000000003</v>
      </c>
      <c r="BE40" s="14">
        <f>BD40*VLOOKUP('Données projet'!$B$11,Paramètres!$A$1:$I$89,3,0)*VLOOKUP('Données projet'!$B$11,Paramètres!$A$1:$I$89,5,0)</f>
        <v>127.93872000000003</v>
      </c>
      <c r="BF40" s="14">
        <f t="shared" si="37"/>
        <v>33.519615889545641</v>
      </c>
      <c r="BG40" s="22">
        <f t="shared" si="7"/>
        <v>281.20660167429202</v>
      </c>
      <c r="BH40" s="62">
        <f t="shared" si="8"/>
        <v>540.4784082401352</v>
      </c>
      <c r="BI40" s="62">
        <f ca="1">AVERAGE(OFFSET($BH$3,0,0,'Données projet'!$E$11+1,1))-AVERAGE(OFFSET($H$3,0,0,'Données projet'!$E$11+1,1))</f>
        <v>462.677457131175</v>
      </c>
      <c r="BJ40" s="62">
        <f t="shared" si="38"/>
        <v>291.78368401945909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7.5197489027621245</v>
      </c>
      <c r="BR40" s="23">
        <f>EXP(-LN(2)/2)*BR39+(1-EXP(-LN(2)/2))/(LN(2)/2)*BL40*BO40*VLOOKUP('Données projet'!$B$11,Paramètres!$A$1:$I$89,3,0)*0.475*44/12</f>
        <v>1.3178503446412444</v>
      </c>
      <c r="BS40" s="24">
        <f t="shared" si="9"/>
        <v>8.837599247403368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60.710492699775401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10.199999999999999</v>
      </c>
      <c r="BY40" s="13">
        <f>IF('Données projet'!$A$114&gt;35,BY39+BX40-CG39,IF(A40&lt;'Données projet'!$A$114,$BV$205^A40,IF(A40='Données projet'!$A$114,'Données projet'!$B$114,BY39+BX40-CG39)))</f>
        <v>329.40000000000015</v>
      </c>
      <c r="BZ40" s="14">
        <f>BY40*VLOOKUP('Données projet'!$B$12,Paramètres!$A$1:$I$89,3,0)*VLOOKUP('Données projet'!$B$12,Paramètres!$A$1:$I$89,5,0)</f>
        <v>179.8524000000001</v>
      </c>
      <c r="CA40" s="14">
        <f t="shared" si="39"/>
        <v>45.289346318280131</v>
      </c>
      <c r="CB40" s="22">
        <f t="shared" si="10"/>
        <v>392.12187483767138</v>
      </c>
      <c r="CC40" s="62">
        <f t="shared" si="11"/>
        <v>651.39368140351451</v>
      </c>
      <c r="CD40" s="62">
        <f ca="1">AVERAGE(OFFSET($CC$3,0,0,'Données projet'!$E$12+1,1))-AVERAGE(OFFSET($H$3,0,0,'Données projet'!$E$12+1,1))</f>
        <v>302.37244372118971</v>
      </c>
      <c r="CE40" s="62">
        <f t="shared" si="40"/>
        <v>439.56450354660171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6.5616633664439554</v>
      </c>
      <c r="CL40" s="23">
        <f>EXP(-LN(2)/25)*CL39+(1-EXP(-LN(2)/25))/(LN(2)/25)*Calculateur!CG40*Calculateur!CI40*VLOOKUP('Données projet'!$B$12,Paramètres!$A$1:$I$89,3,0)*0.475*44/12</f>
        <v>13.921160352163611</v>
      </c>
      <c r="CM40" s="23">
        <f>EXP(-LN(2)/2)*CM39+(1-EXP(-LN(2)/2))/(LN(2)/2)*CG40*CJ40*VLOOKUP('Données projet'!$B$12,Paramètres!$A$1:$I$89,3,0)*0.475*44/12</f>
        <v>1.4187287604824528</v>
      </c>
      <c r="CN40" s="24">
        <f t="shared" si="12"/>
        <v>21.901552479090018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60.710492699775401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9.6</v>
      </c>
      <c r="CT40" s="13">
        <f>IF('Données projet'!$A$140&gt;35,CT39+CS40-DB39,IF(A40&lt;'Données projet'!$A$140,$CQ$205^A40,IF(A40='Données projet'!$A$140,'Données projet'!$B$140,CT39+CS40-DB39)))</f>
        <v>162.19999999999996</v>
      </c>
      <c r="CU40" s="18">
        <f>CT40*VLOOKUP('Données projet'!$B$13,Paramètres!$A$1:$I$89,3,0)*VLOOKUP('Données projet'!$B$13,Paramètres!$A$1:$I$89,5,0)</f>
        <v>118.92503999999997</v>
      </c>
      <c r="CV40" s="14">
        <f t="shared" si="41"/>
        <v>31.424151376563206</v>
      </c>
      <c r="CW40" s="22">
        <f t="shared" si="13"/>
        <v>261.85817498084748</v>
      </c>
      <c r="CX40" s="62">
        <f t="shared" si="14"/>
        <v>521.1299815466906</v>
      </c>
      <c r="CY40" s="62">
        <f ca="1">AVERAGE(OFFSET($CX$3,0,0,'Données projet'!$E$13+1,1))-AVERAGE(OFFSET($H$3,0,0,'Données projet'!$E$13+1,1))</f>
        <v>300.12722359176314</v>
      </c>
      <c r="CZ40" s="62">
        <f t="shared" si="42"/>
        <v>313.35115626175946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9.8941262099098921</v>
      </c>
      <c r="DH40" s="23">
        <f>EXP(-LN(2)/2)*DH39+(1-EXP(-LN(2)/2))/(LN(2)/2)*DB40*DE40*VLOOKUP('Données projet'!$B$13,Paramètres!$A$1:$I$89,3,0)*0.475*44/12</f>
        <v>1.3311823543189383</v>
      </c>
      <c r="DI40" s="24">
        <f t="shared" si="15"/>
        <v>11.225308564228831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60.710492699775401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60.710492699775401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60.710492699775401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60.710492699775401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60.710492699775401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3.55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13.016666666666666</v>
      </c>
      <c r="H41" s="70">
        <f t="shared" si="1"/>
        <v>204.6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60.871644883207281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23.6</v>
      </c>
      <c r="N41" s="14">
        <f>IF('Données projet'!$A$36&gt;35,N40+M41-V40,IF(A41&lt;'Données projet'!$A$36,$K$205^A41,IF(A41='Données projet'!$A$36,'Données projet'!$B$36,N40+M41-V40)))</f>
        <v>516.80000000000018</v>
      </c>
      <c r="O41" s="14">
        <f>N41*VLOOKUP('Données projet'!$B$9,Paramètres!$A$1:$I$89,3,0)*VLOOKUP('Données projet'!$B$9,Paramètres!$A$1:$I$89,5,0)</f>
        <v>288.89120000000008</v>
      </c>
      <c r="P41" s="14">
        <f t="shared" si="33"/>
        <v>68.842542874646128</v>
      </c>
      <c r="Q41" s="22">
        <f t="shared" si="53"/>
        <v>623.05293550667545</v>
      </c>
      <c r="R41" s="62">
        <f t="shared" si="0"/>
        <v>882.91563341176879</v>
      </c>
      <c r="S41" s="62">
        <f ca="1">AVERAGE(OFFSET($R$3,0,0,'Données projet'!$E$9+1,1))-AVERAGE(OFFSET($H$3,0,0,'Données projet'!$E$9+1,1))</f>
        <v>455.44531340185631</v>
      </c>
      <c r="T41" s="62">
        <f t="shared" si="34"/>
        <v>560.14861617544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9.221314592265248</v>
      </c>
      <c r="AA41" s="23">
        <f>EXP(-LN(2)/25)*AA40+(1-EXP(-LN(2)/25))/(LN(2)/25)*Calculateur!V41*Calculateur!X41*VLOOKUP('Données projet'!$B$9,Paramètres!$A$1:$I$89,3,0)*0.475*44/12</f>
        <v>11.391377240898363</v>
      </c>
      <c r="AB41" s="23">
        <f>EXP(-LN(2)/2)*AB40+(1-EXP(-LN(2)/2))/(LN(2)/2)*V41*Y41*VLOOKUP('Données projet'!$B$9,Paramètres!$A$1:$I$89,3,0)*0.475*44/12</f>
        <v>0.82963547876951982</v>
      </c>
      <c r="AC41" s="24">
        <f t="shared" si="3"/>
        <v>21.442327311933131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60.871644883207281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10.8</v>
      </c>
      <c r="AI41" s="14">
        <f>IF('Données projet'!$A$62&gt;35,AI40+AH41-AQ40,IF(A41&lt;'Données projet'!$A$62,$AF$205^A41,IF(A41='Données projet'!$A$62,'Données projet'!$B$62,AI40+AH41-AQ40)))</f>
        <v>191.4</v>
      </c>
      <c r="AJ41" s="14">
        <f>AI41*VLOOKUP('Données projet'!$B$10,Paramètres!$A$1:$I$89,3,0)*VLOOKUP('Données projet'!$B$10,Paramètres!$A$1:$I$89,5,0)</f>
        <v>167.20704000000003</v>
      </c>
      <c r="AK41" s="14">
        <f t="shared" si="35"/>
        <v>42.463891647822834</v>
      </c>
      <c r="AL41" s="22">
        <f t="shared" si="4"/>
        <v>365.17687261995815</v>
      </c>
      <c r="AM41" s="62">
        <f t="shared" si="5"/>
        <v>625.03957052505154</v>
      </c>
      <c r="AN41" s="62">
        <f ca="1">AVERAGE(OFFSET($AM$3,0,0,'Données projet'!$E$10+1,1))-AVERAGE(OFFSET($H$3,0,0,'Données projet'!$E$10+1,1))</f>
        <v>335.71510570470264</v>
      </c>
      <c r="AO41" s="62">
        <f t="shared" si="36"/>
        <v>401.61823018046482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20.492611677185064</v>
      </c>
      <c r="AW41" s="23">
        <f>EXP(-LN(2)/2)*AW40+(1-EXP(-LN(2)/2))/(LN(2)/2)*AQ41*AT41*VLOOKUP('Données projet'!$B$10,Paramètres!$A$1:$I$89,3,0)*0.475*44/12</f>
        <v>1.1416567551658838</v>
      </c>
      <c r="AX41" s="23">
        <f t="shared" si="6"/>
        <v>21.634268432350947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60.871644883207281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11.2</v>
      </c>
      <c r="BD41" s="13">
        <f>IF('Données projet'!$A$88&gt;35,BD40+BC41-BL40,IF(A41&lt;'Données projet'!$A$88,$BA$205^A41,IF(A41='Données projet'!$A$88,'Données projet'!$B$88,BD40+BC41-BL40)))</f>
        <v>152.60000000000002</v>
      </c>
      <c r="BE41" s="14">
        <f>BD41*VLOOKUP('Données projet'!$B$11,Paramètres!$A$1:$I$89,3,0)*VLOOKUP('Données projet'!$B$11,Paramètres!$A$1:$I$89,5,0)</f>
        <v>138.07248000000001</v>
      </c>
      <c r="BF41" s="14">
        <f t="shared" si="37"/>
        <v>35.85508207677799</v>
      </c>
      <c r="BG41" s="22">
        <f t="shared" si="7"/>
        <v>302.9238372837217</v>
      </c>
      <c r="BH41" s="62">
        <f t="shared" si="8"/>
        <v>562.78653518881515</v>
      </c>
      <c r="BI41" s="62">
        <f ca="1">AVERAGE(OFFSET($BH$3,0,0,'Données projet'!$E$11+1,1))-AVERAGE(OFFSET($H$3,0,0,'Données projet'!$E$11+1,1))</f>
        <v>462.677457131175</v>
      </c>
      <c r="BJ41" s="62">
        <f t="shared" si="38"/>
        <v>291.78368401945909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7.3141209735696862</v>
      </c>
      <c r="BR41" s="23">
        <f>EXP(-LN(2)/2)*BR40+(1-EXP(-LN(2)/2))/(LN(2)/2)*BL41*BO41*VLOOKUP('Données projet'!$B$11,Paramètres!$A$1:$I$89,3,0)*0.475*44/12</f>
        <v>0.93186091528485271</v>
      </c>
      <c r="BS41" s="24">
        <f t="shared" si="9"/>
        <v>8.2459818888545389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60.871644883207281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10.199999999999999</v>
      </c>
      <c r="BY41" s="13">
        <f>IF('Données projet'!$A$114&gt;35,BY40+BX41-CG40,IF(A41&lt;'Données projet'!$A$114,$BV$205^A41,IF(A41='Données projet'!$A$114,'Données projet'!$B$114,BY40+BX41-CG40)))</f>
        <v>339.60000000000014</v>
      </c>
      <c r="BZ41" s="14">
        <f>BY41*VLOOKUP('Données projet'!$B$12,Paramètres!$A$1:$I$89,3,0)*VLOOKUP('Données projet'!$B$12,Paramètres!$A$1:$I$89,5,0)</f>
        <v>185.4216000000001</v>
      </c>
      <c r="CA41" s="14">
        <f t="shared" si="39"/>
        <v>46.526301148997497</v>
      </c>
      <c r="CB41" s="22">
        <f t="shared" si="10"/>
        <v>403.97592783450415</v>
      </c>
      <c r="CC41" s="62">
        <f t="shared" si="11"/>
        <v>663.83862573959755</v>
      </c>
      <c r="CD41" s="62">
        <f ca="1">AVERAGE(OFFSET($CC$3,0,0,'Données projet'!$E$12+1,1))-AVERAGE(OFFSET($H$3,0,0,'Données projet'!$E$12+1,1))</f>
        <v>302.37244372118971</v>
      </c>
      <c r="CE41" s="62">
        <f t="shared" si="40"/>
        <v>439.56450354660171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6.4329931500474569</v>
      </c>
      <c r="CL41" s="23">
        <f>EXP(-LN(2)/25)*CL40+(1-EXP(-LN(2)/25))/(LN(2)/25)*Calculateur!CG41*Calculateur!CI41*VLOOKUP('Données projet'!$B$12,Paramètres!$A$1:$I$89,3,0)*0.475*44/12</f>
        <v>13.54048549025169</v>
      </c>
      <c r="CM41" s="23">
        <f>EXP(-LN(2)/2)*CM40+(1-EXP(-LN(2)/2))/(LN(2)/2)*CG41*CJ41*VLOOKUP('Données projet'!$B$12,Paramètres!$A$1:$I$89,3,0)*0.475*44/12</f>
        <v>1.0031927272015275</v>
      </c>
      <c r="CN41" s="24">
        <f t="shared" si="12"/>
        <v>20.976671367500675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60.871644883207281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9.6</v>
      </c>
      <c r="CT41" s="13">
        <f>IF('Données projet'!$A$140&gt;35,CT40+CS41-DB40,IF(A41&lt;'Données projet'!$A$140,$CQ$205^A41,IF(A41='Données projet'!$A$140,'Données projet'!$B$140,CT40+CS41-DB40)))</f>
        <v>171.79999999999995</v>
      </c>
      <c r="CU41" s="18">
        <f>CT41*VLOOKUP('Données projet'!$B$13,Paramètres!$A$1:$I$89,3,0)*VLOOKUP('Données projet'!$B$13,Paramètres!$A$1:$I$89,5,0)</f>
        <v>125.96375999999998</v>
      </c>
      <c r="CV41" s="14">
        <f t="shared" si="41"/>
        <v>33.061997672641603</v>
      </c>
      <c r="CW41" s="22">
        <f t="shared" si="13"/>
        <v>276.96986127985076</v>
      </c>
      <c r="CX41" s="62">
        <f t="shared" si="14"/>
        <v>536.8325591849441</v>
      </c>
      <c r="CY41" s="62">
        <f ca="1">AVERAGE(OFFSET($CX$3,0,0,'Données projet'!$E$13+1,1))-AVERAGE(OFFSET($H$3,0,0,'Données projet'!$E$13+1,1))</f>
        <v>300.12722359176314</v>
      </c>
      <c r="CZ41" s="62">
        <f t="shared" si="42"/>
        <v>313.35115626175946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9.6235708083904221</v>
      </c>
      <c r="DH41" s="23">
        <f>EXP(-LN(2)/2)*DH40+(1-EXP(-LN(2)/2))/(LN(2)/2)*DB41*DE41*VLOOKUP('Données projet'!$B$13,Paramètres!$A$1:$I$89,3,0)*0.475*44/12</f>
        <v>0.94128806973479473</v>
      </c>
      <c r="DI41" s="24">
        <f t="shared" si="15"/>
        <v>10.564858878125216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60.871644883207281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60.871644883207281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60.871644883207281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60.871644883207281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60.871644883207281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3.55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13.016666666666666</v>
      </c>
      <c r="H42" s="70">
        <f t="shared" si="1"/>
        <v>204.6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61.030001436538925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23.6</v>
      </c>
      <c r="N42" s="14">
        <f>IF('Données projet'!$A$36&gt;35,N41+M42-V41,IF(A42&lt;'Données projet'!$A$36,$K$205^A42,IF(A42='Données projet'!$A$36,'Données projet'!$B$36,N41+M42-V41)))</f>
        <v>540.4000000000002</v>
      </c>
      <c r="O42" s="14">
        <f>N42*VLOOKUP('Données projet'!$B$9,Paramètres!$A$1:$I$89,3,0)*VLOOKUP('Données projet'!$B$9,Paramètres!$A$1:$I$89,5,0)</f>
        <v>302.0836000000001</v>
      </c>
      <c r="P42" s="14">
        <f t="shared" si="33"/>
        <v>71.61308995867725</v>
      </c>
      <c r="Q42" s="22">
        <f t="shared" si="53"/>
        <v>650.85506834469629</v>
      </c>
      <c r="R42" s="62">
        <f t="shared" si="0"/>
        <v>911.29840694533902</v>
      </c>
      <c r="S42" s="62">
        <f ca="1">AVERAGE(OFFSET($R$3,0,0,'Données projet'!$E$9+1,1))-AVERAGE(OFFSET($H$3,0,0,'Données projet'!$E$9+1,1))</f>
        <v>455.44531340185631</v>
      </c>
      <c r="T42" s="62">
        <f t="shared" si="34"/>
        <v>560.14861617544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9.0404902375574601</v>
      </c>
      <c r="AA42" s="23">
        <f>EXP(-LN(2)/25)*AA41+(1-EXP(-LN(2)/25))/(LN(2)/25)*Calculateur!V42*Calculateur!X42*VLOOKUP('Données projet'!$B$9,Paramètres!$A$1:$I$89,3,0)*0.475*44/12</f>
        <v>11.079879431199503</v>
      </c>
      <c r="AB42" s="23">
        <f>EXP(-LN(2)/2)*AB41+(1-EXP(-LN(2)/2))/(LN(2)/2)*V42*Y42*VLOOKUP('Données projet'!$B$9,Paramètres!$A$1:$I$89,3,0)*0.475*44/12</f>
        <v>0.58664087295087552</v>
      </c>
      <c r="AC42" s="24">
        <f t="shared" si="3"/>
        <v>20.707010541707842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61.030001436538925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10.8</v>
      </c>
      <c r="AI42" s="14">
        <f>IF('Données projet'!$A$62&gt;35,AI41+AH42-AQ41,IF(A42&lt;'Données projet'!$A$62,$AF$205^A42,IF(A42='Données projet'!$A$62,'Données projet'!$B$62,AI41+AH42-AQ41)))</f>
        <v>202.20000000000002</v>
      </c>
      <c r="AJ42" s="14">
        <f>AI42*VLOOKUP('Données projet'!$B$10,Paramètres!$A$1:$I$89,3,0)*VLOOKUP('Données projet'!$B$10,Paramètres!$A$1:$I$89,5,0)</f>
        <v>176.64192000000003</v>
      </c>
      <c r="AK42" s="14">
        <f t="shared" si="35"/>
        <v>44.574258350008236</v>
      </c>
      <c r="AL42" s="22">
        <f t="shared" si="4"/>
        <v>385.28484395959771</v>
      </c>
      <c r="AM42" s="62">
        <f t="shared" si="5"/>
        <v>645.72818256024038</v>
      </c>
      <c r="AN42" s="62">
        <f ca="1">AVERAGE(OFFSET($AM$3,0,0,'Données projet'!$E$10+1,1))-AVERAGE(OFFSET($H$3,0,0,'Données projet'!$E$10+1,1))</f>
        <v>335.71510570470264</v>
      </c>
      <c r="AO42" s="62">
        <f t="shared" si="36"/>
        <v>401.61823018046482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19.932240133212826</v>
      </c>
      <c r="AW42" s="23">
        <f>EXP(-LN(2)/2)*AW41+(1-EXP(-LN(2)/2))/(LN(2)/2)*AQ42*AT42*VLOOKUP('Données projet'!$B$10,Paramètres!$A$1:$I$89,3,0)*0.475*44/12</f>
        <v>0.80727323336522649</v>
      </c>
      <c r="AX42" s="23">
        <f t="shared" si="6"/>
        <v>20.739513366578052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61.030001436538925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11.2</v>
      </c>
      <c r="BD42" s="13">
        <f>IF('Données projet'!$A$88&gt;35,BD41+BC42-BL41,IF(A42&lt;'Données projet'!$A$88,$BA$205^A42,IF(A42='Données projet'!$A$88,'Données projet'!$B$88,BD41+BC42-BL41)))</f>
        <v>163.80000000000001</v>
      </c>
      <c r="BE42" s="14">
        <f>BD42*VLOOKUP('Données projet'!$B$11,Paramètres!$A$1:$I$89,3,0)*VLOOKUP('Données projet'!$B$11,Paramètres!$A$1:$I$89,5,0)</f>
        <v>148.20624000000001</v>
      </c>
      <c r="BF42" s="14">
        <f t="shared" si="37"/>
        <v>38.170662245893794</v>
      </c>
      <c r="BG42" s="22">
        <f t="shared" si="7"/>
        <v>324.60643807826506</v>
      </c>
      <c r="BH42" s="62">
        <f t="shared" si="8"/>
        <v>585.04977667890785</v>
      </c>
      <c r="BI42" s="62">
        <f ca="1">AVERAGE(OFFSET($BH$3,0,0,'Données projet'!$E$11+1,1))-AVERAGE(OFFSET($H$3,0,0,'Données projet'!$E$11+1,1))</f>
        <v>462.677457131175</v>
      </c>
      <c r="BJ42" s="62">
        <f t="shared" si="38"/>
        <v>291.78368401945909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7.1141159509145178</v>
      </c>
      <c r="BR42" s="23">
        <f>EXP(-LN(2)/2)*BR41+(1-EXP(-LN(2)/2))/(LN(2)/2)*BL42*BO42*VLOOKUP('Données projet'!$B$11,Paramètres!$A$1:$I$89,3,0)*0.475*44/12</f>
        <v>0.65892517232062231</v>
      </c>
      <c r="BS42" s="24">
        <f t="shared" si="9"/>
        <v>7.7730411232351404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61.030001436538925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10.199999999999999</v>
      </c>
      <c r="BY42" s="13">
        <f>IF('Données projet'!$A$114&gt;35,BY41+BX42-CG41,IF(A42&lt;'Données projet'!$A$114,$BV$205^A42,IF(A42='Données projet'!$A$114,'Données projet'!$B$114,BY41+BX42-CG41)))</f>
        <v>349.80000000000013</v>
      </c>
      <c r="BZ42" s="14">
        <f>BY42*VLOOKUP('Données projet'!$B$12,Paramètres!$A$1:$I$89,3,0)*VLOOKUP('Données projet'!$B$12,Paramètres!$A$1:$I$89,5,0)</f>
        <v>190.99080000000006</v>
      </c>
      <c r="CA42" s="14">
        <f t="shared" si="39"/>
        <v>47.75893831057796</v>
      </c>
      <c r="CB42" s="22">
        <f t="shared" si="10"/>
        <v>415.82246089092337</v>
      </c>
      <c r="CC42" s="62">
        <f t="shared" si="11"/>
        <v>676.2657994915661</v>
      </c>
      <c r="CD42" s="62">
        <f ca="1">AVERAGE(OFFSET($CC$3,0,0,'Données projet'!$E$12+1,1))-AVERAGE(OFFSET($H$3,0,0,'Données projet'!$E$12+1,1))</f>
        <v>302.37244372118971</v>
      </c>
      <c r="CE42" s="62">
        <f t="shared" si="40"/>
        <v>439.56450354660171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6.306846078113411</v>
      </c>
      <c r="CL42" s="23">
        <f>EXP(-LN(2)/25)*CL41+(1-EXP(-LN(2)/25))/(LN(2)/25)*Calculateur!CG42*Calculateur!CI42*VLOOKUP('Données projet'!$B$12,Paramètres!$A$1:$I$89,3,0)*0.475*44/12</f>
        <v>13.170220202457573</v>
      </c>
      <c r="CM42" s="23">
        <f>EXP(-LN(2)/2)*CM41+(1-EXP(-LN(2)/2))/(LN(2)/2)*CG42*CJ42*VLOOKUP('Données projet'!$B$12,Paramètres!$A$1:$I$89,3,0)*0.475*44/12</f>
        <v>0.70936438024122639</v>
      </c>
      <c r="CN42" s="24">
        <f t="shared" si="12"/>
        <v>20.18643066081221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61.030001436538925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9.6</v>
      </c>
      <c r="CT42" s="13">
        <f>IF('Données projet'!$A$140&gt;35,CT41+CS42-DB41,IF(A42&lt;'Données projet'!$A$140,$CQ$205^A42,IF(A42='Données projet'!$A$140,'Données projet'!$B$140,CT41+CS42-DB41)))</f>
        <v>181.39999999999995</v>
      </c>
      <c r="CU42" s="18">
        <f>CT42*VLOOKUP('Données projet'!$B$13,Paramètres!$A$1:$I$89,3,0)*VLOOKUP('Données projet'!$B$13,Paramètres!$A$1:$I$89,5,0)</f>
        <v>133.00247999999996</v>
      </c>
      <c r="CV42" s="14">
        <f t="shared" si="41"/>
        <v>34.689219647231198</v>
      </c>
      <c r="CW42" s="22">
        <f t="shared" si="13"/>
        <v>292.06304355226092</v>
      </c>
      <c r="CX42" s="62">
        <f t="shared" si="14"/>
        <v>552.5063821529036</v>
      </c>
      <c r="CY42" s="62">
        <f ca="1">AVERAGE(OFFSET($CX$3,0,0,'Données projet'!$E$13+1,1))-AVERAGE(OFFSET($H$3,0,0,'Données projet'!$E$13+1,1))</f>
        <v>300.12722359176314</v>
      </c>
      <c r="CZ42" s="62">
        <f t="shared" si="42"/>
        <v>313.35115626175946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9.360413758553392</v>
      </c>
      <c r="DH42" s="23">
        <f>EXP(-LN(2)/2)*DH41+(1-EXP(-LN(2)/2))/(LN(2)/2)*DB42*DE42*VLOOKUP('Données projet'!$B$13,Paramètres!$A$1:$I$89,3,0)*0.475*44/12</f>
        <v>0.66559117715946925</v>
      </c>
      <c r="DI42" s="24">
        <f t="shared" si="15"/>
        <v>10.02600493571286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61.030001436538925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61.030001436538925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61.030001436538925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61.030001436538925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61.030001436538925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3.55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13.016666666666666</v>
      </c>
      <c r="H43" s="70">
        <f t="shared" si="1"/>
        <v>204.6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61.185610857702478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564</v>
      </c>
      <c r="L43" s="13">
        <f>VLOOKUP(A43,'Données projet'!$A$35:$I$55,9,0)</f>
        <v>23.6</v>
      </c>
      <c r="M43" s="13">
        <f t="array" ref="M43">INDEX(L:L,MIN(IF(ISNUMBER(L43:L239),ROW(L43:L239),"")))</f>
        <v>23.6</v>
      </c>
      <c r="N43" s="14">
        <f>IF('Données projet'!$A$36&gt;35,N42+M43-V42,IF(A43&lt;'Données projet'!$A$36,$K$205^A43,IF(A43='Données projet'!$A$36,'Données projet'!$B$36,N42+M43-V42)))</f>
        <v>564.00000000000023</v>
      </c>
      <c r="O43" s="14">
        <f>N43*VLOOKUP('Données projet'!$B$9,Paramètres!$A$1:$I$89,3,0)*VLOOKUP('Données projet'!$B$9,Paramètres!$A$1:$I$89,5,0)</f>
        <v>315.27600000000012</v>
      </c>
      <c r="P43" s="14">
        <f t="shared" si="33"/>
        <v>74.36958441265493</v>
      </c>
      <c r="Q43" s="22">
        <f t="shared" si="53"/>
        <v>678.63272618537417</v>
      </c>
      <c r="R43" s="62">
        <f t="shared" si="0"/>
        <v>939.64663266361663</v>
      </c>
      <c r="S43" s="62">
        <f ca="1">AVERAGE(OFFSET($R$3,0,0,'Données projet'!$E$9+1,1))-AVERAGE(OFFSET($H$3,0,0,'Données projet'!$E$9+1,1))</f>
        <v>455.44531340185631</v>
      </c>
      <c r="T43" s="62">
        <f t="shared" si="34"/>
        <v>560.14861617544</v>
      </c>
      <c r="U43" s="16">
        <f>IF(ISNA(VLOOKUP(A43,'Données projet'!$A$35:$I$55,3,0)),0,VLOOKUP(A43,'Données projet'!$A$35:$I$55,3,0))</f>
        <v>5</v>
      </c>
      <c r="V43" s="16">
        <f>IF(ISNA(VLOOKUP(A43,'Données projet'!$A$35:$I$55,4,0)),0,VLOOKUP(A43,'Données projet'!$A$35:$I$55,4,0))</f>
        <v>72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8.8632117381535256</v>
      </c>
      <c r="AA43" s="23">
        <f>EXP(-LN(2)/25)*AA42+(1-EXP(-LN(2)/25))/(LN(2)/25)*Calculateur!V43*Calculateur!X43*VLOOKUP('Données projet'!$B$9,Paramètres!$A$1:$I$89,3,0)*0.475*44/12</f>
        <v>10.776899545487817</v>
      </c>
      <c r="AB43" s="23">
        <f>EXP(-LN(2)/2)*AB42+(1-EXP(-LN(2)/2))/(LN(2)/2)*V43*Y43*VLOOKUP('Données projet'!$B$9,Paramètres!$A$1:$I$89,3,0)*0.475*44/12</f>
        <v>0.41481773938476002</v>
      </c>
      <c r="AC43" s="24">
        <f t="shared" si="3"/>
        <v>20.054929023026101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61.185610857702478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213</v>
      </c>
      <c r="AG43" s="13">
        <f>VLOOKUP(A43,'Données projet'!$A$61:$I$81,9,0)</f>
        <v>10.8</v>
      </c>
      <c r="AH43" s="13">
        <f t="array" ref="AH43">INDEX(AG:AG,MIN(IF(ISNUMBER(AG43:AG239),ROW(AG43:AG239),"")))</f>
        <v>10.8</v>
      </c>
      <c r="AI43" s="14">
        <f>IF('Données projet'!$A$62&gt;35,AI42+AH43-AQ42,IF(A43&lt;'Données projet'!$A$62,$AF$205^A43,IF(A43='Données projet'!$A$62,'Données projet'!$B$62,AI42+AH43-AQ42)))</f>
        <v>213.00000000000003</v>
      </c>
      <c r="AJ43" s="14">
        <f>AI43*VLOOKUP('Données projet'!$B$10,Paramètres!$A$1:$I$89,3,0)*VLOOKUP('Données projet'!$B$10,Paramètres!$A$1:$I$89,5,0)</f>
        <v>186.07680000000005</v>
      </c>
      <c r="AK43" s="14">
        <f t="shared" si="35"/>
        <v>46.671538591528673</v>
      </c>
      <c r="AL43" s="22">
        <f t="shared" si="4"/>
        <v>405.37002304691242</v>
      </c>
      <c r="AM43" s="62">
        <f t="shared" si="5"/>
        <v>666.38392952515483</v>
      </c>
      <c r="AN43" s="62">
        <f ca="1">AVERAGE(OFFSET($AM$3,0,0,'Données projet'!$E$10+1,1))-AVERAGE(OFFSET($H$3,0,0,'Données projet'!$E$10+1,1))</f>
        <v>335.71510570470264</v>
      </c>
      <c r="AO43" s="62">
        <f t="shared" si="36"/>
        <v>401.61823018046482</v>
      </c>
      <c r="AP43" s="16">
        <f>IF(ISNA(VLOOKUP(A43,'Données projet'!$A$61:$I$81,3,0)),0,VLOOKUP(A43,'Données projet'!$A$61:$I$81,3,0))</f>
        <v>6</v>
      </c>
      <c r="AQ43" s="16">
        <f>IF(ISNA(VLOOKUP(A43,'Données projet'!$A$61:$I$81,4,0)),0,VLOOKUP(A43,'Données projet'!$A$61:$I$81,4,0))</f>
        <v>39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19.387191978579168</v>
      </c>
      <c r="AW43" s="23">
        <f>EXP(-LN(2)/2)*AW42+(1-EXP(-LN(2)/2))/(LN(2)/2)*AQ43*AT43*VLOOKUP('Données projet'!$B$10,Paramètres!$A$1:$I$89,3,0)*0.475*44/12</f>
        <v>0.57082837758294191</v>
      </c>
      <c r="AX43" s="23">
        <f t="shared" si="6"/>
        <v>19.958020356162109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61.185610857702478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175</v>
      </c>
      <c r="BB43" s="13">
        <f>VLOOKUP(A43,'Données projet'!$A$87:$I$107,9,0)</f>
        <v>11.2</v>
      </c>
      <c r="BC43" s="13">
        <f t="array" ref="BC43">INDEX(BB:BB,MIN(IF(ISNUMBER(BB43:BB239),ROW(BB43:BB239),"")))</f>
        <v>11.2</v>
      </c>
      <c r="BD43" s="13">
        <f>IF('Données projet'!$A$88&gt;35,BD42+BC43-BL42,IF(A43&lt;'Données projet'!$A$88,$BA$205^A43,IF(A43='Données projet'!$A$88,'Données projet'!$B$88,BD42+BC43-BL42)))</f>
        <v>175</v>
      </c>
      <c r="BE43" s="14">
        <f>BD43*VLOOKUP('Données projet'!$B$11,Paramètres!$A$1:$I$89,3,0)*VLOOKUP('Données projet'!$B$11,Paramètres!$A$1:$I$89,5,0)</f>
        <v>158.34</v>
      </c>
      <c r="BF43" s="14">
        <f t="shared" si="37"/>
        <v>40.467870812652819</v>
      </c>
      <c r="BG43" s="22">
        <f t="shared" si="7"/>
        <v>346.25704166537031</v>
      </c>
      <c r="BH43" s="62">
        <f t="shared" si="8"/>
        <v>607.27094814361271</v>
      </c>
      <c r="BI43" s="62">
        <f ca="1">AVERAGE(OFFSET($BH$3,0,0,'Données projet'!$E$11+1,1))-AVERAGE(OFFSET($H$3,0,0,'Données projet'!$E$11+1,1))</f>
        <v>462.677457131175</v>
      </c>
      <c r="BJ43" s="62">
        <f t="shared" si="38"/>
        <v>291.78368401945909</v>
      </c>
      <c r="BK43" s="16">
        <f>IF(ISNA(VLOOKUP(A43,'Données projet'!$A$87:$I$107,3,0)),0,VLOOKUP(A43,'Données projet'!$A$87:$I$107,3,0))</f>
        <v>5</v>
      </c>
      <c r="BL43" s="16">
        <f>IF(ISNA(VLOOKUP(A43,'Données projet'!$A$87:$I$107,4,0)),0,VLOOKUP(A43,'Données projet'!$A$87:$I$107,4,0))</f>
        <v>28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6.9195800761216617</v>
      </c>
      <c r="BR43" s="23">
        <f>EXP(-LN(2)/2)*BR42+(1-EXP(-LN(2)/2))/(LN(2)/2)*BL43*BO43*VLOOKUP('Données projet'!$B$11,Paramètres!$A$1:$I$89,3,0)*0.475*44/12</f>
        <v>0.46593045764242641</v>
      </c>
      <c r="BS43" s="24">
        <f t="shared" si="9"/>
        <v>7.3855105337640881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61.185610857702478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360</v>
      </c>
      <c r="BW43" s="13">
        <f>VLOOKUP(A43,'Données projet'!$A$113:$I$133,9,0)</f>
        <v>10.199999999999999</v>
      </c>
      <c r="BX43" s="13">
        <f t="array" ref="BX43">INDEX(BW:BW,MIN(IF(ISNUMBER(BW43:BW239),ROW(BW43:BW239),"")))</f>
        <v>10.199999999999999</v>
      </c>
      <c r="BY43" s="13">
        <f>IF('Données projet'!$A$114&gt;35,BY42+BX43-CG42,IF(A43&lt;'Données projet'!$A$114,$BV$205^A43,IF(A43='Données projet'!$A$114,'Données projet'!$B$114,BY42+BX43-CG42)))</f>
        <v>360.00000000000011</v>
      </c>
      <c r="BZ43" s="14">
        <f>BY43*VLOOKUP('Données projet'!$B$12,Paramètres!$A$1:$I$89,3,0)*VLOOKUP('Données projet'!$B$12,Paramètres!$A$1:$I$89,5,0)</f>
        <v>196.56000000000006</v>
      </c>
      <c r="CA43" s="14">
        <f t="shared" si="39"/>
        <v>48.987398161128134</v>
      </c>
      <c r="CB43" s="22">
        <f t="shared" si="10"/>
        <v>427.66171846396492</v>
      </c>
      <c r="CC43" s="62">
        <f t="shared" si="11"/>
        <v>688.67562494220738</v>
      </c>
      <c r="CD43" s="62">
        <f ca="1">AVERAGE(OFFSET($CC$3,0,0,'Données projet'!$E$12+1,1))-AVERAGE(OFFSET($H$3,0,0,'Données projet'!$E$12+1,1))</f>
        <v>302.37244372118971</v>
      </c>
      <c r="CE43" s="62">
        <f t="shared" si="40"/>
        <v>439.56450354660171</v>
      </c>
      <c r="CF43" s="16">
        <f>IF(ISNA(VLOOKUP(A43,'Données projet'!$A$113:$I$133,3,0)),0,VLOOKUP(A43,'Données projet'!$A$113:$I$133,3,0))</f>
        <v>7</v>
      </c>
      <c r="CG43" s="16">
        <f>IF(ISNA(VLOOKUP(A43,'Données projet'!$A$113:$I$133,4,0)),0,VLOOKUP(A43,'Données projet'!$A$113:$I$133,4,0))</f>
        <v>28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6.1831726733178751</v>
      </c>
      <c r="CL43" s="23">
        <f>EXP(-LN(2)/25)*CL42+(1-EXP(-LN(2)/25))/(LN(2)/25)*Calculateur!CG43*Calculateur!CI43*VLOOKUP('Données projet'!$B$12,Paramètres!$A$1:$I$89,3,0)*0.475*44/12</f>
        <v>12.810079838429591</v>
      </c>
      <c r="CM43" s="23">
        <f>EXP(-LN(2)/2)*CM42+(1-EXP(-LN(2)/2))/(LN(2)/2)*CG43*CJ43*VLOOKUP('Données projet'!$B$12,Paramètres!$A$1:$I$89,3,0)*0.475*44/12</f>
        <v>0.50159636360076376</v>
      </c>
      <c r="CN43" s="24">
        <f t="shared" si="12"/>
        <v>19.494848875348229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61.185610857702478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191</v>
      </c>
      <c r="CR43" s="13">
        <f>VLOOKUP(A43,'Données projet'!$A$139:$I$159,9,0)</f>
        <v>9.6</v>
      </c>
      <c r="CS43" s="13">
        <f t="array" ref="CS43">INDEX(CR:CR,MIN(IF(ISNUMBER(CR43:CR239),ROW(CR43:CR239),"")))</f>
        <v>9.6</v>
      </c>
      <c r="CT43" s="13">
        <f>IF('Données projet'!$A$140&gt;35,CT42+CS43-DB42,IF(A43&lt;'Données projet'!$A$140,$CQ$205^A43,IF(A43='Données projet'!$A$140,'Données projet'!$B$140,CT42+CS43-DB42)))</f>
        <v>190.99999999999994</v>
      </c>
      <c r="CU43" s="18">
        <f>CT43*VLOOKUP('Données projet'!$B$13,Paramètres!$A$1:$I$89,3,0)*VLOOKUP('Données projet'!$B$13,Paramètres!$A$1:$I$89,5,0)</f>
        <v>140.04119999999995</v>
      </c>
      <c r="CV43" s="14">
        <f t="shared" si="41"/>
        <v>36.306443674821772</v>
      </c>
      <c r="CW43" s="22">
        <f t="shared" si="13"/>
        <v>307.1388127336478</v>
      </c>
      <c r="CX43" s="62">
        <f t="shared" si="14"/>
        <v>568.15271921189014</v>
      </c>
      <c r="CY43" s="62">
        <f ca="1">AVERAGE(OFFSET($CX$3,0,0,'Données projet'!$E$13+1,1))-AVERAGE(OFFSET($H$3,0,0,'Données projet'!$E$13+1,1))</f>
        <v>300.12722359176314</v>
      </c>
      <c r="CZ43" s="62">
        <f t="shared" si="42"/>
        <v>313.35115626175946</v>
      </c>
      <c r="DA43" s="16">
        <f>IF(ISNA(VLOOKUP(A43,'Données projet'!$A$139:$I$159,3,0)),0,VLOOKUP(A43,'Données projet'!$A$139:$I$159,3,0))</f>
        <v>5</v>
      </c>
      <c r="DB43" s="16">
        <f>IF(ISNA(VLOOKUP(A43,'Données projet'!$A$139:$I$159,4,0)),0,VLOOKUP(A43,'Données projet'!$A$139:$I$159,4,0))</f>
        <v>33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9.1044527520829828</v>
      </c>
      <c r="DH43" s="23">
        <f>EXP(-LN(2)/2)*DH42+(1-EXP(-LN(2)/2))/(LN(2)/2)*DB43*DE43*VLOOKUP('Données projet'!$B$13,Paramètres!$A$1:$I$89,3,0)*0.475*44/12</f>
        <v>0.47064403486739742</v>
      </c>
      <c r="DI43" s="24">
        <f t="shared" si="15"/>
        <v>9.5750967869503807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61.185610857702478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61.185610857702478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61.185610857702478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61.185610857702478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61.185610857702478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3.55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13.016666666666666</v>
      </c>
      <c r="H44" s="70">
        <f t="shared" si="1"/>
        <v>204.6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61.338520803299396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22.8</v>
      </c>
      <c r="N44" s="14">
        <f>IF('Données projet'!$A$36&gt;35,N43+M44-V43,IF(A44&lt;'Données projet'!$A$36,$K$205^A44,IF(A44='Données projet'!$A$36,'Données projet'!$B$36,N43+M44-V43)))</f>
        <v>514.80000000000018</v>
      </c>
      <c r="O44" s="14">
        <f>N44*VLOOKUP('Données projet'!$B$9,Paramètres!$A$1:$I$89,3,0)*VLOOKUP('Données projet'!$B$9,Paramètres!$A$1:$I$89,5,0)</f>
        <v>287.77320000000009</v>
      </c>
      <c r="P44" s="14">
        <f t="shared" si="33"/>
        <v>68.607082381743922</v>
      </c>
      <c r="Q44" s="22">
        <f t="shared" si="53"/>
        <v>620.69565848153741</v>
      </c>
      <c r="R44" s="62">
        <f t="shared" si="0"/>
        <v>882.27023476030183</v>
      </c>
      <c r="S44" s="62">
        <f ca="1">AVERAGE(OFFSET($R$3,0,0,'Données projet'!$E$9+1,1))-AVERAGE(OFFSET($H$3,0,0,'Données projet'!$E$9+1,1))</f>
        <v>455.44531340185631</v>
      </c>
      <c r="T44" s="62">
        <f t="shared" si="34"/>
        <v>560.14861617544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8.6894095619936937</v>
      </c>
      <c r="AA44" s="23">
        <f>EXP(-LN(2)/25)*AA43+(1-EXP(-LN(2)/25))/(LN(2)/25)*Calculateur!V44*Calculateur!X44*VLOOKUP('Données projet'!$B$9,Paramètres!$A$1:$I$89,3,0)*0.475*44/12</f>
        <v>10.482204660683937</v>
      </c>
      <c r="AB44" s="23">
        <f>EXP(-LN(2)/2)*AB43+(1-EXP(-LN(2)/2))/(LN(2)/2)*V44*Y44*VLOOKUP('Données projet'!$B$9,Paramètres!$A$1:$I$89,3,0)*0.475*44/12</f>
        <v>0.29332043647543782</v>
      </c>
      <c r="AC44" s="24">
        <f t="shared" si="3"/>
        <v>19.464934659153069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61.338520803299396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9.8000000000000007</v>
      </c>
      <c r="AI44" s="14">
        <f>IF('Données projet'!$A$62&gt;35,AI43+AH44-AQ43,IF(A44&lt;'Données projet'!$A$62,$AF$205^A44,IF(A44='Données projet'!$A$62,'Données projet'!$B$62,AI43+AH44-AQ43)))</f>
        <v>183.80000000000004</v>
      </c>
      <c r="AJ44" s="14">
        <f>AI44*VLOOKUP('Données projet'!$B$10,Paramètres!$A$1:$I$89,3,0)*VLOOKUP('Données projet'!$B$10,Paramètres!$A$1:$I$89,5,0)</f>
        <v>160.56768000000005</v>
      </c>
      <c r="AK44" s="14">
        <f t="shared" si="35"/>
        <v>40.970530810309882</v>
      </c>
      <c r="AL44" s="22">
        <f t="shared" si="4"/>
        <v>351.0123838279564</v>
      </c>
      <c r="AM44" s="62">
        <f t="shared" si="5"/>
        <v>612.58696010672088</v>
      </c>
      <c r="AN44" s="62">
        <f ca="1">AVERAGE(OFFSET($AM$3,0,0,'Données projet'!$E$10+1,1))-AVERAGE(OFFSET($H$3,0,0,'Données projet'!$E$10+1,1))</f>
        <v>335.71510570470264</v>
      </c>
      <c r="AO44" s="62">
        <f t="shared" si="36"/>
        <v>401.61823018046482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18.857048194396803</v>
      </c>
      <c r="AW44" s="23">
        <f>EXP(-LN(2)/2)*AW43+(1-EXP(-LN(2)/2))/(LN(2)/2)*AQ44*AT44*VLOOKUP('Données projet'!$B$10,Paramètres!$A$1:$I$89,3,0)*0.475*44/12</f>
        <v>0.40363661668261325</v>
      </c>
      <c r="AX44" s="23">
        <f t="shared" si="6"/>
        <v>19.260684811079418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61.338520803299396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11.4</v>
      </c>
      <c r="BD44" s="13">
        <f>IF('Données projet'!$A$88&gt;35,BD43+BC44-BL43,IF(A44&lt;'Données projet'!$A$88,$BA$205^A44,IF(A44='Données projet'!$A$88,'Données projet'!$B$88,BD43+BC44-BL43)))</f>
        <v>158.4</v>
      </c>
      <c r="BE44" s="14">
        <f>BD44*VLOOKUP('Données projet'!$B$11,Paramètres!$A$1:$I$89,3,0)*VLOOKUP('Données projet'!$B$11,Paramètres!$A$1:$I$89,5,0)</f>
        <v>143.32032000000001</v>
      </c>
      <c r="BF44" s="14">
        <f t="shared" si="37"/>
        <v>37.056603420232349</v>
      </c>
      <c r="BG44" s="22">
        <f t="shared" si="7"/>
        <v>314.15647495690467</v>
      </c>
      <c r="BH44" s="62">
        <f t="shared" si="8"/>
        <v>575.73105123566916</v>
      </c>
      <c r="BI44" s="62">
        <f ca="1">AVERAGE(OFFSET($BH$3,0,0,'Données projet'!$E$11+1,1))-AVERAGE(OFFSET($H$3,0,0,'Données projet'!$E$11+1,1))</f>
        <v>462.677457131175</v>
      </c>
      <c r="BJ44" s="62">
        <f t="shared" si="38"/>
        <v>291.78368401945909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6.7303637950552133</v>
      </c>
      <c r="BR44" s="23">
        <f>EXP(-LN(2)/2)*BR43+(1-EXP(-LN(2)/2))/(LN(2)/2)*BL44*BO44*VLOOKUP('Données projet'!$B$11,Paramètres!$A$1:$I$89,3,0)*0.475*44/12</f>
        <v>0.32946258616031121</v>
      </c>
      <c r="BS44" s="24">
        <f t="shared" si="9"/>
        <v>7.0598263812155242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61.338520803299396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7.4</v>
      </c>
      <c r="BY44" s="13">
        <f>IF('Données projet'!$A$114&gt;35,BY43+BX44-CG43,IF(A44&lt;'Données projet'!$A$114,$BV$205^A44,IF(A44='Données projet'!$A$114,'Données projet'!$B$114,BY43+BX44-CG43)))</f>
        <v>339.40000000000009</v>
      </c>
      <c r="BZ44" s="14">
        <f>BY44*VLOOKUP('Données projet'!$B$12,Paramètres!$A$1:$I$89,3,0)*VLOOKUP('Données projet'!$B$12,Paramètres!$A$1:$I$89,5,0)</f>
        <v>185.31240000000005</v>
      </c>
      <c r="CA44" s="14">
        <f t="shared" si="39"/>
        <v>46.50208910594877</v>
      </c>
      <c r="CB44" s="22">
        <f t="shared" si="10"/>
        <v>403.74356852619422</v>
      </c>
      <c r="CC44" s="62">
        <f t="shared" si="11"/>
        <v>665.31814480495859</v>
      </c>
      <c r="CD44" s="62">
        <f ca="1">AVERAGE(OFFSET($CC$3,0,0,'Données projet'!$E$12+1,1))-AVERAGE(OFFSET($H$3,0,0,'Données projet'!$E$12+1,1))</f>
        <v>302.37244372118971</v>
      </c>
      <c r="CE44" s="62">
        <f t="shared" si="40"/>
        <v>439.56450354660171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6.0619244285570515</v>
      </c>
      <c r="CL44" s="23">
        <f>EXP(-LN(2)/25)*CL43+(1-EXP(-LN(2)/25))/(LN(2)/25)*Calculateur!CG44*Calculateur!CI44*VLOOKUP('Données projet'!$B$12,Paramètres!$A$1:$I$89,3,0)*0.475*44/12</f>
        <v>12.459787531594912</v>
      </c>
      <c r="CM44" s="23">
        <f>EXP(-LN(2)/2)*CM43+(1-EXP(-LN(2)/2))/(LN(2)/2)*CG44*CJ44*VLOOKUP('Données projet'!$B$12,Paramètres!$A$1:$I$89,3,0)*0.475*44/12</f>
        <v>0.35468219012061319</v>
      </c>
      <c r="CN44" s="24">
        <f t="shared" si="12"/>
        <v>18.876394150272578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61.338520803299396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8.6</v>
      </c>
      <c r="CT44" s="13">
        <f>IF('Données projet'!$A$140&gt;35,CT43+CS44-DB43,IF(A44&lt;'Données projet'!$A$140,$CQ$205^A44,IF(A44='Données projet'!$A$140,'Données projet'!$B$140,CT43+CS44-DB43)))</f>
        <v>166.59999999999994</v>
      </c>
      <c r="CU44" s="18">
        <f>CT44*VLOOKUP('Données projet'!$B$13,Paramètres!$A$1:$I$89,3,0)*VLOOKUP('Données projet'!$B$13,Paramètres!$A$1:$I$89,5,0)</f>
        <v>122.15111999999995</v>
      </c>
      <c r="CV44" s="14">
        <f t="shared" si="41"/>
        <v>32.176192733533334</v>
      </c>
      <c r="CW44" s="22">
        <f t="shared" si="13"/>
        <v>268.78673634423711</v>
      </c>
      <c r="CX44" s="62">
        <f t="shared" si="14"/>
        <v>530.3613126230016</v>
      </c>
      <c r="CY44" s="62">
        <f ca="1">AVERAGE(OFFSET($CX$3,0,0,'Données projet'!$E$13+1,1))-AVERAGE(OFFSET($H$3,0,0,'Données projet'!$E$13+1,1))</f>
        <v>300.12722359176314</v>
      </c>
      <c r="CZ44" s="62">
        <f t="shared" si="42"/>
        <v>313.35115626175946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8.8554910127949125</v>
      </c>
      <c r="DH44" s="23">
        <f>EXP(-LN(2)/2)*DH43+(1-EXP(-LN(2)/2))/(LN(2)/2)*DB44*DE44*VLOOKUP('Données projet'!$B$13,Paramètres!$A$1:$I$89,3,0)*0.475*44/12</f>
        <v>0.33279558857973468</v>
      </c>
      <c r="DI44" s="24">
        <f t="shared" si="15"/>
        <v>9.1882866013746476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61.338520803299396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61.338520803299396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61.338520803299396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61.338520803299396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61.338520803299396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3.55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13.016666666666666</v>
      </c>
      <c r="H45" s="70">
        <f t="shared" si="1"/>
        <v>204.6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61.488778103195628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22.8</v>
      </c>
      <c r="N45" s="14">
        <f>IF('Données projet'!$A$36&gt;35,N44+M45-V44,IF(A45&lt;'Données projet'!$A$36,$K$205^A45,IF(A45='Données projet'!$A$36,'Données projet'!$B$36,N44+M45-V44)))</f>
        <v>537.60000000000014</v>
      </c>
      <c r="O45" s="14">
        <f>N45*VLOOKUP('Données projet'!$B$9,Paramètres!$A$1:$I$89,3,0)*VLOOKUP('Données projet'!$B$9,Paramètres!$A$1:$I$89,5,0)</f>
        <v>300.5184000000001</v>
      </c>
      <c r="P45" s="14">
        <f t="shared" si="33"/>
        <v>71.285129105116411</v>
      </c>
      <c r="Q45" s="22">
        <f t="shared" si="53"/>
        <v>647.55781319141124</v>
      </c>
      <c r="R45" s="62">
        <f t="shared" si="0"/>
        <v>909.68333290312853</v>
      </c>
      <c r="S45" s="62">
        <f ca="1">AVERAGE(OFFSET($R$3,0,0,'Données projet'!$E$9+1,1))-AVERAGE(OFFSET($H$3,0,0,'Données projet'!$E$9+1,1))</f>
        <v>455.44531340185631</v>
      </c>
      <c r="T45" s="62">
        <f t="shared" si="34"/>
        <v>560.14861617544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8.5190155404994972</v>
      </c>
      <c r="AA45" s="23">
        <f>EXP(-LN(2)/25)*AA44+(1-EXP(-LN(2)/25))/(LN(2)/25)*Calculateur!V45*Calculateur!X45*VLOOKUP('Données projet'!$B$9,Paramètres!$A$1:$I$89,3,0)*0.475*44/12</f>
        <v>10.195568223002349</v>
      </c>
      <c r="AB45" s="23">
        <f>EXP(-LN(2)/2)*AB44+(1-EXP(-LN(2)/2))/(LN(2)/2)*V45*Y45*VLOOKUP('Données projet'!$B$9,Paramètres!$A$1:$I$89,3,0)*0.475*44/12</f>
        <v>0.20740886969238004</v>
      </c>
      <c r="AC45" s="24">
        <f t="shared" si="3"/>
        <v>18.921992633194225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61.488778103195628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9.8000000000000007</v>
      </c>
      <c r="AI45" s="14">
        <f>IF('Données projet'!$A$62&gt;35,AI44+AH45-AQ44,IF(A45&lt;'Données projet'!$A$62,$AF$205^A45,IF(A45='Données projet'!$A$62,'Données projet'!$B$62,AI44+AH45-AQ44)))</f>
        <v>193.60000000000005</v>
      </c>
      <c r="AJ45" s="14">
        <f>AI45*VLOOKUP('Données projet'!$B$10,Paramètres!$A$1:$I$89,3,0)*VLOOKUP('Données projet'!$B$10,Paramètres!$A$1:$I$89,5,0)</f>
        <v>169.12896000000006</v>
      </c>
      <c r="AK45" s="14">
        <f t="shared" si="35"/>
        <v>42.894881315146776</v>
      </c>
      <c r="AL45" s="22">
        <f t="shared" si="4"/>
        <v>369.27485695721407</v>
      </c>
      <c r="AM45" s="62">
        <f t="shared" si="5"/>
        <v>631.40037666893136</v>
      </c>
      <c r="AN45" s="62">
        <f ca="1">AVERAGE(OFFSET($AM$3,0,0,'Données projet'!$E$10+1,1))-AVERAGE(OFFSET($H$3,0,0,'Données projet'!$E$10+1,1))</f>
        <v>335.71510570470264</v>
      </c>
      <c r="AO45" s="62">
        <f t="shared" si="36"/>
        <v>401.61823018046482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18.341401219871958</v>
      </c>
      <c r="AW45" s="23">
        <f>EXP(-LN(2)/2)*AW44+(1-EXP(-LN(2)/2))/(LN(2)/2)*AQ45*AT45*VLOOKUP('Données projet'!$B$10,Paramètres!$A$1:$I$89,3,0)*0.475*44/12</f>
        <v>0.28541418879147096</v>
      </c>
      <c r="AX45" s="23">
        <f t="shared" si="6"/>
        <v>18.626815408663429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61.488778103195628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11.4</v>
      </c>
      <c r="BD45" s="13">
        <f>IF('Données projet'!$A$88&gt;35,BD44+BC45-BL44,IF(A45&lt;'Données projet'!$A$88,$BA$205^A45,IF(A45='Données projet'!$A$88,'Données projet'!$B$88,BD44+BC45-BL44)))</f>
        <v>169.8</v>
      </c>
      <c r="BE45" s="14">
        <f>BD45*VLOOKUP('Données projet'!$B$11,Paramètres!$A$1:$I$89,3,0)*VLOOKUP('Données projet'!$B$11,Paramètres!$A$1:$I$89,5,0)</f>
        <v>153.63504</v>
      </c>
      <c r="BF45" s="14">
        <f t="shared" si="37"/>
        <v>39.403506785222667</v>
      </c>
      <c r="BG45" s="22">
        <f t="shared" si="7"/>
        <v>336.20880231759617</v>
      </c>
      <c r="BH45" s="62">
        <f t="shared" si="8"/>
        <v>598.3343220293134</v>
      </c>
      <c r="BI45" s="62">
        <f ca="1">AVERAGE(OFFSET($BH$3,0,0,'Données projet'!$E$11+1,1))-AVERAGE(OFFSET($H$3,0,0,'Données projet'!$E$11+1,1))</f>
        <v>462.677457131175</v>
      </c>
      <c r="BJ45" s="62">
        <f t="shared" si="38"/>
        <v>291.78368401945909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6.5463216431449789</v>
      </c>
      <c r="BR45" s="23">
        <f>EXP(-LN(2)/2)*BR44+(1-EXP(-LN(2)/2))/(LN(2)/2)*BL45*BO45*VLOOKUP('Données projet'!$B$11,Paramètres!$A$1:$I$89,3,0)*0.475*44/12</f>
        <v>0.23296522882121326</v>
      </c>
      <c r="BS45" s="24">
        <f t="shared" si="9"/>
        <v>6.7792868719661925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61.488778103195628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7.4</v>
      </c>
      <c r="BY45" s="13">
        <f>IF('Données projet'!$A$114&gt;35,BY44+BX45-CG44,IF(A45&lt;'Données projet'!$A$114,$BV$205^A45,IF(A45='Données projet'!$A$114,'Données projet'!$B$114,BY44+BX45-CG44)))</f>
        <v>346.80000000000007</v>
      </c>
      <c r="BZ45" s="14">
        <f>BY45*VLOOKUP('Données projet'!$B$12,Paramètres!$A$1:$I$89,3,0)*VLOOKUP('Données projet'!$B$12,Paramètres!$A$1:$I$89,5,0)</f>
        <v>189.35280000000006</v>
      </c>
      <c r="CA45" s="14">
        <f t="shared" si="39"/>
        <v>47.396837717691596</v>
      </c>
      <c r="CB45" s="22">
        <f t="shared" si="10"/>
        <v>412.33895235831295</v>
      </c>
      <c r="CC45" s="62">
        <f t="shared" si="11"/>
        <v>674.4644720700303</v>
      </c>
      <c r="CD45" s="62">
        <f ca="1">AVERAGE(OFFSET($CC$3,0,0,'Données projet'!$E$12+1,1))-AVERAGE(OFFSET($H$3,0,0,'Données projet'!$E$12+1,1))</f>
        <v>302.37244372118971</v>
      </c>
      <c r="CE45" s="62">
        <f t="shared" si="40"/>
        <v>439.56450354660171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5.9430537879218601</v>
      </c>
      <c r="CL45" s="23">
        <f>EXP(-LN(2)/25)*CL44+(1-EXP(-LN(2)/25))/(LN(2)/25)*Calculateur!CG45*Calculateur!CI45*VLOOKUP('Données projet'!$B$12,Paramètres!$A$1:$I$89,3,0)*0.475*44/12</f>
        <v>12.119073986311701</v>
      </c>
      <c r="CM45" s="23">
        <f>EXP(-LN(2)/2)*CM44+(1-EXP(-LN(2)/2))/(LN(2)/2)*CG45*CJ45*VLOOKUP('Données projet'!$B$12,Paramètres!$A$1:$I$89,3,0)*0.475*44/12</f>
        <v>0.25079818180038188</v>
      </c>
      <c r="CN45" s="24">
        <f t="shared" si="12"/>
        <v>18.31292595603394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61.488778103195628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8.6</v>
      </c>
      <c r="CT45" s="13">
        <f>IF('Données projet'!$A$140&gt;35,CT44+CS45-DB44,IF(A45&lt;'Données projet'!$A$140,$CQ$205^A45,IF(A45='Données projet'!$A$140,'Données projet'!$B$140,CT44+CS45-DB44)))</f>
        <v>175.19999999999993</v>
      </c>
      <c r="CU45" s="18">
        <f>CT45*VLOOKUP('Données projet'!$B$13,Paramètres!$A$1:$I$89,3,0)*VLOOKUP('Données projet'!$B$13,Paramètres!$A$1:$I$89,5,0)</f>
        <v>128.45663999999996</v>
      </c>
      <c r="CV45" s="14">
        <f t="shared" si="41"/>
        <v>33.639486644680694</v>
      </c>
      <c r="CW45" s="22">
        <f t="shared" si="13"/>
        <v>282.31742057281878</v>
      </c>
      <c r="CX45" s="62">
        <f t="shared" si="14"/>
        <v>544.44294028453601</v>
      </c>
      <c r="CY45" s="62">
        <f ca="1">AVERAGE(OFFSET($CX$3,0,0,'Données projet'!$E$13+1,1))-AVERAGE(OFFSET($H$3,0,0,'Données projet'!$E$13+1,1))</f>
        <v>300.12722359176314</v>
      </c>
      <c r="CZ45" s="62">
        <f t="shared" si="42"/>
        <v>313.35115626175946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8.6133371453600027</v>
      </c>
      <c r="DH45" s="23">
        <f>EXP(-LN(2)/2)*DH44+(1-EXP(-LN(2)/2))/(LN(2)/2)*DB45*DE45*VLOOKUP('Données projet'!$B$13,Paramètres!$A$1:$I$89,3,0)*0.475*44/12</f>
        <v>0.23532201743369877</v>
      </c>
      <c r="DI45" s="24">
        <f t="shared" si="15"/>
        <v>8.8486591627937017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61.488778103195628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61.488778103195628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61.488778103195628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61.488778103195628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61.488778103195628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3.55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13.016666666666666</v>
      </c>
      <c r="H46" s="70">
        <f t="shared" si="1"/>
        <v>204.6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61.636428774863653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22.8</v>
      </c>
      <c r="N46" s="14">
        <f>IF('Données projet'!$A$36&gt;35,N45+M46-V45,IF(A46&lt;'Données projet'!$A$36,$K$205^A46,IF(A46='Données projet'!$A$36,'Données projet'!$B$36,N45+M46-V45)))</f>
        <v>560.40000000000009</v>
      </c>
      <c r="O46" s="14">
        <f>N46*VLOOKUP('Données projet'!$B$9,Paramètres!$A$1:$I$89,3,0)*VLOOKUP('Données projet'!$B$9,Paramètres!$A$1:$I$89,5,0)</f>
        <v>313.26360000000005</v>
      </c>
      <c r="P46" s="14">
        <f t="shared" si="33"/>
        <v>73.949983766039026</v>
      </c>
      <c r="Q46" s="22">
        <f t="shared" si="53"/>
        <v>674.39699172585131</v>
      </c>
      <c r="R46" s="62">
        <f t="shared" si="0"/>
        <v>937.06389723368466</v>
      </c>
      <c r="S46" s="62">
        <f ca="1">AVERAGE(OFFSET($R$3,0,0,'Données projet'!$E$9+1,1))-AVERAGE(OFFSET($H$3,0,0,'Données projet'!$E$9+1,1))</f>
        <v>455.44531340185631</v>
      </c>
      <c r="T46" s="62">
        <f t="shared" si="34"/>
        <v>560.14861617544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8.3519628418367109</v>
      </c>
      <c r="AA46" s="23">
        <f>EXP(-LN(2)/25)*AA45+(1-EXP(-LN(2)/25))/(LN(2)/25)*Calculateur!V46*Calculateur!X46*VLOOKUP('Données projet'!$B$9,Paramètres!$A$1:$I$89,3,0)*0.475*44/12</f>
        <v>9.9167698737827195</v>
      </c>
      <c r="AB46" s="23">
        <f>EXP(-LN(2)/2)*AB45+(1-EXP(-LN(2)/2))/(LN(2)/2)*V46*Y46*VLOOKUP('Données projet'!$B$9,Paramètres!$A$1:$I$89,3,0)*0.475*44/12</f>
        <v>0.14666021823771894</v>
      </c>
      <c r="AC46" s="24">
        <f t="shared" si="3"/>
        <v>18.415392933857149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61.636428774863653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9.8000000000000007</v>
      </c>
      <c r="AI46" s="14">
        <f>IF('Données projet'!$A$62&gt;35,AI45+AH46-AQ45,IF(A46&lt;'Données projet'!$A$62,$AF$205^A46,IF(A46='Données projet'!$A$62,'Données projet'!$B$62,AI45+AH46-AQ45)))</f>
        <v>203.40000000000006</v>
      </c>
      <c r="AJ46" s="14">
        <f>AI46*VLOOKUP('Données projet'!$B$10,Paramètres!$A$1:$I$89,3,0)*VLOOKUP('Données projet'!$B$10,Paramètres!$A$1:$I$89,5,0)</f>
        <v>177.69024000000007</v>
      </c>
      <c r="AK46" s="14">
        <f t="shared" si="35"/>
        <v>44.807921499827692</v>
      </c>
      <c r="AL46" s="22">
        <f t="shared" si="4"/>
        <v>387.5176312788667</v>
      </c>
      <c r="AM46" s="62">
        <f t="shared" si="5"/>
        <v>650.18453678670016</v>
      </c>
      <c r="AN46" s="62">
        <f ca="1">AVERAGE(OFFSET($AM$3,0,0,'Données projet'!$E$10+1,1))-AVERAGE(OFFSET($H$3,0,0,'Données projet'!$E$10+1,1))</f>
        <v>335.71510570470264</v>
      </c>
      <c r="AO46" s="62">
        <f t="shared" si="36"/>
        <v>401.61823018046482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17.839854638982189</v>
      </c>
      <c r="AW46" s="23">
        <f>EXP(-LN(2)/2)*AW45+(1-EXP(-LN(2)/2))/(LN(2)/2)*AQ46*AT46*VLOOKUP('Données projet'!$B$10,Paramètres!$A$1:$I$89,3,0)*0.475*44/12</f>
        <v>0.20181830834130662</v>
      </c>
      <c r="AX46" s="23">
        <f t="shared" si="6"/>
        <v>18.041672947323494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61.636428774863653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11.4</v>
      </c>
      <c r="BD46" s="13">
        <f>IF('Données projet'!$A$88&gt;35,BD45+BC46-BL45,IF(A46&lt;'Données projet'!$A$88,$BA$205^A46,IF(A46='Données projet'!$A$88,'Données projet'!$B$88,BD45+BC46-BL45)))</f>
        <v>181.20000000000002</v>
      </c>
      <c r="BE46" s="14">
        <f>BD46*VLOOKUP('Données projet'!$B$11,Paramètres!$A$1:$I$89,3,0)*VLOOKUP('Données projet'!$B$11,Paramètres!$A$1:$I$89,5,0)</f>
        <v>163.94976</v>
      </c>
      <c r="BF46" s="14">
        <f t="shared" si="37"/>
        <v>41.732126457893308</v>
      </c>
      <c r="BG46" s="22">
        <f t="shared" si="7"/>
        <v>358.22928558083089</v>
      </c>
      <c r="BH46" s="62">
        <f t="shared" si="8"/>
        <v>620.8961910886643</v>
      </c>
      <c r="BI46" s="62">
        <f ca="1">AVERAGE(OFFSET($BH$3,0,0,'Données projet'!$E$11+1,1))-AVERAGE(OFFSET($H$3,0,0,'Données projet'!$E$11+1,1))</f>
        <v>462.677457131175</v>
      </c>
      <c r="BJ46" s="62">
        <f t="shared" si="38"/>
        <v>291.78368401945909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6.3673121335570864</v>
      </c>
      <c r="BR46" s="23">
        <f>EXP(-LN(2)/2)*BR45+(1-EXP(-LN(2)/2))/(LN(2)/2)*BL46*BO46*VLOOKUP('Données projet'!$B$11,Paramètres!$A$1:$I$89,3,0)*0.475*44/12</f>
        <v>0.16473129308015563</v>
      </c>
      <c r="BS46" s="24">
        <f t="shared" si="9"/>
        <v>6.5320434266372418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61.636428774863653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7.4</v>
      </c>
      <c r="BY46" s="13">
        <f>IF('Données projet'!$A$114&gt;35,BY45+BX46-CG45,IF(A46&lt;'Données projet'!$A$114,$BV$205^A46,IF(A46='Données projet'!$A$114,'Données projet'!$B$114,BY45+BX46-CG45)))</f>
        <v>354.20000000000005</v>
      </c>
      <c r="BZ46" s="14">
        <f>BY46*VLOOKUP('Données projet'!$B$12,Paramètres!$A$1:$I$89,3,0)*VLOOKUP('Données projet'!$B$12,Paramètres!$A$1:$I$89,5,0)</f>
        <v>193.39320000000001</v>
      </c>
      <c r="CA46" s="14">
        <f t="shared" si="39"/>
        <v>48.28936658868006</v>
      </c>
      <c r="CB46" s="22">
        <f t="shared" si="10"/>
        <v>420.93047014195105</v>
      </c>
      <c r="CC46" s="62">
        <f t="shared" si="11"/>
        <v>683.59737564978445</v>
      </c>
      <c r="CD46" s="62">
        <f ca="1">AVERAGE(OFFSET($CC$3,0,0,'Données projet'!$E$12+1,1))-AVERAGE(OFFSET($H$3,0,0,'Données projet'!$E$12+1,1))</f>
        <v>302.37244372118971</v>
      </c>
      <c r="CE46" s="62">
        <f t="shared" si="40"/>
        <v>439.56450354660171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5.8265141280455932</v>
      </c>
      <c r="CL46" s="23">
        <f>EXP(-LN(2)/25)*CL45+(1-EXP(-LN(2)/25))/(LN(2)/25)*Calculateur!CG46*Calculateur!CI46*VLOOKUP('Données projet'!$B$12,Paramètres!$A$1:$I$89,3,0)*0.475*44/12</f>
        <v>11.787677270841606</v>
      </c>
      <c r="CM46" s="23">
        <f>EXP(-LN(2)/2)*CM45+(1-EXP(-LN(2)/2))/(LN(2)/2)*CG46*CJ46*VLOOKUP('Données projet'!$B$12,Paramètres!$A$1:$I$89,3,0)*0.475*44/12</f>
        <v>0.1773410950603066</v>
      </c>
      <c r="CN46" s="24">
        <f t="shared" si="12"/>
        <v>17.791532493947507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61.636428774863653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8.6</v>
      </c>
      <c r="CT46" s="13">
        <f>IF('Données projet'!$A$140&gt;35,CT45+CS46-DB45,IF(A46&lt;'Données projet'!$A$140,$CQ$205^A46,IF(A46='Données projet'!$A$140,'Données projet'!$B$140,CT45+CS46-DB45)))</f>
        <v>183.79999999999993</v>
      </c>
      <c r="CU46" s="18">
        <f>CT46*VLOOKUP('Données projet'!$B$13,Paramètres!$A$1:$I$89,3,0)*VLOOKUP('Données projet'!$B$13,Paramètres!$A$1:$I$89,5,0)</f>
        <v>134.76215999999997</v>
      </c>
      <c r="CV46" s="14">
        <f t="shared" si="41"/>
        <v>35.094440039276598</v>
      </c>
      <c r="CW46" s="22">
        <f t="shared" si="13"/>
        <v>295.83357840174</v>
      </c>
      <c r="CX46" s="62">
        <f t="shared" si="14"/>
        <v>558.5004839095734</v>
      </c>
      <c r="CY46" s="62">
        <f ca="1">AVERAGE(OFFSET($CX$3,0,0,'Données projet'!$E$13+1,1))-AVERAGE(OFFSET($H$3,0,0,'Données projet'!$E$13+1,1))</f>
        <v>300.12722359176314</v>
      </c>
      <c r="CZ46" s="62">
        <f t="shared" si="42"/>
        <v>313.35115626175946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8.377804988164419</v>
      </c>
      <c r="DH46" s="23">
        <f>EXP(-LN(2)/2)*DH45+(1-EXP(-LN(2)/2))/(LN(2)/2)*DB46*DE46*VLOOKUP('Données projet'!$B$13,Paramètres!$A$1:$I$89,3,0)*0.475*44/12</f>
        <v>0.16639779428986737</v>
      </c>
      <c r="DI46" s="24">
        <f t="shared" si="15"/>
        <v>8.5442027824542865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61.636428774863653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61.636428774863653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61.636428774863653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61.636428774863653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61.636428774863653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3.55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13.016666666666666</v>
      </c>
      <c r="H47" s="70">
        <f t="shared" si="1"/>
        <v>204.6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61.781518037475692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22.8</v>
      </c>
      <c r="N47" s="14">
        <f>IF('Données projet'!$A$36&gt;35,N46+M47-V46,IF(A47&lt;'Données projet'!$A$36,$K$205^A47,IF(A47='Données projet'!$A$36,'Données projet'!$B$36,N46+M47-V46)))</f>
        <v>583.20000000000005</v>
      </c>
      <c r="O47" s="14">
        <f>N47*VLOOKUP('Données projet'!$B$9,Paramètres!$A$1:$I$89,3,0)*VLOOKUP('Données projet'!$B$9,Paramètres!$A$1:$I$89,5,0)</f>
        <v>326.00880000000001</v>
      </c>
      <c r="P47" s="14">
        <f t="shared" si="33"/>
        <v>76.602244480772981</v>
      </c>
      <c r="Q47" s="22">
        <f t="shared" si="53"/>
        <v>701.2142358040129</v>
      </c>
      <c r="R47" s="62">
        <f t="shared" si="0"/>
        <v>964.41313527475711</v>
      </c>
      <c r="S47" s="62">
        <f ca="1">AVERAGE(OFFSET($R$3,0,0,'Données projet'!$E$9+1,1))-AVERAGE(OFFSET($H$3,0,0,'Données projet'!$E$9+1,1))</f>
        <v>455.44531340185631</v>
      </c>
      <c r="T47" s="62">
        <f t="shared" si="34"/>
        <v>560.14861617544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8.1881859447026173</v>
      </c>
      <c r="AA47" s="23">
        <f>EXP(-LN(2)/25)*AA46+(1-EXP(-LN(2)/25))/(LN(2)/25)*Calculateur!V47*Calculateur!X47*VLOOKUP('Données projet'!$B$9,Paramètres!$A$1:$I$89,3,0)*0.475*44/12</f>
        <v>9.6455952800838691</v>
      </c>
      <c r="AB47" s="23">
        <f>EXP(-LN(2)/2)*AB46+(1-EXP(-LN(2)/2))/(LN(2)/2)*V47*Y47*VLOOKUP('Données projet'!$B$9,Paramètres!$A$1:$I$89,3,0)*0.475*44/12</f>
        <v>0.10370443484619003</v>
      </c>
      <c r="AC47" s="24">
        <f t="shared" si="3"/>
        <v>17.937485659632674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61.781518037475692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9.8000000000000007</v>
      </c>
      <c r="AI47" s="14">
        <f>IF('Données projet'!$A$62&gt;35,AI46+AH47-AQ46,IF(A47&lt;'Données projet'!$A$62,$AF$205^A47,IF(A47='Données projet'!$A$62,'Données projet'!$B$62,AI46+AH47-AQ46)))</f>
        <v>213.20000000000007</v>
      </c>
      <c r="AJ47" s="14">
        <f>AI47*VLOOKUP('Données projet'!$B$10,Paramètres!$A$1:$I$89,3,0)*VLOOKUP('Données projet'!$B$10,Paramètres!$A$1:$I$89,5,0)</f>
        <v>186.25152000000008</v>
      </c>
      <c r="AK47" s="14">
        <f t="shared" si="35"/>
        <v>46.71025851515671</v>
      </c>
      <c r="AL47" s="22">
        <f t="shared" si="4"/>
        <v>405.7417642472314</v>
      </c>
      <c r="AM47" s="62">
        <f t="shared" si="5"/>
        <v>668.94066371797567</v>
      </c>
      <c r="AN47" s="62">
        <f ca="1">AVERAGE(OFFSET($AM$3,0,0,'Données projet'!$E$10+1,1))-AVERAGE(OFFSET($H$3,0,0,'Données projet'!$E$10+1,1))</f>
        <v>335.71510570470264</v>
      </c>
      <c r="AO47" s="62">
        <f t="shared" si="36"/>
        <v>401.61823018046482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17.352022875722039</v>
      </c>
      <c r="AW47" s="23">
        <f>EXP(-LN(2)/2)*AW46+(1-EXP(-LN(2)/2))/(LN(2)/2)*AQ47*AT47*VLOOKUP('Données projet'!$B$10,Paramètres!$A$1:$I$89,3,0)*0.475*44/12</f>
        <v>0.14270709439573548</v>
      </c>
      <c r="AX47" s="23">
        <f t="shared" si="6"/>
        <v>17.494729970117774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61.781518037475692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11.4</v>
      </c>
      <c r="BD47" s="13">
        <f>IF('Données projet'!$A$88&gt;35,BD46+BC47-BL46,IF(A47&lt;'Données projet'!$A$88,$BA$205^A47,IF(A47='Données projet'!$A$88,'Données projet'!$B$88,BD46+BC47-BL46)))</f>
        <v>192.60000000000002</v>
      </c>
      <c r="BE47" s="14">
        <f>BD47*VLOOKUP('Données projet'!$B$11,Paramètres!$A$1:$I$89,3,0)*VLOOKUP('Données projet'!$B$11,Paramètres!$A$1:$I$89,5,0)</f>
        <v>174.26447999999999</v>
      </c>
      <c r="BF47" s="14">
        <f t="shared" si="37"/>
        <v>44.043743683739521</v>
      </c>
      <c r="BG47" s="22">
        <f t="shared" si="7"/>
        <v>380.22015624917964</v>
      </c>
      <c r="BH47" s="62">
        <f t="shared" si="8"/>
        <v>643.41905571992379</v>
      </c>
      <c r="BI47" s="62">
        <f ca="1">AVERAGE(OFFSET($BH$3,0,0,'Données projet'!$E$11+1,1))-AVERAGE(OFFSET($H$3,0,0,'Données projet'!$E$11+1,1))</f>
        <v>462.677457131175</v>
      </c>
      <c r="BJ47" s="62">
        <f t="shared" si="38"/>
        <v>291.78368401945909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6.1931976484225757</v>
      </c>
      <c r="BR47" s="23">
        <f>EXP(-LN(2)/2)*BR46+(1-EXP(-LN(2)/2))/(LN(2)/2)*BL47*BO47*VLOOKUP('Données projet'!$B$11,Paramètres!$A$1:$I$89,3,0)*0.475*44/12</f>
        <v>0.11648261441060664</v>
      </c>
      <c r="BS47" s="24">
        <f t="shared" si="9"/>
        <v>6.3096802628331821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61.781518037475692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7.4</v>
      </c>
      <c r="BY47" s="13">
        <f>IF('Données projet'!$A$114&gt;35,BY46+BX47-CG46,IF(A47&lt;'Données projet'!$A$114,$BV$205^A47,IF(A47='Données projet'!$A$114,'Données projet'!$B$114,BY46+BX47-CG46)))</f>
        <v>361.6</v>
      </c>
      <c r="BZ47" s="14">
        <f>BY47*VLOOKUP('Données projet'!$B$12,Paramètres!$A$1:$I$89,3,0)*VLOOKUP('Données projet'!$B$12,Paramètres!$A$1:$I$89,5,0)</f>
        <v>197.43360000000001</v>
      </c>
      <c r="CA47" s="14">
        <f t="shared" si="39"/>
        <v>49.179727436837609</v>
      </c>
      <c r="CB47" s="22">
        <f t="shared" si="10"/>
        <v>429.51821195249221</v>
      </c>
      <c r="CC47" s="62">
        <f t="shared" si="11"/>
        <v>692.71711142323647</v>
      </c>
      <c r="CD47" s="62">
        <f ca="1">AVERAGE(OFFSET($CC$3,0,0,'Données projet'!$E$12+1,1))-AVERAGE(OFFSET($H$3,0,0,'Données projet'!$E$12+1,1))</f>
        <v>302.37244372118971</v>
      </c>
      <c r="CE47" s="62">
        <f t="shared" si="40"/>
        <v>439.56450354660171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5.712259739817326</v>
      </c>
      <c r="CL47" s="23">
        <f>EXP(-LN(2)/25)*CL46+(1-EXP(-LN(2)/25))/(LN(2)/25)*Calculateur!CG47*Calculateur!CI47*VLOOKUP('Données projet'!$B$12,Paramètres!$A$1:$I$89,3,0)*0.475*44/12</f>
        <v>11.465342615983435</v>
      </c>
      <c r="CM47" s="23">
        <f>EXP(-LN(2)/2)*CM46+(1-EXP(-LN(2)/2))/(LN(2)/2)*CG47*CJ47*VLOOKUP('Données projet'!$B$12,Paramètres!$A$1:$I$89,3,0)*0.475*44/12</f>
        <v>0.12539909090019094</v>
      </c>
      <c r="CN47" s="24">
        <f t="shared" si="12"/>
        <v>17.303001446700954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61.781518037475692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8.6</v>
      </c>
      <c r="CT47" s="13">
        <f>IF('Données projet'!$A$140&gt;35,CT46+CS47-DB46,IF(A47&lt;'Données projet'!$A$140,$CQ$205^A47,IF(A47='Données projet'!$A$140,'Données projet'!$B$140,CT46+CS47-DB46)))</f>
        <v>192.39999999999992</v>
      </c>
      <c r="CU47" s="18">
        <f>CT47*VLOOKUP('Données projet'!$B$13,Paramètres!$A$1:$I$89,3,0)*VLOOKUP('Données projet'!$B$13,Paramètres!$A$1:$I$89,5,0)</f>
        <v>141.06767999999994</v>
      </c>
      <c r="CV47" s="14">
        <f t="shared" si="41"/>
        <v>36.541487735562882</v>
      </c>
      <c r="CW47" s="22">
        <f t="shared" si="13"/>
        <v>309.33596713943859</v>
      </c>
      <c r="CX47" s="62">
        <f t="shared" si="14"/>
        <v>572.5348666101828</v>
      </c>
      <c r="CY47" s="62">
        <f ca="1">AVERAGE(OFFSET($CX$3,0,0,'Données projet'!$E$13+1,1))-AVERAGE(OFFSET($H$3,0,0,'Données projet'!$E$13+1,1))</f>
        <v>300.12722359176314</v>
      </c>
      <c r="CZ47" s="62">
        <f t="shared" si="42"/>
        <v>313.35115626175946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8.1487134701934458</v>
      </c>
      <c r="DH47" s="23">
        <f>EXP(-LN(2)/2)*DH46+(1-EXP(-LN(2)/2))/(LN(2)/2)*DB47*DE47*VLOOKUP('Données projet'!$B$13,Paramètres!$A$1:$I$89,3,0)*0.475*44/12</f>
        <v>0.1176610087168494</v>
      </c>
      <c r="DI47" s="24">
        <f t="shared" si="15"/>
        <v>8.2663744789102953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61.781518037475692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61.781518037475692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61.781518037475692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61.781518037475692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61.781518037475692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3.55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13.016666666666666</v>
      </c>
      <c r="H48" s="70">
        <f t="shared" si="1"/>
        <v>204.6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61.924090325752417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606</v>
      </c>
      <c r="L48" s="13">
        <f>VLOOKUP(A48,'Données projet'!$A$35:$I$55,9,0)</f>
        <v>22.8</v>
      </c>
      <c r="M48" s="13">
        <f t="array" ref="M48">INDEX(L:L,MIN(IF(ISNUMBER(L48:L244),ROW(L48:L244),"")))</f>
        <v>22.8</v>
      </c>
      <c r="N48" s="14">
        <f>IF('Données projet'!$A$36&gt;35,N47+M48-V47,IF(A48&lt;'Données projet'!$A$36,$K$205^A48,IF(A48='Données projet'!$A$36,'Données projet'!$B$36,N47+M48-V47)))</f>
        <v>606</v>
      </c>
      <c r="O48" s="14">
        <f>N48*VLOOKUP('Données projet'!$B$9,Paramètres!$A$1:$I$89,3,0)*VLOOKUP('Données projet'!$B$9,Paramètres!$A$1:$I$89,5,0)</f>
        <v>338.75400000000002</v>
      </c>
      <c r="P48" s="14">
        <f t="shared" si="33"/>
        <v>79.242459951408904</v>
      </c>
      <c r="Q48" s="22">
        <f t="shared" si="53"/>
        <v>728.01050108203719</v>
      </c>
      <c r="R48" s="62">
        <f t="shared" si="0"/>
        <v>991.73216560979608</v>
      </c>
      <c r="S48" s="62">
        <f ca="1">AVERAGE(OFFSET($R$3,0,0,'Données projet'!$E$9+1,1))-AVERAGE(OFFSET($H$3,0,0,'Données projet'!$E$9+1,1))</f>
        <v>455.44531340185631</v>
      </c>
      <c r="T48" s="62">
        <f t="shared" si="34"/>
        <v>560.14861617544</v>
      </c>
      <c r="U48" s="16">
        <f>IF(ISNA(VLOOKUP(A48,'Données projet'!$A$35:$I$55,3,0)),0,VLOOKUP(A48,'Données projet'!$A$35:$I$55,3,0))</f>
        <v>6</v>
      </c>
      <c r="V48" s="16">
        <f>IF(ISNA(VLOOKUP(A48,'Données projet'!$A$35:$I$55,4,0)),0,VLOOKUP(A48,'Données projet'!$A$35:$I$55,4,0))</f>
        <v>66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8.0276206126272793</v>
      </c>
      <c r="AA48" s="23">
        <f>EXP(-LN(2)/25)*AA47+(1-EXP(-LN(2)/25))/(LN(2)/25)*Calculateur!V48*Calculateur!X48*VLOOKUP('Données projet'!$B$9,Paramètres!$A$1:$I$89,3,0)*0.475*44/12</f>
        <v>9.3818359699101652</v>
      </c>
      <c r="AB48" s="23">
        <f>EXP(-LN(2)/2)*AB47+(1-EXP(-LN(2)/2))/(LN(2)/2)*V48*Y48*VLOOKUP('Données projet'!$B$9,Paramètres!$A$1:$I$89,3,0)*0.475*44/12</f>
        <v>7.3330109118859468E-2</v>
      </c>
      <c r="AC48" s="24">
        <f t="shared" si="3"/>
        <v>17.482786691656305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61.924090325752417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223</v>
      </c>
      <c r="AG48" s="13">
        <f>VLOOKUP(A48,'Données projet'!$A$61:$I$81,9,0)</f>
        <v>9.8000000000000007</v>
      </c>
      <c r="AH48" s="13">
        <f t="array" ref="AH48">INDEX(AG:AG,MIN(IF(ISNUMBER(AG48:AG244),ROW(AG48:AG244),"")))</f>
        <v>9.8000000000000007</v>
      </c>
      <c r="AI48" s="14">
        <f>IF('Données projet'!$A$62&gt;35,AI47+AH48-AQ47,IF(A48&lt;'Données projet'!$A$62,$AF$205^A48,IF(A48='Données projet'!$A$62,'Données projet'!$B$62,AI47+AH48-AQ47)))</f>
        <v>223.00000000000009</v>
      </c>
      <c r="AJ48" s="14">
        <f>AI48*VLOOKUP('Données projet'!$B$10,Paramètres!$A$1:$I$89,3,0)*VLOOKUP('Données projet'!$B$10,Paramètres!$A$1:$I$89,5,0)</f>
        <v>194.81280000000012</v>
      </c>
      <c r="AK48" s="14">
        <f t="shared" si="35"/>
        <v>48.602440540253902</v>
      </c>
      <c r="AL48" s="22">
        <f t="shared" si="4"/>
        <v>423.9482106076091</v>
      </c>
      <c r="AM48" s="62">
        <f t="shared" si="5"/>
        <v>687.66987513536787</v>
      </c>
      <c r="AN48" s="62">
        <f ca="1">AVERAGE(OFFSET($AM$3,0,0,'Données projet'!$E$10+1,1))-AVERAGE(OFFSET($H$3,0,0,'Données projet'!$E$10+1,1))</f>
        <v>335.71510570470264</v>
      </c>
      <c r="AO48" s="62">
        <f t="shared" si="36"/>
        <v>401.61823018046482</v>
      </c>
      <c r="AP48" s="16">
        <f>IF(ISNA(VLOOKUP(A48,'Données projet'!$A$61:$I$81,3,0)),0,VLOOKUP(A48,'Données projet'!$A$61:$I$81,3,0))</f>
        <v>7</v>
      </c>
      <c r="AQ48" s="16">
        <f>IF(ISNA(VLOOKUP(A48,'Données projet'!$A$61:$I$81,4,0)),0,VLOOKUP(A48,'Données projet'!$A$61:$I$81,4,0))</f>
        <v>36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16.877530897682195</v>
      </c>
      <c r="AW48" s="23">
        <f>EXP(-LN(2)/2)*AW47+(1-EXP(-LN(2)/2))/(LN(2)/2)*AQ48*AT48*VLOOKUP('Données projet'!$B$10,Paramètres!$A$1:$I$89,3,0)*0.475*44/12</f>
        <v>0.10090915417065331</v>
      </c>
      <c r="AX48" s="23">
        <f t="shared" si="6"/>
        <v>16.97844005185285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61.924090325752417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204</v>
      </c>
      <c r="BB48" s="13">
        <f>VLOOKUP(A48,'Données projet'!$A$87:$I$107,9,0)</f>
        <v>11.4</v>
      </c>
      <c r="BC48" s="13">
        <f t="array" ref="BC48">INDEX(BB:BB,MIN(IF(ISNUMBER(BB48:BB244),ROW(BB48:BB244),"")))</f>
        <v>11.4</v>
      </c>
      <c r="BD48" s="13">
        <f>IF('Données projet'!$A$88&gt;35,BD47+BC48-BL47,IF(A48&lt;'Données projet'!$A$88,$BA$205^A48,IF(A48='Données projet'!$A$88,'Données projet'!$B$88,BD47+BC48-BL47)))</f>
        <v>204.00000000000003</v>
      </c>
      <c r="BE48" s="14">
        <f>BD48*VLOOKUP('Données projet'!$B$11,Paramètres!$A$1:$I$89,3,0)*VLOOKUP('Données projet'!$B$11,Paramètres!$A$1:$I$89,5,0)</f>
        <v>184.57920000000001</v>
      </c>
      <c r="BF48" s="14">
        <f t="shared" si="37"/>
        <v>46.339479465836661</v>
      </c>
      <c r="BG48" s="22">
        <f t="shared" si="7"/>
        <v>402.18336673633218</v>
      </c>
      <c r="BH48" s="62">
        <f t="shared" si="8"/>
        <v>665.90503126409101</v>
      </c>
      <c r="BI48" s="62">
        <f ca="1">AVERAGE(OFFSET($BH$3,0,0,'Données projet'!$E$11+1,1))-AVERAGE(OFFSET($H$3,0,0,'Données projet'!$E$11+1,1))</f>
        <v>462.677457131175</v>
      </c>
      <c r="BJ48" s="62">
        <f t="shared" si="38"/>
        <v>291.78368401945909</v>
      </c>
      <c r="BK48" s="16">
        <f>IF(ISNA(VLOOKUP(A48,'Données projet'!$A$87:$I$107,3,0)),0,VLOOKUP(A48,'Données projet'!$A$87:$I$107,3,0))</f>
        <v>6</v>
      </c>
      <c r="BL48" s="16">
        <f>IF(ISNA(VLOOKUP(A48,'Données projet'!$A$87:$I$107,4,0)),0,VLOOKUP(A48,'Données projet'!$A$87:$I$107,4,0))</f>
        <v>28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6.0238443330403504</v>
      </c>
      <c r="BR48" s="23">
        <f>EXP(-LN(2)/2)*BR47+(1-EXP(-LN(2)/2))/(LN(2)/2)*BL48*BO48*VLOOKUP('Données projet'!$B$11,Paramètres!$A$1:$I$89,3,0)*0.475*44/12</f>
        <v>8.236564654007783E-2</v>
      </c>
      <c r="BS48" s="24">
        <f t="shared" si="9"/>
        <v>6.1062099795804281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61.924090325752417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369</v>
      </c>
      <c r="BW48" s="13">
        <f>VLOOKUP(A48,'Données projet'!$A$113:$I$133,9,0)</f>
        <v>7.4</v>
      </c>
      <c r="BX48" s="13">
        <f t="array" ref="BX48">INDEX(BW:BW,MIN(IF(ISNUMBER(BW48:BW244),ROW(BW48:BW244),"")))</f>
        <v>7.4</v>
      </c>
      <c r="BY48" s="13">
        <f>IF('Données projet'!$A$114&gt;35,BY47+BX48-CG47,IF(A48&lt;'Données projet'!$A$114,$BV$205^A48,IF(A48='Données projet'!$A$114,'Données projet'!$B$114,BY47+BX48-CG47)))</f>
        <v>369</v>
      </c>
      <c r="BZ48" s="14">
        <f>BY48*VLOOKUP('Données projet'!$B$12,Paramètres!$A$1:$I$89,3,0)*VLOOKUP('Données projet'!$B$12,Paramètres!$A$1:$I$89,5,0)</f>
        <v>201.47399999999999</v>
      </c>
      <c r="CA48" s="14">
        <f t="shared" si="39"/>
        <v>50.067969742315327</v>
      </c>
      <c r="CB48" s="22">
        <f t="shared" si="10"/>
        <v>438.10226396786584</v>
      </c>
      <c r="CC48" s="62">
        <f t="shared" si="11"/>
        <v>701.82392849562461</v>
      </c>
      <c r="CD48" s="62">
        <f ca="1">AVERAGE(OFFSET($CC$3,0,0,'Données projet'!$E$12+1,1))-AVERAGE(OFFSET($H$3,0,0,'Données projet'!$E$12+1,1))</f>
        <v>302.37244372118971</v>
      </c>
      <c r="CE48" s="62">
        <f t="shared" si="40"/>
        <v>439.56450354660171</v>
      </c>
      <c r="CF48" s="16">
        <f>IF(ISNA(VLOOKUP(A48,'Données projet'!$A$113:$I$133,3,0)),0,VLOOKUP(A48,'Données projet'!$A$113:$I$133,3,0))</f>
        <v>8</v>
      </c>
      <c r="CG48" s="16">
        <f>IF(ISNA(VLOOKUP(A48,'Données projet'!$A$113:$I$133,4,0)),0,VLOOKUP(A48,'Données projet'!$A$113:$I$133,4,0))</f>
        <v>21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5.6002458104539201</v>
      </c>
      <c r="CL48" s="23">
        <f>EXP(-LN(2)/25)*CL47+(1-EXP(-LN(2)/25))/(LN(2)/25)*Calculateur!CG48*Calculateur!CI48*VLOOKUP('Données projet'!$B$12,Paramètres!$A$1:$I$89,3,0)*0.475*44/12</f>
        <v>11.151822219213203</v>
      </c>
      <c r="CM48" s="23">
        <f>EXP(-LN(2)/2)*CM47+(1-EXP(-LN(2)/2))/(LN(2)/2)*CG48*CJ48*VLOOKUP('Données projet'!$B$12,Paramètres!$A$1:$I$89,3,0)*0.475*44/12</f>
        <v>8.8670547530153299E-2</v>
      </c>
      <c r="CN48" s="24">
        <f t="shared" si="12"/>
        <v>16.840738577197275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61.924090325752417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201</v>
      </c>
      <c r="CR48" s="13">
        <f>VLOOKUP(A48,'Données projet'!$A$139:$I$159,9,0)</f>
        <v>8.6</v>
      </c>
      <c r="CS48" s="13">
        <f t="array" ref="CS48">INDEX(CR:CR,MIN(IF(ISNUMBER(CR48:CR244),ROW(CR48:CR244),"")))</f>
        <v>8.6</v>
      </c>
      <c r="CT48" s="13">
        <f>IF('Données projet'!$A$140&gt;35,CT47+CS48-DB47,IF(A48&lt;'Données projet'!$A$140,$CQ$205^A48,IF(A48='Données projet'!$A$140,'Données projet'!$B$140,CT47+CS48-DB47)))</f>
        <v>200.99999999999991</v>
      </c>
      <c r="CU48" s="18">
        <f>CT48*VLOOKUP('Données projet'!$B$13,Paramètres!$A$1:$I$89,3,0)*VLOOKUP('Données projet'!$B$13,Paramètres!$A$1:$I$89,5,0)</f>
        <v>147.37319999999994</v>
      </c>
      <c r="CV48" s="14">
        <f t="shared" si="41"/>
        <v>37.981023482703954</v>
      </c>
      <c r="CW48" s="22">
        <f t="shared" si="13"/>
        <v>322.82527256570927</v>
      </c>
      <c r="CX48" s="62">
        <f t="shared" si="14"/>
        <v>586.54693709346816</v>
      </c>
      <c r="CY48" s="62">
        <f ca="1">AVERAGE(OFFSET($CX$3,0,0,'Données projet'!$E$13+1,1))-AVERAGE(OFFSET($H$3,0,0,'Données projet'!$E$13+1,1))</f>
        <v>300.12722359176314</v>
      </c>
      <c r="CZ48" s="62">
        <f t="shared" si="42"/>
        <v>313.35115626175946</v>
      </c>
      <c r="DA48" s="16">
        <f>IF(ISNA(VLOOKUP(A48,'Données projet'!$A$139:$I$159,3,0)),0,VLOOKUP(A48,'Données projet'!$A$139:$I$159,3,0))</f>
        <v>6</v>
      </c>
      <c r="DB48" s="16">
        <f>IF(ISNA(VLOOKUP(A48,'Données projet'!$A$139:$I$159,4,0)),0,VLOOKUP(A48,'Données projet'!$A$139:$I$159,4,0))</f>
        <v>31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7.9258864718287887</v>
      </c>
      <c r="DH48" s="23">
        <f>EXP(-LN(2)/2)*DH47+(1-EXP(-LN(2)/2))/(LN(2)/2)*DB48*DE48*VLOOKUP('Données projet'!$B$13,Paramètres!$A$1:$I$89,3,0)*0.475*44/12</f>
        <v>8.3198897144933698E-2</v>
      </c>
      <c r="DI48" s="24">
        <f t="shared" si="15"/>
        <v>8.0090853689737216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61.924090325752417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61.924090325752417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61.924090325752417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61.924090325752417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61.924090325752417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3.55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13.016666666666666</v>
      </c>
      <c r="H49" s="70">
        <f t="shared" si="1"/>
        <v>204.6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62.064189303571418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17.8</v>
      </c>
      <c r="N49" s="14">
        <f>IF('Données projet'!$A$36&gt;35,N48+M49-V48,IF(A49&lt;'Données projet'!$A$36,$K$205^A49,IF(A49='Données projet'!$A$36,'Données projet'!$B$36,N48+M49-V48)))</f>
        <v>557.79999999999995</v>
      </c>
      <c r="O49" s="14">
        <f>N49*VLOOKUP('Données projet'!$B$9,Paramètres!$A$1:$I$89,3,0)*VLOOKUP('Données projet'!$B$9,Paramètres!$A$1:$I$89,5,0)</f>
        <v>311.81020000000001</v>
      </c>
      <c r="P49" s="14">
        <f t="shared" si="33"/>
        <v>73.646743780370684</v>
      </c>
      <c r="Q49" s="22">
        <f t="shared" si="53"/>
        <v>671.33751041747894</v>
      </c>
      <c r="R49" s="62">
        <f t="shared" si="0"/>
        <v>935.57287119724083</v>
      </c>
      <c r="S49" s="62">
        <f ca="1">AVERAGE(OFFSET($R$3,0,0,'Données projet'!$E$9+1,1))-AVERAGE(OFFSET($H$3,0,0,'Données projet'!$E$9+1,1))</f>
        <v>455.44531340185631</v>
      </c>
      <c r="T49" s="62">
        <f t="shared" si="34"/>
        <v>560.14861617544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7.8702038687787566</v>
      </c>
      <c r="AA49" s="23">
        <f>EXP(-LN(2)/25)*AA48+(1-EXP(-LN(2)/25))/(LN(2)/25)*Calculateur!V49*Calculateur!X49*VLOOKUP('Données projet'!$B$9,Paramètres!$A$1:$I$89,3,0)*0.475*44/12</f>
        <v>9.1252891719436597</v>
      </c>
      <c r="AB49" s="23">
        <f>EXP(-LN(2)/2)*AB48+(1-EXP(-LN(2)/2))/(LN(2)/2)*V49*Y49*VLOOKUP('Données projet'!$B$9,Paramètres!$A$1:$I$89,3,0)*0.475*44/12</f>
        <v>5.1852217423095016E-2</v>
      </c>
      <c r="AC49" s="24">
        <f t="shared" si="3"/>
        <v>17.047345258145512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62.064189303571418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8.8000000000000007</v>
      </c>
      <c r="AI49" s="14">
        <f>IF('Données projet'!$A$62&gt;35,AI48+AH49-AQ48,IF(A49&lt;'Données projet'!$A$62,$AF$205^A49,IF(A49='Données projet'!$A$62,'Données projet'!$B$62,AI48+AH49-AQ48)))</f>
        <v>195.8000000000001</v>
      </c>
      <c r="AJ49" s="14">
        <f>AI49*VLOOKUP('Données projet'!$B$10,Paramètres!$A$1:$I$89,3,0)*VLOOKUP('Données projet'!$B$10,Paramètres!$A$1:$I$89,5,0)</f>
        <v>171.05088000000012</v>
      </c>
      <c r="AK49" s="14">
        <f t="shared" si="35"/>
        <v>43.325301264581704</v>
      </c>
      <c r="AL49" s="22">
        <f t="shared" si="4"/>
        <v>373.37184903581334</v>
      </c>
      <c r="AM49" s="62">
        <f t="shared" si="5"/>
        <v>637.60720981557529</v>
      </c>
      <c r="AN49" s="62">
        <f ca="1">AVERAGE(OFFSET($AM$3,0,0,'Données projet'!$E$10+1,1))-AVERAGE(OFFSET($H$3,0,0,'Données projet'!$E$10+1,1))</f>
        <v>335.71510570470264</v>
      </c>
      <c r="AO49" s="62">
        <f t="shared" si="36"/>
        <v>401.61823018046482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16.416013927734301</v>
      </c>
      <c r="AW49" s="23">
        <f>EXP(-LN(2)/2)*AW48+(1-EXP(-LN(2)/2))/(LN(2)/2)*AQ49*AT49*VLOOKUP('Données projet'!$B$10,Paramètres!$A$1:$I$89,3,0)*0.475*44/12</f>
        <v>7.1353547197867739E-2</v>
      </c>
      <c r="AX49" s="23">
        <f t="shared" si="6"/>
        <v>16.487367474932171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62.064189303571418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11</v>
      </c>
      <c r="BD49" s="13">
        <f>IF('Données projet'!$A$88&gt;35,BD48+BC49-BL48,IF(A49&lt;'Données projet'!$A$88,$BA$205^A49,IF(A49='Données projet'!$A$88,'Données projet'!$B$88,BD48+BC49-BL48)))</f>
        <v>187.00000000000003</v>
      </c>
      <c r="BE49" s="14">
        <f>BD49*VLOOKUP('Données projet'!$B$11,Paramètres!$A$1:$I$89,3,0)*VLOOKUP('Données projet'!$B$11,Paramètres!$A$1:$I$89,5,0)</f>
        <v>169.19760000000002</v>
      </c>
      <c r="BF49" s="14">
        <f t="shared" si="37"/>
        <v>42.910263223432885</v>
      </c>
      <c r="BG49" s="22">
        <f t="shared" si="7"/>
        <v>369.42119511414558</v>
      </c>
      <c r="BH49" s="62">
        <f t="shared" si="8"/>
        <v>633.65655589390747</v>
      </c>
      <c r="BI49" s="62">
        <f ca="1">AVERAGE(OFFSET($BH$3,0,0,'Données projet'!$E$11+1,1))-AVERAGE(OFFSET($H$3,0,0,'Données projet'!$E$11+1,1))</f>
        <v>462.677457131175</v>
      </c>
      <c r="BJ49" s="62">
        <f t="shared" si="38"/>
        <v>291.78368401945909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5.8591219929731562</v>
      </c>
      <c r="BR49" s="23">
        <f>EXP(-LN(2)/2)*BR48+(1-EXP(-LN(2)/2))/(LN(2)/2)*BL49*BO49*VLOOKUP('Données projet'!$B$11,Paramètres!$A$1:$I$89,3,0)*0.475*44/12</f>
        <v>5.8241307205303336E-2</v>
      </c>
      <c r="BS49" s="24">
        <f t="shared" si="9"/>
        <v>5.9173633001784598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62.064189303571418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5.2</v>
      </c>
      <c r="BY49" s="13">
        <f>IF('Données projet'!$A$114&gt;35,BY48+BX49-CG48,IF(A49&lt;'Données projet'!$A$114,$BV$205^A49,IF(A49='Données projet'!$A$114,'Données projet'!$B$114,BY48+BX49-CG48)))</f>
        <v>353.2</v>
      </c>
      <c r="BZ49" s="14">
        <f>BY49*VLOOKUP('Données projet'!$B$12,Paramètres!$A$1:$I$89,3,0)*VLOOKUP('Données projet'!$B$12,Paramètres!$A$1:$I$89,5,0)</f>
        <v>192.84719999999999</v>
      </c>
      <c r="CA49" s="14">
        <f t="shared" si="39"/>
        <v>48.168882391272199</v>
      </c>
      <c r="CB49" s="22">
        <f t="shared" si="10"/>
        <v>419.76967683146569</v>
      </c>
      <c r="CC49" s="62">
        <f t="shared" si="11"/>
        <v>684.00503761122764</v>
      </c>
      <c r="CD49" s="62">
        <f ca="1">AVERAGE(OFFSET($CC$3,0,0,'Données projet'!$E$12+1,1))-AVERAGE(OFFSET($H$3,0,0,'Données projet'!$E$12+1,1))</f>
        <v>302.37244372118971</v>
      </c>
      <c r="CE49" s="62">
        <f t="shared" si="40"/>
        <v>439.56450354660171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5.4904284059235797</v>
      </c>
      <c r="CL49" s="23">
        <f>EXP(-LN(2)/25)*CL48+(1-EXP(-LN(2)/25))/(LN(2)/25)*Calculateur!CG49*Calculateur!CI49*VLOOKUP('Données projet'!$B$12,Paramètres!$A$1:$I$89,3,0)*0.475*44/12</f>
        <v>10.846875054179975</v>
      </c>
      <c r="CM49" s="23">
        <f>EXP(-LN(2)/2)*CM48+(1-EXP(-LN(2)/2))/(LN(2)/2)*CG49*CJ49*VLOOKUP('Données projet'!$B$12,Paramètres!$A$1:$I$89,3,0)*0.475*44/12</f>
        <v>6.269954545009547E-2</v>
      </c>
      <c r="CN49" s="24">
        <f t="shared" si="12"/>
        <v>16.40000300555365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62.064189303571418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7.8</v>
      </c>
      <c r="CT49" s="13">
        <f>IF('Données projet'!$A$140&gt;35,CT48+CS49-DB48,IF(A49&lt;'Données projet'!$A$140,$CQ$205^A49,IF(A49='Données projet'!$A$140,'Données projet'!$B$140,CT48+CS49-DB48)))</f>
        <v>177.79999999999993</v>
      </c>
      <c r="CU49" s="18">
        <f>CT49*VLOOKUP('Données projet'!$B$13,Paramètres!$A$1:$I$89,3,0)*VLOOKUP('Données projet'!$B$13,Paramètres!$A$1:$I$89,5,0)</f>
        <v>130.36295999999993</v>
      </c>
      <c r="CV49" s="14">
        <f t="shared" si="41"/>
        <v>34.080215117413069</v>
      </c>
      <c r="CW49" s="22">
        <f t="shared" si="13"/>
        <v>286.40519666282768</v>
      </c>
      <c r="CX49" s="62">
        <f t="shared" si="14"/>
        <v>550.64055744258962</v>
      </c>
      <c r="CY49" s="62">
        <f ca="1">AVERAGE(OFFSET($CX$3,0,0,'Données projet'!$E$13+1,1))-AVERAGE(OFFSET($H$3,0,0,'Données projet'!$E$13+1,1))</f>
        <v>300.12722359176314</v>
      </c>
      <c r="CZ49" s="62">
        <f t="shared" si="42"/>
        <v>313.35115626175946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7.7091526894523756</v>
      </c>
      <c r="DH49" s="23">
        <f>EXP(-LN(2)/2)*DH48+(1-EXP(-LN(2)/2))/(LN(2)/2)*DB49*DE49*VLOOKUP('Données projet'!$B$13,Paramètres!$A$1:$I$89,3,0)*0.475*44/12</f>
        <v>5.8830504358424712E-2</v>
      </c>
      <c r="DI49" s="24">
        <f t="shared" si="15"/>
        <v>7.7679831938108004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62.064189303571418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62.064189303571418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62.064189303571418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62.064189303571418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62.064189303571418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3.55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13.016666666666666</v>
      </c>
      <c r="H50" s="70">
        <f t="shared" si="1"/>
        <v>204.6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62.201857877339656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17.8</v>
      </c>
      <c r="N50" s="14">
        <f>IF('Données projet'!$A$36&gt;35,N49+M50-V49,IF(A50&lt;'Données projet'!$A$36,$K$205^A50,IF(A50='Données projet'!$A$36,'Données projet'!$B$36,N49+M50-V49)))</f>
        <v>575.59999999999991</v>
      </c>
      <c r="O50" s="14">
        <f>N50*VLOOKUP('Données projet'!$B$9,Paramètres!$A$1:$I$89,3,0)*VLOOKUP('Données projet'!$B$9,Paramètres!$A$1:$I$89,5,0)</f>
        <v>321.76039999999995</v>
      </c>
      <c r="P50" s="14">
        <f t="shared" si="33"/>
        <v>75.719522083505169</v>
      </c>
      <c r="Q50" s="22">
        <f t="shared" si="53"/>
        <v>692.27753096210472</v>
      </c>
      <c r="R50" s="62">
        <f t="shared" si="0"/>
        <v>957.01767651235014</v>
      </c>
      <c r="S50" s="62">
        <f ca="1">AVERAGE(OFFSET($R$3,0,0,'Données projet'!$E$9+1,1))-AVERAGE(OFFSET($H$3,0,0,'Données projet'!$E$9+1,1))</f>
        <v>455.44531340185631</v>
      </c>
      <c r="T50" s="62">
        <f t="shared" si="34"/>
        <v>560.14861617544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7.7158739712623703</v>
      </c>
      <c r="AA50" s="23">
        <f>EXP(-LN(2)/25)*AA49+(1-EXP(-LN(2)/25))/(LN(2)/25)*Calculateur!V50*Calculateur!X50*VLOOKUP('Données projet'!$B$9,Paramètres!$A$1:$I$89,3,0)*0.475*44/12</f>
        <v>8.8757576596587597</v>
      </c>
      <c r="AB50" s="23">
        <f>EXP(-LN(2)/2)*AB49+(1-EXP(-LN(2)/2))/(LN(2)/2)*V50*Y50*VLOOKUP('Données projet'!$B$9,Paramètres!$A$1:$I$89,3,0)*0.475*44/12</f>
        <v>3.6665054559429734E-2</v>
      </c>
      <c r="AC50" s="24">
        <f t="shared" si="3"/>
        <v>16.628296685480557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62.201857877339656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8.8000000000000007</v>
      </c>
      <c r="AI50" s="14">
        <f>IF('Données projet'!$A$62&gt;35,AI49+AH50-AQ49,IF(A50&lt;'Données projet'!$A$62,$AF$205^A50,IF(A50='Données projet'!$A$62,'Données projet'!$B$62,AI49+AH50-AQ49)))</f>
        <v>204.60000000000011</v>
      </c>
      <c r="AJ50" s="14">
        <f>AI50*VLOOKUP('Données projet'!$B$10,Paramètres!$A$1:$I$89,3,0)*VLOOKUP('Données projet'!$B$10,Paramètres!$A$1:$I$89,5,0)</f>
        <v>178.73856000000012</v>
      </c>
      <c r="AK50" s="14">
        <f t="shared" si="35"/>
        <v>45.041424241265368</v>
      </c>
      <c r="AL50" s="22">
        <f t="shared" si="4"/>
        <v>389.75013922020406</v>
      </c>
      <c r="AM50" s="62">
        <f t="shared" si="5"/>
        <v>654.49028477044942</v>
      </c>
      <c r="AN50" s="62">
        <f ca="1">AVERAGE(OFFSET($AM$3,0,0,'Données projet'!$E$10+1,1))-AVERAGE(OFFSET($H$3,0,0,'Données projet'!$E$10+1,1))</f>
        <v>335.71510570470264</v>
      </c>
      <c r="AO50" s="62">
        <f t="shared" si="36"/>
        <v>401.61823018046482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15.967117163599754</v>
      </c>
      <c r="AW50" s="23">
        <f>EXP(-LN(2)/2)*AW49+(1-EXP(-LN(2)/2))/(LN(2)/2)*AQ50*AT50*VLOOKUP('Données projet'!$B$10,Paramètres!$A$1:$I$89,3,0)*0.475*44/12</f>
        <v>5.0454577085326656E-2</v>
      </c>
      <c r="AX50" s="23">
        <f t="shared" si="6"/>
        <v>16.017571740685081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62.201857877339656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11</v>
      </c>
      <c r="BD50" s="13">
        <f>IF('Données projet'!$A$88&gt;35,BD49+BC50-BL49,IF(A50&lt;'Données projet'!$A$88,$BA$205^A50,IF(A50='Données projet'!$A$88,'Données projet'!$B$88,BD49+BC50-BL49)))</f>
        <v>198.00000000000003</v>
      </c>
      <c r="BE50" s="14">
        <f>BD50*VLOOKUP('Données projet'!$B$11,Paramètres!$A$1:$I$89,3,0)*VLOOKUP('Données projet'!$B$11,Paramètres!$A$1:$I$89,5,0)</f>
        <v>179.15040000000002</v>
      </c>
      <c r="BF50" s="14">
        <f t="shared" si="37"/>
        <v>45.133113803437304</v>
      </c>
      <c r="BG50" s="22">
        <f t="shared" si="7"/>
        <v>390.62711987431999</v>
      </c>
      <c r="BH50" s="62">
        <f t="shared" si="8"/>
        <v>655.3672654245654</v>
      </c>
      <c r="BI50" s="62">
        <f ca="1">AVERAGE(OFFSET($BH$3,0,0,'Données projet'!$E$11+1,1))-AVERAGE(OFFSET($H$3,0,0,'Données projet'!$E$11+1,1))</f>
        <v>462.677457131175</v>
      </c>
      <c r="BJ50" s="62">
        <f t="shared" si="38"/>
        <v>291.78368401945909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5.6989039939574706</v>
      </c>
      <c r="BR50" s="23">
        <f>EXP(-LN(2)/2)*BR49+(1-EXP(-LN(2)/2))/(LN(2)/2)*BL50*BO50*VLOOKUP('Données projet'!$B$11,Paramètres!$A$1:$I$89,3,0)*0.475*44/12</f>
        <v>4.1182823270038922E-2</v>
      </c>
      <c r="BS50" s="24">
        <f t="shared" si="9"/>
        <v>5.7400868172275095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62.201857877339656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5.2</v>
      </c>
      <c r="BY50" s="13">
        <f>IF('Données projet'!$A$114&gt;35,BY49+BX50-CG49,IF(A50&lt;'Données projet'!$A$114,$BV$205^A50,IF(A50='Données projet'!$A$114,'Données projet'!$B$114,BY49+BX50-CG49)))</f>
        <v>358.4</v>
      </c>
      <c r="BZ50" s="14">
        <f>BY50*VLOOKUP('Données projet'!$B$12,Paramètres!$A$1:$I$89,3,0)*VLOOKUP('Données projet'!$B$12,Paramètres!$A$1:$I$89,5,0)</f>
        <v>195.68639999999999</v>
      </c>
      <c r="CA50" s="14">
        <f t="shared" si="39"/>
        <v>48.794969360985156</v>
      </c>
      <c r="CB50" s="22">
        <f t="shared" si="10"/>
        <v>425.80505163704908</v>
      </c>
      <c r="CC50" s="62">
        <f t="shared" si="11"/>
        <v>690.54519718729443</v>
      </c>
      <c r="CD50" s="62">
        <f ca="1">AVERAGE(OFFSET($CC$3,0,0,'Données projet'!$E$12+1,1))-AVERAGE(OFFSET($H$3,0,0,'Données projet'!$E$12+1,1))</f>
        <v>302.37244372118971</v>
      </c>
      <c r="CE50" s="62">
        <f t="shared" si="40"/>
        <v>439.56450354660171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5.382764453714076</v>
      </c>
      <c r="CL50" s="23">
        <f>EXP(-LN(2)/25)*CL49+(1-EXP(-LN(2)/25))/(LN(2)/25)*Calculateur!CG50*Calculateur!CI50*VLOOKUP('Données projet'!$B$12,Paramètres!$A$1:$I$89,3,0)*0.475*44/12</f>
        <v>10.550266685411055</v>
      </c>
      <c r="CM50" s="23">
        <f>EXP(-LN(2)/2)*CM49+(1-EXP(-LN(2)/2))/(LN(2)/2)*CG50*CJ50*VLOOKUP('Données projet'!$B$12,Paramètres!$A$1:$I$89,3,0)*0.475*44/12</f>
        <v>4.4335273765076649E-2</v>
      </c>
      <c r="CN50" s="24">
        <f t="shared" si="12"/>
        <v>15.977366412890207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62.201857877339656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7.8</v>
      </c>
      <c r="CT50" s="13">
        <f>IF('Données projet'!$A$140&gt;35,CT49+CS50-DB49,IF(A50&lt;'Données projet'!$A$140,$CQ$205^A50,IF(A50='Données projet'!$A$140,'Données projet'!$B$140,CT49+CS50-DB49)))</f>
        <v>185.59999999999994</v>
      </c>
      <c r="CU50" s="18">
        <f>CT50*VLOOKUP('Données projet'!$B$13,Paramètres!$A$1:$I$89,3,0)*VLOOKUP('Données projet'!$B$13,Paramètres!$A$1:$I$89,5,0)</f>
        <v>136.08191999999997</v>
      </c>
      <c r="CV50" s="14">
        <f t="shared" si="41"/>
        <v>35.397950955860651</v>
      </c>
      <c r="CW50" s="22">
        <f t="shared" si="13"/>
        <v>298.66077524812391</v>
      </c>
      <c r="CX50" s="62">
        <f t="shared" si="14"/>
        <v>563.40092079836927</v>
      </c>
      <c r="CY50" s="62">
        <f ca="1">AVERAGE(OFFSET($CX$3,0,0,'Données projet'!$E$13+1,1))-AVERAGE(OFFSET($H$3,0,0,'Données projet'!$E$13+1,1))</f>
        <v>300.12722359176314</v>
      </c>
      <c r="CZ50" s="62">
        <f t="shared" si="42"/>
        <v>313.35115626175946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7.4983455037525797</v>
      </c>
      <c r="DH50" s="23">
        <f>EXP(-LN(2)/2)*DH49+(1-EXP(-LN(2)/2))/(LN(2)/2)*DB50*DE50*VLOOKUP('Données projet'!$B$13,Paramètres!$A$1:$I$89,3,0)*0.475*44/12</f>
        <v>4.1599448572466856E-2</v>
      </c>
      <c r="DI50" s="24">
        <f t="shared" si="15"/>
        <v>7.5399449523250466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62.201857877339656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62.201857877339656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62.201857877339656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62.201857877339656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62.201857877339656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3.55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13.016666666666666</v>
      </c>
      <c r="H51" s="70">
        <f t="shared" si="1"/>
        <v>204.6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62.337138209133833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17.8</v>
      </c>
      <c r="N51" s="14">
        <f>IF('Données projet'!$A$36&gt;35,N50+M51-V50,IF(A51&lt;'Données projet'!$A$36,$K$205^A51,IF(A51='Données projet'!$A$36,'Données projet'!$B$36,N50+M51-V50)))</f>
        <v>593.39999999999986</v>
      </c>
      <c r="O51" s="14">
        <f>N51*VLOOKUP('Données projet'!$B$9,Paramètres!$A$1:$I$89,3,0)*VLOOKUP('Données projet'!$B$9,Paramètres!$A$1:$I$89,5,0)</f>
        <v>331.71059999999994</v>
      </c>
      <c r="P51" s="14">
        <f t="shared" si="33"/>
        <v>77.784851407016433</v>
      </c>
      <c r="Q51" s="22">
        <f t="shared" si="53"/>
        <v>713.20457786722011</v>
      </c>
      <c r="R51" s="62">
        <f t="shared" si="0"/>
        <v>978.44075130071087</v>
      </c>
      <c r="S51" s="62">
        <f ca="1">AVERAGE(OFFSET($R$3,0,0,'Données projet'!$E$9+1,1))-AVERAGE(OFFSET($H$3,0,0,'Données projet'!$E$9+1,1))</f>
        <v>455.44531340185631</v>
      </c>
      <c r="T51" s="62">
        <f t="shared" si="34"/>
        <v>560.14861617544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7.564570388904337</v>
      </c>
      <c r="AA51" s="23">
        <f>EXP(-LN(2)/25)*AA50+(1-EXP(-LN(2)/25))/(LN(2)/25)*Calculateur!V51*Calculateur!X51*VLOOKUP('Données projet'!$B$9,Paramètres!$A$1:$I$89,3,0)*0.475*44/12</f>
        <v>8.6330495996995822</v>
      </c>
      <c r="AB51" s="23">
        <f>EXP(-LN(2)/2)*AB50+(1-EXP(-LN(2)/2))/(LN(2)/2)*V51*Y51*VLOOKUP('Données projet'!$B$9,Paramètres!$A$1:$I$89,3,0)*0.475*44/12</f>
        <v>2.5926108711547508E-2</v>
      </c>
      <c r="AC51" s="24">
        <f t="shared" si="3"/>
        <v>16.223546097315467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62.337138209133833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8.8000000000000007</v>
      </c>
      <c r="AI51" s="14">
        <f>IF('Données projet'!$A$62&gt;35,AI50+AH51-AQ50,IF(A51&lt;'Données projet'!$A$62,$AF$205^A51,IF(A51='Données projet'!$A$62,'Données projet'!$B$62,AI50+AH51-AQ50)))</f>
        <v>213.40000000000012</v>
      </c>
      <c r="AJ51" s="14">
        <f>AI51*VLOOKUP('Données projet'!$B$10,Paramètres!$A$1:$I$89,3,0)*VLOOKUP('Données projet'!$B$10,Paramètres!$A$1:$I$89,5,0)</f>
        <v>186.42624000000012</v>
      </c>
      <c r="AK51" s="14">
        <f t="shared" si="35"/>
        <v>46.748974211060826</v>
      </c>
      <c r="AL51" s="22">
        <f t="shared" si="4"/>
        <v>406.11349808426445</v>
      </c>
      <c r="AM51" s="62">
        <f t="shared" si="5"/>
        <v>671.34967151775516</v>
      </c>
      <c r="AN51" s="62">
        <f ca="1">AVERAGE(OFFSET($AM$3,0,0,'Données projet'!$E$10+1,1))-AVERAGE(OFFSET($H$3,0,0,'Données projet'!$E$10+1,1))</f>
        <v>335.71510570470264</v>
      </c>
      <c r="AO51" s="62">
        <f t="shared" si="36"/>
        <v>401.61823018046482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15.53049550508692</v>
      </c>
      <c r="AW51" s="23">
        <f>EXP(-LN(2)/2)*AW50+(1-EXP(-LN(2)/2))/(LN(2)/2)*AQ51*AT51*VLOOKUP('Données projet'!$B$10,Paramètres!$A$1:$I$89,3,0)*0.475*44/12</f>
        <v>3.567677359893387E-2</v>
      </c>
      <c r="AX51" s="23">
        <f t="shared" si="6"/>
        <v>15.566172278685855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62.337138209133833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11</v>
      </c>
      <c r="BD51" s="13">
        <f>IF('Données projet'!$A$88&gt;35,BD50+BC51-BL50,IF(A51&lt;'Données projet'!$A$88,$BA$205^A51,IF(A51='Données projet'!$A$88,'Données projet'!$B$88,BD50+BC51-BL50)))</f>
        <v>209.00000000000003</v>
      </c>
      <c r="BE51" s="14">
        <f>BD51*VLOOKUP('Données projet'!$B$11,Paramètres!$A$1:$I$89,3,0)*VLOOKUP('Données projet'!$B$11,Paramètres!$A$1:$I$89,5,0)</f>
        <v>189.10320000000002</v>
      </c>
      <c r="BF51" s="14">
        <f t="shared" si="37"/>
        <v>47.34162854278712</v>
      </c>
      <c r="BG51" s="22">
        <f t="shared" si="7"/>
        <v>411.80807637868764</v>
      </c>
      <c r="BH51" s="62">
        <f t="shared" si="8"/>
        <v>677.04424981217835</v>
      </c>
      <c r="BI51" s="62">
        <f ca="1">AVERAGE(OFFSET($BH$3,0,0,'Données projet'!$E$11+1,1))-AVERAGE(OFFSET($H$3,0,0,'Données projet'!$E$11+1,1))</f>
        <v>462.677457131175</v>
      </c>
      <c r="BJ51" s="62">
        <f t="shared" si="38"/>
        <v>291.78368401945909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5.5430671645503677</v>
      </c>
      <c r="BR51" s="23">
        <f>EXP(-LN(2)/2)*BR50+(1-EXP(-LN(2)/2))/(LN(2)/2)*BL51*BO51*VLOOKUP('Données projet'!$B$11,Paramètres!$A$1:$I$89,3,0)*0.475*44/12</f>
        <v>2.9120653602651671E-2</v>
      </c>
      <c r="BS51" s="24">
        <f t="shared" si="9"/>
        <v>5.5721878181530196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62.337138209133833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5.2</v>
      </c>
      <c r="BY51" s="13">
        <f>IF('Données projet'!$A$114&gt;35,BY50+BX51-CG50,IF(A51&lt;'Données projet'!$A$114,$BV$205^A51,IF(A51='Données projet'!$A$114,'Données projet'!$B$114,BY50+BX51-CG50)))</f>
        <v>363.59999999999997</v>
      </c>
      <c r="BZ51" s="14">
        <f>BY51*VLOOKUP('Données projet'!$B$12,Paramètres!$A$1:$I$89,3,0)*VLOOKUP('Données projet'!$B$12,Paramètres!$A$1:$I$89,5,0)</f>
        <v>198.5256</v>
      </c>
      <c r="CA51" s="14">
        <f t="shared" si="39"/>
        <v>49.419999823587155</v>
      </c>
      <c r="CB51" s="22">
        <f t="shared" si="10"/>
        <v>431.83858635941425</v>
      </c>
      <c r="CC51" s="62">
        <f t="shared" si="11"/>
        <v>697.07475979290496</v>
      </c>
      <c r="CD51" s="62">
        <f ca="1">AVERAGE(OFFSET($CC$3,0,0,'Données projet'!$E$12+1,1))-AVERAGE(OFFSET($H$3,0,0,'Données projet'!$E$12+1,1))</f>
        <v>302.37244372118971</v>
      </c>
      <c r="CE51" s="62">
        <f t="shared" si="40"/>
        <v>439.56450354660171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5.2772117259388747</v>
      </c>
      <c r="CL51" s="23">
        <f>EXP(-LN(2)/25)*CL50+(1-EXP(-LN(2)/25))/(LN(2)/25)*Calculateur!CG51*Calculateur!CI51*VLOOKUP('Données projet'!$B$12,Paramètres!$A$1:$I$89,3,0)*0.475*44/12</f>
        <v>10.261769088084078</v>
      </c>
      <c r="CM51" s="23">
        <f>EXP(-LN(2)/2)*CM50+(1-EXP(-LN(2)/2))/(LN(2)/2)*CG51*CJ51*VLOOKUP('Données projet'!$B$12,Paramètres!$A$1:$I$89,3,0)*0.475*44/12</f>
        <v>3.1349772725047735E-2</v>
      </c>
      <c r="CN51" s="24">
        <f t="shared" si="12"/>
        <v>15.570330586748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62.337138209133833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7.8</v>
      </c>
      <c r="CT51" s="13">
        <f>IF('Données projet'!$A$140&gt;35,CT50+CS51-DB50,IF(A51&lt;'Données projet'!$A$140,$CQ$205^A51,IF(A51='Données projet'!$A$140,'Données projet'!$B$140,CT50+CS51-DB50)))</f>
        <v>193.39999999999995</v>
      </c>
      <c r="CU51" s="18">
        <f>CT51*VLOOKUP('Données projet'!$B$13,Paramètres!$A$1:$I$89,3,0)*VLOOKUP('Données projet'!$B$13,Paramètres!$A$1:$I$89,5,0)</f>
        <v>141.80087999999995</v>
      </c>
      <c r="CV51" s="14">
        <f t="shared" si="41"/>
        <v>36.709254421801944</v>
      </c>
      <c r="CW51" s="22">
        <f t="shared" si="13"/>
        <v>310.90515078463829</v>
      </c>
      <c r="CX51" s="62">
        <f t="shared" si="14"/>
        <v>576.14132421812906</v>
      </c>
      <c r="CY51" s="62">
        <f ca="1">AVERAGE(OFFSET($CX$3,0,0,'Données projet'!$E$13+1,1))-AVERAGE(OFFSET($H$3,0,0,'Données projet'!$E$13+1,1))</f>
        <v>300.12722359176314</v>
      </c>
      <c r="CZ51" s="62">
        <f t="shared" si="42"/>
        <v>313.35115626175946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7.293302851631613</v>
      </c>
      <c r="DH51" s="23">
        <f>EXP(-LN(2)/2)*DH50+(1-EXP(-LN(2)/2))/(LN(2)/2)*DB51*DE51*VLOOKUP('Données projet'!$B$13,Paramètres!$A$1:$I$89,3,0)*0.475*44/12</f>
        <v>2.941525217921236E-2</v>
      </c>
      <c r="DI51" s="24">
        <f t="shared" si="15"/>
        <v>7.3227181038108249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62.337138209133833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62.337138209133833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62.337138209133833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62.337138209133833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62.337138209133833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3.55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13.016666666666666</v>
      </c>
      <c r="H52" s="70">
        <f t="shared" si="1"/>
        <v>204.6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62.47007172961289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17.8</v>
      </c>
      <c r="N52" s="14">
        <f>IF('Données projet'!$A$36&gt;35,N51+M52-V51,IF(A52&lt;'Données projet'!$A$36,$K$205^A52,IF(A52='Données projet'!$A$36,'Données projet'!$B$36,N51+M52-V51)))</f>
        <v>611.19999999999982</v>
      </c>
      <c r="O52" s="14">
        <f>N52*VLOOKUP('Données projet'!$B$9,Paramètres!$A$1:$I$89,3,0)*VLOOKUP('Données projet'!$B$9,Paramètres!$A$1:$I$89,5,0)</f>
        <v>341.66079999999988</v>
      </c>
      <c r="P52" s="14">
        <f t="shared" si="33"/>
        <v>79.842980844864144</v>
      </c>
      <c r="Q52" s="22">
        <f t="shared" si="53"/>
        <v>734.11908497147158</v>
      </c>
      <c r="R52" s="62">
        <f t="shared" si="0"/>
        <v>999.84268131338558</v>
      </c>
      <c r="S52" s="62">
        <f ca="1">AVERAGE(OFFSET($R$3,0,0,'Données projet'!$E$9+1,1))-AVERAGE(OFFSET($H$3,0,0,'Données projet'!$E$9+1,1))</f>
        <v>455.44531340185631</v>
      </c>
      <c r="T52" s="62">
        <f t="shared" si="34"/>
        <v>560.14861617544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7.4162337775102722</v>
      </c>
      <c r="AA52" s="23">
        <f>EXP(-LN(2)/25)*AA51+(1-EXP(-LN(2)/25))/(LN(2)/25)*Calculateur!V52*Calculateur!X52*VLOOKUP('Données projet'!$B$9,Paramètres!$A$1:$I$89,3,0)*0.475*44/12</f>
        <v>8.3969784044034501</v>
      </c>
      <c r="AB52" s="23">
        <f>EXP(-LN(2)/2)*AB51+(1-EXP(-LN(2)/2))/(LN(2)/2)*V52*Y52*VLOOKUP('Données projet'!$B$9,Paramètres!$A$1:$I$89,3,0)*0.475*44/12</f>
        <v>1.8332527279714867E-2</v>
      </c>
      <c r="AC52" s="24">
        <f t="shared" si="3"/>
        <v>15.831544709193437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62.47007172961289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8.8000000000000007</v>
      </c>
      <c r="AI52" s="14">
        <f>IF('Données projet'!$A$62&gt;35,AI51+AH52-AQ51,IF(A52&lt;'Données projet'!$A$62,$AF$205^A52,IF(A52='Données projet'!$A$62,'Données projet'!$B$62,AI51+AH52-AQ51)))</f>
        <v>222.20000000000013</v>
      </c>
      <c r="AJ52" s="14">
        <f>AI52*VLOOKUP('Données projet'!$B$10,Paramètres!$A$1:$I$89,3,0)*VLOOKUP('Données projet'!$B$10,Paramètres!$A$1:$I$89,5,0)</f>
        <v>194.11392000000015</v>
      </c>
      <c r="AK52" s="14">
        <f t="shared" si="35"/>
        <v>48.448345132424009</v>
      </c>
      <c r="AL52" s="22">
        <f t="shared" si="4"/>
        <v>422.46261177230537</v>
      </c>
      <c r="AM52" s="62">
        <f t="shared" si="5"/>
        <v>688.18620811421931</v>
      </c>
      <c r="AN52" s="62">
        <f ca="1">AVERAGE(OFFSET($AM$3,0,0,'Données projet'!$E$10+1,1))-AVERAGE(OFFSET($H$3,0,0,'Données projet'!$E$10+1,1))</f>
        <v>335.71510570470264</v>
      </c>
      <c r="AO52" s="62">
        <f t="shared" si="36"/>
        <v>401.61823018046482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15.105813288787054</v>
      </c>
      <c r="AW52" s="23">
        <f>EXP(-LN(2)/2)*AW51+(1-EXP(-LN(2)/2))/(LN(2)/2)*AQ52*AT52*VLOOKUP('Données projet'!$B$10,Paramètres!$A$1:$I$89,3,0)*0.475*44/12</f>
        <v>2.5227288542663328E-2</v>
      </c>
      <c r="AX52" s="23">
        <f t="shared" si="6"/>
        <v>15.131040577329717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62.47007172961289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11</v>
      </c>
      <c r="BD52" s="13">
        <f>IF('Données projet'!$A$88&gt;35,BD51+BC52-BL51,IF(A52&lt;'Données projet'!$A$88,$BA$205^A52,IF(A52='Données projet'!$A$88,'Données projet'!$B$88,BD51+BC52-BL51)))</f>
        <v>220.00000000000003</v>
      </c>
      <c r="BE52" s="14">
        <f>BD52*VLOOKUP('Données projet'!$B$11,Paramètres!$A$1:$I$89,3,0)*VLOOKUP('Données projet'!$B$11,Paramètres!$A$1:$I$89,5,0)</f>
        <v>199.05600000000001</v>
      </c>
      <c r="BF52" s="14">
        <f t="shared" si="37"/>
        <v>49.536648006253934</v>
      </c>
      <c r="BG52" s="22">
        <f t="shared" si="7"/>
        <v>432.96552861089231</v>
      </c>
      <c r="BH52" s="62">
        <f t="shared" si="8"/>
        <v>698.6891249528062</v>
      </c>
      <c r="BI52" s="62">
        <f ca="1">AVERAGE(OFFSET($BH$3,0,0,'Données projet'!$E$11+1,1))-AVERAGE(OFFSET($H$3,0,0,'Données projet'!$E$11+1,1))</f>
        <v>462.677457131175</v>
      </c>
      <c r="BJ52" s="62">
        <f t="shared" si="38"/>
        <v>291.78368401945909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5.3914917014385049</v>
      </c>
      <c r="BR52" s="23">
        <f>EXP(-LN(2)/2)*BR51+(1-EXP(-LN(2)/2))/(LN(2)/2)*BL52*BO52*VLOOKUP('Données projet'!$B$11,Paramètres!$A$1:$I$89,3,0)*0.475*44/12</f>
        <v>2.0591411635019465E-2</v>
      </c>
      <c r="BS52" s="24">
        <f t="shared" si="9"/>
        <v>5.4120831130735247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62.47007172961289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5.2</v>
      </c>
      <c r="BY52" s="13">
        <f>IF('Données projet'!$A$114&gt;35,BY51+BX52-CG51,IF(A52&lt;'Données projet'!$A$114,$BV$205^A52,IF(A52='Données projet'!$A$114,'Données projet'!$B$114,BY51+BX52-CG51)))</f>
        <v>368.79999999999995</v>
      </c>
      <c r="BZ52" s="14">
        <f>BY52*VLOOKUP('Données projet'!$B$12,Paramètres!$A$1:$I$89,3,0)*VLOOKUP('Données projet'!$B$12,Paramètres!$A$1:$I$89,5,0)</f>
        <v>201.3648</v>
      </c>
      <c r="CA52" s="14">
        <f t="shared" si="39"/>
        <v>50.04399063451806</v>
      </c>
      <c r="CB52" s="22">
        <f t="shared" si="10"/>
        <v>437.87031035511887</v>
      </c>
      <c r="CC52" s="62">
        <f t="shared" si="11"/>
        <v>703.59390669703282</v>
      </c>
      <c r="CD52" s="62">
        <f ca="1">AVERAGE(OFFSET($CC$3,0,0,'Données projet'!$E$12+1,1))-AVERAGE(OFFSET($H$3,0,0,'Données projet'!$E$12+1,1))</f>
        <v>302.37244372118971</v>
      </c>
      <c r="CE52" s="62">
        <f t="shared" si="40"/>
        <v>439.56450354660171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5.1737288227745379</v>
      </c>
      <c r="CL52" s="23">
        <f>EXP(-LN(2)/25)*CL51+(1-EXP(-LN(2)/25))/(LN(2)/25)*Calculateur!CG52*Calculateur!CI52*VLOOKUP('Données projet'!$B$12,Paramètres!$A$1:$I$89,3,0)*0.475*44/12</f>
        <v>9.9811604727274368</v>
      </c>
      <c r="CM52" s="23">
        <f>EXP(-LN(2)/2)*CM51+(1-EXP(-LN(2)/2))/(LN(2)/2)*CG52*CJ52*VLOOKUP('Données projet'!$B$12,Paramètres!$A$1:$I$89,3,0)*0.475*44/12</f>
        <v>2.2167636882538325E-2</v>
      </c>
      <c r="CN52" s="24">
        <f t="shared" si="12"/>
        <v>15.177056932384513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62.47007172961289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7.8</v>
      </c>
      <c r="CT52" s="13">
        <f>IF('Données projet'!$A$140&gt;35,CT51+CS52-DB51,IF(A52&lt;'Données projet'!$A$140,$CQ$205^A52,IF(A52='Données projet'!$A$140,'Données projet'!$B$140,CT51+CS52-DB51)))</f>
        <v>201.19999999999996</v>
      </c>
      <c r="CU52" s="18">
        <f>CT52*VLOOKUP('Données projet'!$B$13,Paramètres!$A$1:$I$89,3,0)*VLOOKUP('Données projet'!$B$13,Paramètres!$A$1:$I$89,5,0)</f>
        <v>147.51983999999996</v>
      </c>
      <c r="CV52" s="14">
        <f t="shared" si="41"/>
        <v>38.014414616626389</v>
      </c>
      <c r="CW52" s="22">
        <f t="shared" si="13"/>
        <v>323.13882679062425</v>
      </c>
      <c r="CX52" s="62">
        <f t="shared" si="14"/>
        <v>588.8624231325382</v>
      </c>
      <c r="CY52" s="62">
        <f ca="1">AVERAGE(OFFSET($CX$3,0,0,'Données projet'!$E$13+1,1))-AVERAGE(OFFSET($H$3,0,0,'Données projet'!$E$13+1,1))</f>
        <v>300.12722359176314</v>
      </c>
      <c r="CZ52" s="62">
        <f t="shared" si="42"/>
        <v>313.35115626175946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7.0938671016156185</v>
      </c>
      <c r="DH52" s="23">
        <f>EXP(-LN(2)/2)*DH51+(1-EXP(-LN(2)/2))/(LN(2)/2)*DB52*DE52*VLOOKUP('Données projet'!$B$13,Paramètres!$A$1:$I$89,3,0)*0.475*44/12</f>
        <v>2.0799724286233431E-2</v>
      </c>
      <c r="DI52" s="24">
        <f t="shared" si="15"/>
        <v>7.1146668259018515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62.47007172961289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62.47007172961289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62.47007172961289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62.47007172961289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62.47007172961289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3.55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13.016666666666666</v>
      </c>
      <c r="H53" s="70">
        <f t="shared" si="1"/>
        <v>204.6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62.600699150706475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629</v>
      </c>
      <c r="L53" s="13">
        <f>VLOOKUP(A53,'Données projet'!$A$35:$I$55,9,0)</f>
        <v>17.8</v>
      </c>
      <c r="M53" s="13">
        <f t="array" ref="M53">INDEX(L:L,MIN(IF(ISNUMBER(L53:L249),ROW(L53:L249),"")))</f>
        <v>17.8</v>
      </c>
      <c r="N53" s="14">
        <f>IF('Données projet'!$A$36&gt;35,N52+M53-V52,IF(A53&lt;'Données projet'!$A$36,$K$205^A53,IF(A53='Données projet'!$A$36,'Données projet'!$B$36,N52+M53-V52)))</f>
        <v>628.99999999999977</v>
      </c>
      <c r="O53" s="14">
        <f>N53*VLOOKUP('Données projet'!$B$9,Paramètres!$A$1:$I$89,3,0)*VLOOKUP('Données projet'!$B$9,Paramètres!$A$1:$I$89,5,0)</f>
        <v>351.61099999999988</v>
      </c>
      <c r="P53" s="14">
        <f t="shared" si="33"/>
        <v>81.89414415728541</v>
      </c>
      <c r="Q53" s="22">
        <f t="shared" si="53"/>
        <v>755.02145940727178</v>
      </c>
      <c r="R53" s="62">
        <f t="shared" si="0"/>
        <v>1021.2240229598622</v>
      </c>
      <c r="S53" s="62">
        <f ca="1">AVERAGE(OFFSET($R$3,0,0,'Données projet'!$E$9+1,1))-AVERAGE(OFFSET($H$3,0,0,'Données projet'!$E$9+1,1))</f>
        <v>455.44531340185631</v>
      </c>
      <c r="T53" s="62">
        <f t="shared" si="34"/>
        <v>560.14861617544</v>
      </c>
      <c r="U53" s="16">
        <f>IF(ISNA(VLOOKUP(A53,'Données projet'!$A$35:$I$55,3,0)),0,VLOOKUP(A53,'Données projet'!$A$35:$I$55,3,0))</f>
        <v>7</v>
      </c>
      <c r="V53" s="16">
        <f>IF(ISNA(VLOOKUP(A53,'Données projet'!$A$35:$I$55,4,0)),0,VLOOKUP(A53,'Données projet'!$A$35:$I$55,4,0))</f>
        <v>48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7.2708059565892462</v>
      </c>
      <c r="AA53" s="23">
        <f>EXP(-LN(2)/25)*AA52+(1-EXP(-LN(2)/25))/(LN(2)/25)*Calculateur!V53*Calculateur!X53*VLOOKUP('Données projet'!$B$9,Paramètres!$A$1:$I$89,3,0)*0.475*44/12</f>
        <v>8.1673625883571344</v>
      </c>
      <c r="AB53" s="23">
        <f>EXP(-LN(2)/2)*AB52+(1-EXP(-LN(2)/2))/(LN(2)/2)*V53*Y53*VLOOKUP('Données projet'!$B$9,Paramètres!$A$1:$I$89,3,0)*0.475*44/12</f>
        <v>1.2963054355773754E-2</v>
      </c>
      <c r="AC53" s="24">
        <f t="shared" si="3"/>
        <v>15.451131599302155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62.600699150706475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231</v>
      </c>
      <c r="AG53" s="13">
        <f>VLOOKUP(A53,'Données projet'!$A$61:$I$81,9,0)</f>
        <v>8.8000000000000007</v>
      </c>
      <c r="AH53" s="13">
        <f t="array" ref="AH53">INDEX(AG:AG,MIN(IF(ISNUMBER(AG53:AG249),ROW(AG53:AG249),"")))</f>
        <v>8.8000000000000007</v>
      </c>
      <c r="AI53" s="14">
        <f>IF('Données projet'!$A$62&gt;35,AI52+AH53-AQ52,IF(A53&lt;'Données projet'!$A$62,$AF$205^A53,IF(A53='Données projet'!$A$62,'Données projet'!$B$62,AI52+AH53-AQ52)))</f>
        <v>231.00000000000014</v>
      </c>
      <c r="AJ53" s="14">
        <f>AI53*VLOOKUP('Données projet'!$B$10,Paramètres!$A$1:$I$89,3,0)*VLOOKUP('Données projet'!$B$10,Paramètres!$A$1:$I$89,5,0)</f>
        <v>201.80160000000015</v>
      </c>
      <c r="AK53" s="14">
        <f t="shared" si="35"/>
        <v>50.139897992681711</v>
      </c>
      <c r="AL53" s="22">
        <f t="shared" si="4"/>
        <v>438.7981090039209</v>
      </c>
      <c r="AM53" s="62">
        <f t="shared" si="5"/>
        <v>705.00067255651129</v>
      </c>
      <c r="AN53" s="62">
        <f ca="1">AVERAGE(OFFSET($AM$3,0,0,'Données projet'!$E$10+1,1))-AVERAGE(OFFSET($H$3,0,0,'Données projet'!$E$10+1,1))</f>
        <v>335.71510570470264</v>
      </c>
      <c r="AO53" s="62">
        <f t="shared" si="36"/>
        <v>401.61823018046482</v>
      </c>
      <c r="AP53" s="16">
        <f>IF(ISNA(VLOOKUP(A53,'Données projet'!$A$61:$I$81,3,0)),0,VLOOKUP(A53,'Données projet'!$A$61:$I$81,3,0))</f>
        <v>8</v>
      </c>
      <c r="AQ53" s="16">
        <f>IF(ISNA(VLOOKUP(A53,'Données projet'!$A$61:$I$81,4,0)),0,VLOOKUP(A53,'Données projet'!$A$61:$I$81,4,0))</f>
        <v>33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14.692744030024976</v>
      </c>
      <c r="AW53" s="23">
        <f>EXP(-LN(2)/2)*AW52+(1-EXP(-LN(2)/2))/(LN(2)/2)*AQ53*AT53*VLOOKUP('Données projet'!$B$10,Paramètres!$A$1:$I$89,3,0)*0.475*44/12</f>
        <v>1.7838386799466935E-2</v>
      </c>
      <c r="AX53" s="23">
        <f t="shared" si="6"/>
        <v>14.710582416824442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62.600699150706475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231</v>
      </c>
      <c r="BB53" s="13">
        <f>VLOOKUP(A53,'Données projet'!$A$87:$I$107,9,0)</f>
        <v>11</v>
      </c>
      <c r="BC53" s="13">
        <f t="array" ref="BC53">INDEX(BB:BB,MIN(IF(ISNUMBER(BB53:BB249),ROW(BB53:BB249),"")))</f>
        <v>11</v>
      </c>
      <c r="BD53" s="13">
        <f>IF('Données projet'!$A$88&gt;35,BD52+BC53-BL52,IF(A53&lt;'Données projet'!$A$88,$BA$205^A53,IF(A53='Données projet'!$A$88,'Données projet'!$B$88,BD52+BC53-BL52)))</f>
        <v>231.00000000000003</v>
      </c>
      <c r="BE53" s="14">
        <f>BD53*VLOOKUP('Données projet'!$B$11,Paramètres!$A$1:$I$89,3,0)*VLOOKUP('Données projet'!$B$11,Paramètres!$A$1:$I$89,5,0)</f>
        <v>209.00880000000004</v>
      </c>
      <c r="BF53" s="14">
        <f t="shared" si="37"/>
        <v>51.718923953824252</v>
      </c>
      <c r="BG53" s="22">
        <f t="shared" si="7"/>
        <v>454.10078588624395</v>
      </c>
      <c r="BH53" s="62">
        <f t="shared" si="8"/>
        <v>720.3033494388344</v>
      </c>
      <c r="BI53" s="62">
        <f ca="1">AVERAGE(OFFSET($BH$3,0,0,'Données projet'!$E$11+1,1))-AVERAGE(OFFSET($H$3,0,0,'Données projet'!$E$11+1,1))</f>
        <v>462.677457131175</v>
      </c>
      <c r="BJ53" s="62">
        <f t="shared" si="38"/>
        <v>291.78368401945909</v>
      </c>
      <c r="BK53" s="16">
        <f>IF(ISNA(VLOOKUP(A53,'Données projet'!$A$87:$I$107,3,0)),0,VLOOKUP(A53,'Données projet'!$A$87:$I$107,3,0))</f>
        <v>7</v>
      </c>
      <c r="BL53" s="16">
        <f>IF(ISNA(VLOOKUP(A53,'Données projet'!$A$87:$I$107,4,0)),0,VLOOKUP(A53,'Données projet'!$A$87:$I$107,4,0))</f>
        <v>28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5.2440610773364424</v>
      </c>
      <c r="BR53" s="23">
        <f>EXP(-LN(2)/2)*BR52+(1-EXP(-LN(2)/2))/(LN(2)/2)*BL53*BO53*VLOOKUP('Données projet'!$B$11,Paramètres!$A$1:$I$89,3,0)*0.475*44/12</f>
        <v>1.4560326801325837E-2</v>
      </c>
      <c r="BS53" s="24">
        <f t="shared" si="9"/>
        <v>5.2586214041377684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62.600699150706475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374</v>
      </c>
      <c r="BW53" s="13">
        <f>VLOOKUP(A53,'Données projet'!$A$113:$I$133,9,0)</f>
        <v>5.2</v>
      </c>
      <c r="BX53" s="13">
        <f t="array" ref="BX53">INDEX(BW:BW,MIN(IF(ISNUMBER(BW53:BW249),ROW(BW53:BW249),"")))</f>
        <v>5.2</v>
      </c>
      <c r="BY53" s="13">
        <f>IF('Données projet'!$A$114&gt;35,BY52+BX53-CG52,IF(A53&lt;'Données projet'!$A$114,$BV$205^A53,IF(A53='Données projet'!$A$114,'Données projet'!$B$114,BY52+BX53-CG52)))</f>
        <v>373.99999999999994</v>
      </c>
      <c r="BZ53" s="14">
        <f>BY53*VLOOKUP('Données projet'!$B$12,Paramètres!$A$1:$I$89,3,0)*VLOOKUP('Données projet'!$B$12,Paramètres!$A$1:$I$89,5,0)</f>
        <v>204.20399999999998</v>
      </c>
      <c r="CA53" s="14">
        <f t="shared" si="39"/>
        <v>50.666958146601125</v>
      </c>
      <c r="CB53" s="22">
        <f t="shared" si="10"/>
        <v>443.90025210533031</v>
      </c>
      <c r="CC53" s="62">
        <f t="shared" si="11"/>
        <v>710.1028156579207</v>
      </c>
      <c r="CD53" s="62">
        <f ca="1">AVERAGE(OFFSET($CC$3,0,0,'Données projet'!$E$12+1,1))-AVERAGE(OFFSET($H$3,0,0,'Données projet'!$E$12+1,1))</f>
        <v>302.37244372118971</v>
      </c>
      <c r="CE53" s="62">
        <f t="shared" si="40"/>
        <v>439.56450354660171</v>
      </c>
      <c r="CF53" s="16">
        <f>IF(ISNA(VLOOKUP(A53,'Données projet'!$A$113:$I$133,3,0)),0,VLOOKUP(A53,'Données projet'!$A$113:$I$133,3,0))</f>
        <v>9</v>
      </c>
      <c r="CG53" s="16">
        <f>IF(ISNA(VLOOKUP(A53,'Données projet'!$A$113:$I$133,4,0)),0,VLOOKUP(A53,'Données projet'!$A$113:$I$133,4,0))</f>
        <v>374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5.0722751562229149</v>
      </c>
      <c r="CL53" s="23">
        <f>EXP(-LN(2)/25)*CL52+(1-EXP(-LN(2)/25))/(LN(2)/25)*Calculateur!CG53*Calculateur!CI53*VLOOKUP('Données projet'!$B$12,Paramètres!$A$1:$I$89,3,0)*0.475*44/12</f>
        <v>9.7082251147142884</v>
      </c>
      <c r="CM53" s="23">
        <f>EXP(-LN(2)/2)*CM52+(1-EXP(-LN(2)/2))/(LN(2)/2)*CG53*CJ53*VLOOKUP('Données projet'!$B$12,Paramètres!$A$1:$I$89,3,0)*0.475*44/12</f>
        <v>1.5674886362523868E-2</v>
      </c>
      <c r="CN53" s="24">
        <f t="shared" si="12"/>
        <v>14.796175157299727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62.600699150706475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209</v>
      </c>
      <c r="CR53" s="13">
        <f>VLOOKUP(A53,'Données projet'!$A$139:$I$159,9,0)</f>
        <v>7.8</v>
      </c>
      <c r="CS53" s="13">
        <f t="array" ref="CS53">INDEX(CR:CR,MIN(IF(ISNUMBER(CR53:CR249),ROW(CR53:CR249),"")))</f>
        <v>7.8</v>
      </c>
      <c r="CT53" s="13">
        <f>IF('Données projet'!$A$140&gt;35,CT52+CS53-DB52,IF(A53&lt;'Données projet'!$A$140,$CQ$205^A53,IF(A53='Données projet'!$A$140,'Données projet'!$B$140,CT52+CS53-DB52)))</f>
        <v>208.99999999999997</v>
      </c>
      <c r="CU53" s="18">
        <f>CT53*VLOOKUP('Données projet'!$B$13,Paramètres!$A$1:$I$89,3,0)*VLOOKUP('Données projet'!$B$13,Paramètres!$A$1:$I$89,5,0)</f>
        <v>153.23879999999997</v>
      </c>
      <c r="CV53" s="14">
        <f t="shared" si="41"/>
        <v>39.31369695702417</v>
      </c>
      <c r="CW53" s="22">
        <f t="shared" si="13"/>
        <v>335.36226553348371</v>
      </c>
      <c r="CX53" s="62">
        <f t="shared" si="14"/>
        <v>601.56482908607404</v>
      </c>
      <c r="CY53" s="62">
        <f ca="1">AVERAGE(OFFSET($CX$3,0,0,'Données projet'!$E$13+1,1))-AVERAGE(OFFSET($H$3,0,0,'Données projet'!$E$13+1,1))</f>
        <v>300.12722359176314</v>
      </c>
      <c r="CZ53" s="62">
        <f t="shared" si="42"/>
        <v>313.35115626175946</v>
      </c>
      <c r="DA53" s="16">
        <f>IF(ISNA(VLOOKUP(A53,'Données projet'!$A$139:$I$159,3,0)),0,VLOOKUP(A53,'Données projet'!$A$139:$I$159,3,0))</f>
        <v>7</v>
      </c>
      <c r="DB53" s="16">
        <f>IF(ISNA(VLOOKUP(A53,'Données projet'!$A$139:$I$159,4,0)),0,VLOOKUP(A53,'Données projet'!$A$139:$I$159,4,0))</f>
        <v>28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6.8998849326716822</v>
      </c>
      <c r="DH53" s="23">
        <f>EXP(-LN(2)/2)*DH52+(1-EXP(-LN(2)/2))/(LN(2)/2)*DB53*DE53*VLOOKUP('Données projet'!$B$13,Paramètres!$A$1:$I$89,3,0)*0.475*44/12</f>
        <v>1.4707626089606182E-2</v>
      </c>
      <c r="DI53" s="24">
        <f t="shared" si="15"/>
        <v>6.9145925587612886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62.600699150706475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62.600699150706475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62.600699150706475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62.600699150706475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62.600699150706475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3.55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13.016666666666666</v>
      </c>
      <c r="H54" s="70">
        <f t="shared" si="1"/>
        <v>204.6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62.729060478083241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13.8</v>
      </c>
      <c r="N54" s="14">
        <f>IF('Données projet'!$A$36&gt;35,N53+M54-V53,IF(A54&lt;'Données projet'!$A$36,$K$205^A54,IF(A54='Données projet'!$A$36,'Données projet'!$B$36,N53+M54-V53)))</f>
        <v>594.79999999999973</v>
      </c>
      <c r="O54" s="14">
        <f>N54*VLOOKUP('Données projet'!$B$9,Paramètres!$A$1:$I$89,3,0)*VLOOKUP('Données projet'!$B$9,Paramètres!$A$1:$I$89,5,0)</f>
        <v>332.49319999999983</v>
      </c>
      <c r="P54" s="14">
        <f t="shared" si="33"/>
        <v>77.946984490524827</v>
      </c>
      <c r="Q54" s="22">
        <f t="shared" si="53"/>
        <v>714.84998798766367</v>
      </c>
      <c r="R54" s="62">
        <f t="shared" si="0"/>
        <v>981.52320974063559</v>
      </c>
      <c r="S54" s="62">
        <f ca="1">AVERAGE(OFFSET($R$3,0,0,'Données projet'!$E$9+1,1))-AVERAGE(OFFSET($H$3,0,0,'Données projet'!$E$9+1,1))</f>
        <v>455.44531340185631</v>
      </c>
      <c r="T54" s="62">
        <f t="shared" si="34"/>
        <v>560.14861617544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7.1282298865342693</v>
      </c>
      <c r="AA54" s="23">
        <f>EXP(-LN(2)/25)*AA53+(1-EXP(-LN(2)/25))/(LN(2)/25)*Calculateur!V54*Calculateur!X54*VLOOKUP('Données projet'!$B$9,Paramètres!$A$1:$I$89,3,0)*0.475*44/12</f>
        <v>7.9440256288755764</v>
      </c>
      <c r="AB54" s="23">
        <f>EXP(-LN(2)/2)*AB53+(1-EXP(-LN(2)/2))/(LN(2)/2)*V54*Y54*VLOOKUP('Données projet'!$B$9,Paramètres!$A$1:$I$89,3,0)*0.475*44/12</f>
        <v>9.1662636398574335E-3</v>
      </c>
      <c r="AC54" s="24">
        <f t="shared" si="3"/>
        <v>15.081421779049704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62.729060478083241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7.8</v>
      </c>
      <c r="AI54" s="14">
        <f>IF('Données projet'!$A$62&gt;35,AI53+AH54-AQ53,IF(A54&lt;'Données projet'!$A$62,$AF$205^A54,IF(A54='Données projet'!$A$62,'Données projet'!$B$62,AI53+AH54-AQ53)))</f>
        <v>205.80000000000015</v>
      </c>
      <c r="AJ54" s="14">
        <f>AI54*VLOOKUP('Données projet'!$B$10,Paramètres!$A$1:$I$89,3,0)*VLOOKUP('Données projet'!$B$10,Paramètres!$A$1:$I$89,5,0)</f>
        <v>179.78688000000014</v>
      </c>
      <c r="AK54" s="14">
        <f t="shared" si="35"/>
        <v>45.274767624296977</v>
      </c>
      <c r="AL54" s="22">
        <f t="shared" si="4"/>
        <v>391.98236961231743</v>
      </c>
      <c r="AM54" s="62">
        <f t="shared" si="5"/>
        <v>658.6555913652893</v>
      </c>
      <c r="AN54" s="62">
        <f ca="1">AVERAGE(OFFSET($AM$3,0,0,'Données projet'!$E$10+1,1))-AVERAGE(OFFSET($H$3,0,0,'Données projet'!$E$10+1,1))</f>
        <v>335.71510570470264</v>
      </c>
      <c r="AO54" s="62">
        <f t="shared" si="36"/>
        <v>401.61823018046482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14.290970171866116</v>
      </c>
      <c r="AW54" s="23">
        <f>EXP(-LN(2)/2)*AW53+(1-EXP(-LN(2)/2))/(LN(2)/2)*AQ54*AT54*VLOOKUP('Données projet'!$B$10,Paramètres!$A$1:$I$89,3,0)*0.475*44/12</f>
        <v>1.2613644271331664E-2</v>
      </c>
      <c r="AX54" s="23">
        <f t="shared" si="6"/>
        <v>14.303583816137447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62.729060478083241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10.199999999999999</v>
      </c>
      <c r="BD54" s="13">
        <f>IF('Données projet'!$A$88&gt;35,BD53+BC54-BL53,IF(A54&lt;'Données projet'!$A$88,$BA$205^A54,IF(A54='Données projet'!$A$88,'Données projet'!$B$88,BD53+BC54-BL53)))</f>
        <v>213.20000000000002</v>
      </c>
      <c r="BE54" s="14">
        <f>BD54*VLOOKUP('Données projet'!$B$11,Paramètres!$A$1:$I$89,3,0)*VLOOKUP('Données projet'!$B$11,Paramètres!$A$1:$I$89,5,0)</f>
        <v>192.90336000000002</v>
      </c>
      <c r="BF54" s="14">
        <f t="shared" si="37"/>
        <v>48.181276881765257</v>
      </c>
      <c r="BG54" s="22">
        <f t="shared" si="7"/>
        <v>419.88907590240791</v>
      </c>
      <c r="BH54" s="62">
        <f t="shared" si="8"/>
        <v>686.56229765537978</v>
      </c>
      <c r="BI54" s="62">
        <f ca="1">AVERAGE(OFFSET($BH$3,0,0,'Données projet'!$E$11+1,1))-AVERAGE(OFFSET($H$3,0,0,'Données projet'!$E$11+1,1))</f>
        <v>462.677457131175</v>
      </c>
      <c r="BJ54" s="62">
        <f t="shared" si="38"/>
        <v>291.78368401945909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5.1006619514034908</v>
      </c>
      <c r="BR54" s="23">
        <f>EXP(-LN(2)/2)*BR53+(1-EXP(-LN(2)/2))/(LN(2)/2)*BL54*BO54*VLOOKUP('Données projet'!$B$11,Paramètres!$A$1:$I$89,3,0)*0.475*44/12</f>
        <v>1.0295705817509732E-2</v>
      </c>
      <c r="BS54" s="24">
        <f t="shared" si="9"/>
        <v>5.1109576572210003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62.729060478083241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-5.6843418860808015E-14</v>
      </c>
      <c r="BZ54" s="14">
        <f>BY54*VLOOKUP('Données projet'!$B$12,Paramètres!$A$1:$I$89,3,0)*VLOOKUP('Données projet'!$B$12,Paramètres!$A$1:$I$89,5,0)</f>
        <v>-3.1036506698001178E-14</v>
      </c>
      <c r="CA54" s="14" t="e">
        <f t="shared" si="39"/>
        <v>#NUM!</v>
      </c>
      <c r="CB54" s="22" t="e">
        <f t="shared" si="10"/>
        <v>#NUM!</v>
      </c>
      <c r="CC54" s="62" t="e">
        <f t="shared" si="11"/>
        <v>#NUM!</v>
      </c>
      <c r="CD54" s="62">
        <f ca="1">AVERAGE(OFFSET($CC$3,0,0,'Données projet'!$E$12+1,1))-AVERAGE(OFFSET($H$3,0,0,'Données projet'!$E$12+1,1))</f>
        <v>302.37244372118971</v>
      </c>
      <c r="CE54" s="62">
        <f t="shared" si="40"/>
        <v>439.56450354660171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4.9728109341917435</v>
      </c>
      <c r="CL54" s="23">
        <f>EXP(-LN(2)/25)*CL53+(1-EXP(-LN(2)/25))/(LN(2)/25)*Calculateur!CG54*Calculateur!CI54*VLOOKUP('Données projet'!$B$12,Paramètres!$A$1:$I$89,3,0)*0.475*44/12</f>
        <v>9.4427531884190561</v>
      </c>
      <c r="CM54" s="23">
        <f>EXP(-LN(2)/2)*CM53+(1-EXP(-LN(2)/2))/(LN(2)/2)*CG54*CJ54*VLOOKUP('Données projet'!$B$12,Paramètres!$A$1:$I$89,3,0)*0.475*44/12</f>
        <v>1.1083818441269162E-2</v>
      </c>
      <c r="CN54" s="24">
        <f t="shared" si="12"/>
        <v>14.426647941052069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62.729060478083241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6.8</v>
      </c>
      <c r="CT54" s="13">
        <f>IF('Données projet'!$A$140&gt;35,CT53+CS54-DB53,IF(A54&lt;'Données projet'!$A$140,$CQ$205^A54,IF(A54='Données projet'!$A$140,'Données projet'!$B$140,CT53+CS54-DB53)))</f>
        <v>187.79999999999998</v>
      </c>
      <c r="CU54" s="18">
        <f>CT54*VLOOKUP('Données projet'!$B$13,Paramètres!$A$1:$I$89,3,0)*VLOOKUP('Données projet'!$B$13,Paramètres!$A$1:$I$89,5,0)</f>
        <v>137.69495999999998</v>
      </c>
      <c r="CV54" s="14">
        <f t="shared" si="41"/>
        <v>35.768444072080854</v>
      </c>
      <c r="CW54" s="22">
        <f t="shared" si="13"/>
        <v>302.11542875887409</v>
      </c>
      <c r="CX54" s="62">
        <f t="shared" si="14"/>
        <v>568.78865051184596</v>
      </c>
      <c r="CY54" s="62">
        <f ca="1">AVERAGE(OFFSET($CX$3,0,0,'Données projet'!$E$13+1,1))-AVERAGE(OFFSET($H$3,0,0,'Données projet'!$E$13+1,1))</f>
        <v>300.12722359176314</v>
      </c>
      <c r="CZ54" s="62">
        <f t="shared" si="42"/>
        <v>313.35115626175946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6.7112072163385967</v>
      </c>
      <c r="DH54" s="23">
        <f>EXP(-LN(2)/2)*DH53+(1-EXP(-LN(2)/2))/(LN(2)/2)*DB54*DE54*VLOOKUP('Données projet'!$B$13,Paramètres!$A$1:$I$89,3,0)*0.475*44/12</f>
        <v>1.0399862143116716E-2</v>
      </c>
      <c r="DI54" s="24">
        <f t="shared" si="15"/>
        <v>6.7216070784817132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62.729060478083241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62.729060478083241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62.729060478083241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62.729060478083241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62.729060478083241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3.55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13.016666666666666</v>
      </c>
      <c r="H55" s="70">
        <f t="shared" si="1"/>
        <v>204.6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62.855195023402956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13.8</v>
      </c>
      <c r="N55" s="14">
        <f>IF('Données projet'!$A$36&gt;35,N54+M55-V54,IF(A55&lt;'Données projet'!$A$36,$K$205^A55,IF(A55='Données projet'!$A$36,'Données projet'!$B$36,N54+M55-V54)))</f>
        <v>608.59999999999968</v>
      </c>
      <c r="O55" s="14">
        <f>N55*VLOOKUP('Données projet'!$B$9,Paramètres!$A$1:$I$89,3,0)*VLOOKUP('Données projet'!$B$9,Paramètres!$A$1:$I$89,5,0)</f>
        <v>340.20739999999984</v>
      </c>
      <c r="P55" s="14">
        <f t="shared" si="33"/>
        <v>79.542795053996059</v>
      </c>
      <c r="Q55" s="22">
        <f t="shared" si="53"/>
        <v>731.06492305237623</v>
      </c>
      <c r="R55" s="62">
        <f t="shared" si="0"/>
        <v>998.20063813818706</v>
      </c>
      <c r="S55" s="62">
        <f ca="1">AVERAGE(OFFSET($R$3,0,0,'Données projet'!$E$9+1,1))-AVERAGE(OFFSET($H$3,0,0,'Données projet'!$E$9+1,1))</f>
        <v>455.44531340185631</v>
      </c>
      <c r="T55" s="62">
        <f t="shared" si="34"/>
        <v>560.14861617544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6.9884496462502543</v>
      </c>
      <c r="AA55" s="23">
        <f>EXP(-LN(2)/25)*AA54+(1-EXP(-LN(2)/25))/(LN(2)/25)*Calculateur!V55*Calculateur!X55*VLOOKUP('Données projet'!$B$9,Paramètres!$A$1:$I$89,3,0)*0.475*44/12</f>
        <v>7.7267958302958224</v>
      </c>
      <c r="AB55" s="23">
        <f>EXP(-LN(2)/2)*AB54+(1-EXP(-LN(2)/2))/(LN(2)/2)*V55*Y55*VLOOKUP('Données projet'!$B$9,Paramètres!$A$1:$I$89,3,0)*0.475*44/12</f>
        <v>6.4815271778868771E-3</v>
      </c>
      <c r="AC55" s="24">
        <f t="shared" si="3"/>
        <v>14.721727003723963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62.855195023402956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7.8</v>
      </c>
      <c r="AI55" s="14">
        <f>IF('Données projet'!$A$62&gt;35,AI54+AH55-AQ54,IF(A55&lt;'Données projet'!$A$62,$AF$205^A55,IF(A55='Données projet'!$A$62,'Données projet'!$B$62,AI54+AH55-AQ54)))</f>
        <v>213.60000000000016</v>
      </c>
      <c r="AJ55" s="14">
        <f>AI55*VLOOKUP('Données projet'!$B$10,Paramètres!$A$1:$I$89,3,0)*VLOOKUP('Données projet'!$B$10,Paramètres!$A$1:$I$89,5,0)</f>
        <v>186.60096000000016</v>
      </c>
      <c r="AK55" s="14">
        <f t="shared" si="35"/>
        <v>46.787685683664144</v>
      </c>
      <c r="AL55" s="22">
        <f t="shared" si="4"/>
        <v>406.48522456571527</v>
      </c>
      <c r="AM55" s="62">
        <f t="shared" si="5"/>
        <v>673.6209396515261</v>
      </c>
      <c r="AN55" s="62">
        <f ca="1">AVERAGE(OFFSET($AM$3,0,0,'Données projet'!$E$10+1,1))-AVERAGE(OFFSET($H$3,0,0,'Données projet'!$E$10+1,1))</f>
        <v>335.71510570470264</v>
      </c>
      <c r="AO55" s="62">
        <f t="shared" si="36"/>
        <v>401.61823018046482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13.900182840986979</v>
      </c>
      <c r="AW55" s="23">
        <f>EXP(-LN(2)/2)*AW54+(1-EXP(-LN(2)/2))/(LN(2)/2)*AQ55*AT55*VLOOKUP('Données projet'!$B$10,Paramètres!$A$1:$I$89,3,0)*0.475*44/12</f>
        <v>8.9191933997334674E-3</v>
      </c>
      <c r="AX55" s="23">
        <f t="shared" si="6"/>
        <v>13.909102034386713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62.855195023402956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10.199999999999999</v>
      </c>
      <c r="BD55" s="13">
        <f>IF('Données projet'!$A$88&gt;35,BD54+BC55-BL54,IF(A55&lt;'Données projet'!$A$88,$BA$205^A55,IF(A55='Données projet'!$A$88,'Données projet'!$B$88,BD54+BC55-BL54)))</f>
        <v>223.4</v>
      </c>
      <c r="BE55" s="14">
        <f>BD55*VLOOKUP('Données projet'!$B$11,Paramètres!$A$1:$I$89,3,0)*VLOOKUP('Données projet'!$B$11,Paramètres!$A$1:$I$89,5,0)</f>
        <v>202.13232000000002</v>
      </c>
      <c r="BF55" s="14">
        <f t="shared" si="37"/>
        <v>50.212497488959627</v>
      </c>
      <c r="BG55" s="22">
        <f t="shared" si="7"/>
        <v>439.50055712660469</v>
      </c>
      <c r="BH55" s="62">
        <f t="shared" si="8"/>
        <v>706.63627221241552</v>
      </c>
      <c r="BI55" s="62">
        <f ca="1">AVERAGE(OFFSET($BH$3,0,0,'Données projet'!$E$11+1,1))-AVERAGE(OFFSET($H$3,0,0,'Données projet'!$E$11+1,1))</f>
        <v>462.677457131175</v>
      </c>
      <c r="BJ55" s="62">
        <f t="shared" si="38"/>
        <v>291.78368401945909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4.9611840821102078</v>
      </c>
      <c r="BR55" s="23">
        <f>EXP(-LN(2)/2)*BR54+(1-EXP(-LN(2)/2))/(LN(2)/2)*BL55*BO55*VLOOKUP('Données projet'!$B$11,Paramètres!$A$1:$I$89,3,0)*0.475*44/12</f>
        <v>7.2801634006629187E-3</v>
      </c>
      <c r="BS55" s="24">
        <f t="shared" si="9"/>
        <v>4.9684642455108703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62.855195023402956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-5.6843418860808015E-14</v>
      </c>
      <c r="BZ55" s="14">
        <f>BY55*VLOOKUP('Données projet'!$B$12,Paramètres!$A$1:$I$89,3,0)*VLOOKUP('Données projet'!$B$12,Paramètres!$A$1:$I$89,5,0)</f>
        <v>-3.1036506698001178E-14</v>
      </c>
      <c r="CA55" s="14" t="e">
        <f t="shared" si="39"/>
        <v>#NUM!</v>
      </c>
      <c r="CB55" s="22" t="e">
        <f t="shared" si="10"/>
        <v>#NUM!</v>
      </c>
      <c r="CC55" s="62" t="e">
        <f t="shared" si="11"/>
        <v>#NUM!</v>
      </c>
      <c r="CD55" s="62">
        <f ca="1">AVERAGE(OFFSET($CC$3,0,0,'Données projet'!$E$12+1,1))-AVERAGE(OFFSET($H$3,0,0,'Données projet'!$E$12+1,1))</f>
        <v>302.37244372118971</v>
      </c>
      <c r="CE55" s="62">
        <f t="shared" si="40"/>
        <v>439.56450354660171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4.8752971448874183</v>
      </c>
      <c r="CL55" s="23">
        <f>EXP(-LN(2)/25)*CL54+(1-EXP(-LN(2)/25))/(LN(2)/25)*Calculateur!CG55*Calculateur!CI55*VLOOKUP('Données projet'!$B$12,Paramètres!$A$1:$I$89,3,0)*0.475*44/12</f>
        <v>9.1845406059089285</v>
      </c>
      <c r="CM55" s="23">
        <f>EXP(-LN(2)/2)*CM54+(1-EXP(-LN(2)/2))/(LN(2)/2)*CG55*CJ55*VLOOKUP('Données projet'!$B$12,Paramètres!$A$1:$I$89,3,0)*0.475*44/12</f>
        <v>7.8374431812619338E-3</v>
      </c>
      <c r="CN55" s="24">
        <f t="shared" si="12"/>
        <v>14.06767519397761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62.855195023402956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6.8</v>
      </c>
      <c r="CT55" s="13">
        <f>IF('Données projet'!$A$140&gt;35,CT54+CS55-DB54,IF(A55&lt;'Données projet'!$A$140,$CQ$205^A55,IF(A55='Données projet'!$A$140,'Données projet'!$B$140,CT54+CS55-DB54)))</f>
        <v>194.6</v>
      </c>
      <c r="CU55" s="18">
        <f>CT55*VLOOKUP('Données projet'!$B$13,Paramètres!$A$1:$I$89,3,0)*VLOOKUP('Données projet'!$B$13,Paramètres!$A$1:$I$89,5,0)</f>
        <v>142.68071999999998</v>
      </c>
      <c r="CV55" s="14">
        <f t="shared" si="41"/>
        <v>36.910441252438588</v>
      </c>
      <c r="CW55" s="22">
        <f t="shared" si="13"/>
        <v>312.78793918133044</v>
      </c>
      <c r="CX55" s="62">
        <f t="shared" si="14"/>
        <v>579.92365426714127</v>
      </c>
      <c r="CY55" s="62">
        <f ca="1">AVERAGE(OFFSET($CX$3,0,0,'Données projet'!$E$13+1,1))-AVERAGE(OFFSET($H$3,0,0,'Données projet'!$E$13+1,1))</f>
        <v>300.12722359176314</v>
      </c>
      <c r="CZ55" s="62">
        <f t="shared" si="42"/>
        <v>313.35115626175946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6.5276889020807687</v>
      </c>
      <c r="DH55" s="23">
        <f>EXP(-LN(2)/2)*DH54+(1-EXP(-LN(2)/2))/(LN(2)/2)*DB55*DE55*VLOOKUP('Données projet'!$B$13,Paramètres!$A$1:$I$89,3,0)*0.475*44/12</f>
        <v>7.3538130448030908E-3</v>
      </c>
      <c r="DI55" s="24">
        <f t="shared" si="15"/>
        <v>6.5350427151255719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62.855195023402956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62.855195023402956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62.855195023402956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62.855195023402956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62.855195023402956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3.55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13.016666666666666</v>
      </c>
      <c r="H56" s="70">
        <f t="shared" si="1"/>
        <v>204.6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62.979141416355972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13.8</v>
      </c>
      <c r="N56" s="14">
        <f>IF('Données projet'!$A$36&gt;35,N55+M56-V55,IF(A56&lt;'Données projet'!$A$36,$K$205^A56,IF(A56='Données projet'!$A$36,'Données projet'!$B$36,N55+M56-V55)))</f>
        <v>622.39999999999964</v>
      </c>
      <c r="O56" s="14">
        <f>N56*VLOOKUP('Données projet'!$B$9,Paramètres!$A$1:$I$89,3,0)*VLOOKUP('Données projet'!$B$9,Paramètres!$A$1:$I$89,5,0)</f>
        <v>347.92159999999978</v>
      </c>
      <c r="P56" s="14">
        <f t="shared" si="33"/>
        <v>81.134398856989449</v>
      </c>
      <c r="Q56" s="22">
        <f t="shared" si="53"/>
        <v>747.27253134258956</v>
      </c>
      <c r="R56" s="62">
        <f t="shared" si="0"/>
        <v>1014.8627165358948</v>
      </c>
      <c r="S56" s="62">
        <f ca="1">AVERAGE(OFFSET($R$3,0,0,'Données projet'!$E$9+1,1))-AVERAGE(OFFSET($H$3,0,0,'Données projet'!$E$9+1,1))</f>
        <v>455.44531340185631</v>
      </c>
      <c r="T56" s="62">
        <f t="shared" si="34"/>
        <v>560.14861617544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6.8514104112206811</v>
      </c>
      <c r="AA56" s="23">
        <f>EXP(-LN(2)/25)*AA55+(1-EXP(-LN(2)/25))/(LN(2)/25)*Calculateur!V56*Calculateur!X56*VLOOKUP('Données projet'!$B$9,Paramètres!$A$1:$I$89,3,0)*0.475*44/12</f>
        <v>7.5155061919818502</v>
      </c>
      <c r="AB56" s="23">
        <f>EXP(-LN(2)/2)*AB55+(1-EXP(-LN(2)/2))/(LN(2)/2)*V56*Y56*VLOOKUP('Données projet'!$B$9,Paramètres!$A$1:$I$89,3,0)*0.475*44/12</f>
        <v>4.5831318199287168E-3</v>
      </c>
      <c r="AC56" s="24">
        <f t="shared" si="3"/>
        <v>14.371499735022461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62.979141416355972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7.8</v>
      </c>
      <c r="AI56" s="14">
        <f>IF('Données projet'!$A$62&gt;35,AI55+AH56-AQ55,IF(A56&lt;'Données projet'!$A$62,$AF$205^A56,IF(A56='Données projet'!$A$62,'Données projet'!$B$62,AI55+AH56-AQ55)))</f>
        <v>221.40000000000018</v>
      </c>
      <c r="AJ56" s="14">
        <f>AI56*VLOOKUP('Données projet'!$B$10,Paramètres!$A$1:$I$89,3,0)*VLOOKUP('Données projet'!$B$10,Paramètres!$A$1:$I$89,5,0)</f>
        <v>193.41504000000018</v>
      </c>
      <c r="AK56" s="14">
        <f t="shared" si="35"/>
        <v>48.294185132315114</v>
      </c>
      <c r="AL56" s="22">
        <f t="shared" si="4"/>
        <v>420.97690043878242</v>
      </c>
      <c r="AM56" s="62">
        <f t="shared" si="5"/>
        <v>688.56708563208758</v>
      </c>
      <c r="AN56" s="62">
        <f ca="1">AVERAGE(OFFSET($AM$3,0,0,'Données projet'!$E$10+1,1))-AVERAGE(OFFSET($H$3,0,0,'Données projet'!$E$10+1,1))</f>
        <v>335.71510570470264</v>
      </c>
      <c r="AO56" s="62">
        <f t="shared" si="36"/>
        <v>401.61823018046482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13.520081610221343</v>
      </c>
      <c r="AW56" s="23">
        <f>EXP(-LN(2)/2)*AW55+(1-EXP(-LN(2)/2))/(LN(2)/2)*AQ56*AT56*VLOOKUP('Données projet'!$B$10,Paramètres!$A$1:$I$89,3,0)*0.475*44/12</f>
        <v>6.306822135665832E-3</v>
      </c>
      <c r="AX56" s="23">
        <f t="shared" si="6"/>
        <v>13.52638843235701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62.979141416355972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10.199999999999999</v>
      </c>
      <c r="BD56" s="13">
        <f>IF('Données projet'!$A$88&gt;35,BD55+BC56-BL55,IF(A56&lt;'Données projet'!$A$88,$BA$205^A56,IF(A56='Données projet'!$A$88,'Données projet'!$B$88,BD55+BC56-BL55)))</f>
        <v>233.6</v>
      </c>
      <c r="BE56" s="14">
        <f>BD56*VLOOKUP('Données projet'!$B$11,Paramètres!$A$1:$I$89,3,0)*VLOOKUP('Données projet'!$B$11,Paramètres!$A$1:$I$89,5,0)</f>
        <v>211.36127999999999</v>
      </c>
      <c r="BF56" s="14">
        <f t="shared" si="37"/>
        <v>52.232947669705631</v>
      </c>
      <c r="BG56" s="22">
        <f t="shared" si="7"/>
        <v>459.09327985807062</v>
      </c>
      <c r="BH56" s="62">
        <f t="shared" si="8"/>
        <v>726.68346505137583</v>
      </c>
      <c r="BI56" s="62">
        <f ca="1">AVERAGE(OFFSET($BH$3,0,0,'Données projet'!$E$11+1,1))-AVERAGE(OFFSET($H$3,0,0,'Données projet'!$E$11+1,1))</f>
        <v>462.677457131175</v>
      </c>
      <c r="BJ56" s="62">
        <f t="shared" si="38"/>
        <v>291.78368401945909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4.8255202424875723</v>
      </c>
      <c r="BR56" s="23">
        <f>EXP(-LN(2)/2)*BR55+(1-EXP(-LN(2)/2))/(LN(2)/2)*BL56*BO56*VLOOKUP('Données projet'!$B$11,Paramètres!$A$1:$I$89,3,0)*0.475*44/12</f>
        <v>5.1478529087548661E-3</v>
      </c>
      <c r="BS56" s="24">
        <f t="shared" si="9"/>
        <v>4.8306680953963275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62.979141416355972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-5.6843418860808015E-14</v>
      </c>
      <c r="BZ56" s="14">
        <f>BY56*VLOOKUP('Données projet'!$B$12,Paramètres!$A$1:$I$89,3,0)*VLOOKUP('Données projet'!$B$12,Paramètres!$A$1:$I$89,5,0)</f>
        <v>-3.1036506698001178E-14</v>
      </c>
      <c r="CA56" s="14" t="e">
        <f t="shared" si="39"/>
        <v>#NUM!</v>
      </c>
      <c r="CB56" s="22" t="e">
        <f t="shared" si="10"/>
        <v>#NUM!</v>
      </c>
      <c r="CC56" s="62" t="e">
        <f t="shared" si="11"/>
        <v>#NUM!</v>
      </c>
      <c r="CD56" s="62">
        <f ca="1">AVERAGE(OFFSET($CC$3,0,0,'Données projet'!$E$12+1,1))-AVERAGE(OFFSET($H$3,0,0,'Données projet'!$E$12+1,1))</f>
        <v>302.37244372118971</v>
      </c>
      <c r="CE56" s="62">
        <f t="shared" si="40"/>
        <v>439.56450354660171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4.7796955415138118</v>
      </c>
      <c r="CL56" s="23">
        <f>EXP(-LN(2)/25)*CL55+(1-EXP(-LN(2)/25))/(LN(2)/25)*Calculateur!CG56*Calculateur!CI56*VLOOKUP('Données projet'!$B$12,Paramètres!$A$1:$I$89,3,0)*0.475*44/12</f>
        <v>8.9333888600463496</v>
      </c>
      <c r="CM56" s="23">
        <f>EXP(-LN(2)/2)*CM55+(1-EXP(-LN(2)/2))/(LN(2)/2)*CG56*CJ56*VLOOKUP('Données projet'!$B$12,Paramètres!$A$1:$I$89,3,0)*0.475*44/12</f>
        <v>5.5419092206345812E-3</v>
      </c>
      <c r="CN56" s="24">
        <f t="shared" si="12"/>
        <v>13.718626310780795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62.979141416355972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6.8</v>
      </c>
      <c r="CT56" s="13">
        <f>IF('Données projet'!$A$140&gt;35,CT55+CS56-DB55,IF(A56&lt;'Données projet'!$A$140,$CQ$205^A56,IF(A56='Données projet'!$A$140,'Données projet'!$B$140,CT55+CS56-DB55)))</f>
        <v>201.4</v>
      </c>
      <c r="CU56" s="18">
        <f>CT56*VLOOKUP('Données projet'!$B$13,Paramètres!$A$1:$I$89,3,0)*VLOOKUP('Données projet'!$B$13,Paramètres!$A$1:$I$89,5,0)</f>
        <v>147.66648000000001</v>
      </c>
      <c r="CV56" s="14">
        <f t="shared" si="41"/>
        <v>38.047801887225013</v>
      </c>
      <c r="CW56" s="22">
        <f t="shared" si="13"/>
        <v>323.45237428691689</v>
      </c>
      <c r="CX56" s="62">
        <f t="shared" si="14"/>
        <v>591.04255948022205</v>
      </c>
      <c r="CY56" s="62">
        <f ca="1">AVERAGE(OFFSET($CX$3,0,0,'Données projet'!$E$13+1,1))-AVERAGE(OFFSET($H$3,0,0,'Données projet'!$E$13+1,1))</f>
        <v>300.12722359176314</v>
      </c>
      <c r="CZ56" s="62">
        <f t="shared" si="42"/>
        <v>313.35115626175946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6.3491889057771296</v>
      </c>
      <c r="DH56" s="23">
        <f>EXP(-LN(2)/2)*DH55+(1-EXP(-LN(2)/2))/(LN(2)/2)*DB56*DE56*VLOOKUP('Données projet'!$B$13,Paramètres!$A$1:$I$89,3,0)*0.475*44/12</f>
        <v>5.1999310715583578E-3</v>
      </c>
      <c r="DI56" s="24">
        <f t="shared" si="15"/>
        <v>6.3543888368486883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62.979141416355972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62.979141416355972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62.979141416355972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62.979141416355972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62.979141416355972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3.55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13.016666666666666</v>
      </c>
      <c r="H57" s="70">
        <f t="shared" si="1"/>
        <v>204.6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63.10093761649388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13.8</v>
      </c>
      <c r="N57" s="14">
        <f>IF('Données projet'!$A$36&gt;35,N56+M57-V56,IF(A57&lt;'Données projet'!$A$36,$K$205^A57,IF(A57='Données projet'!$A$36,'Données projet'!$B$36,N56+M57-V56)))</f>
        <v>636.19999999999959</v>
      </c>
      <c r="O57" s="14">
        <f>N57*VLOOKUP('Données projet'!$B$9,Paramètres!$A$1:$I$89,3,0)*VLOOKUP('Données projet'!$B$9,Paramètres!$A$1:$I$89,5,0)</f>
        <v>355.63579999999973</v>
      </c>
      <c r="P57" s="14">
        <f t="shared" si="33"/>
        <v>82.721899912765039</v>
      </c>
      <c r="Q57" s="22">
        <f t="shared" si="53"/>
        <v>763.47299401473185</v>
      </c>
      <c r="R57" s="62">
        <f t="shared" si="0"/>
        <v>1031.5097652752095</v>
      </c>
      <c r="S57" s="62">
        <f ca="1">AVERAGE(OFFSET($R$3,0,0,'Données projet'!$E$9+1,1))-AVERAGE(OFFSET($H$3,0,0,'Données projet'!$E$9+1,1))</f>
        <v>455.44531340185631</v>
      </c>
      <c r="T57" s="62">
        <f t="shared" si="34"/>
        <v>560.14861617544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6.7170584320043574</v>
      </c>
      <c r="AA57" s="23">
        <f>EXP(-LN(2)/25)*AA56+(1-EXP(-LN(2)/25))/(LN(2)/25)*Calculateur!V57*Calculateur!X57*VLOOKUP('Données projet'!$B$9,Paramètres!$A$1:$I$89,3,0)*0.475*44/12</f>
        <v>7.3099942799388131</v>
      </c>
      <c r="AB57" s="23">
        <f>EXP(-LN(2)/2)*AB56+(1-EXP(-LN(2)/2))/(LN(2)/2)*V57*Y57*VLOOKUP('Données projet'!$B$9,Paramètres!$A$1:$I$89,3,0)*0.475*44/12</f>
        <v>3.2407635889434385E-3</v>
      </c>
      <c r="AC57" s="24">
        <f t="shared" si="3"/>
        <v>14.030293475532114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63.10093761649388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7.8</v>
      </c>
      <c r="AI57" s="14">
        <f>IF('Données projet'!$A$62&gt;35,AI56+AH57-AQ56,IF(A57&lt;'Données projet'!$A$62,$AF$205^A57,IF(A57='Données projet'!$A$62,'Données projet'!$B$62,AI56+AH57-AQ56)))</f>
        <v>229.20000000000019</v>
      </c>
      <c r="AJ57" s="14">
        <f>AI57*VLOOKUP('Données projet'!$B$10,Paramètres!$A$1:$I$89,3,0)*VLOOKUP('Données projet'!$B$10,Paramètres!$A$1:$I$89,5,0)</f>
        <v>200.22912000000019</v>
      </c>
      <c r="AK57" s="14">
        <f t="shared" si="35"/>
        <v>49.794518010766396</v>
      </c>
      <c r="AL57" s="22">
        <f t="shared" si="4"/>
        <v>435.45783620208516</v>
      </c>
      <c r="AM57" s="62">
        <f t="shared" si="5"/>
        <v>703.49460746256273</v>
      </c>
      <c r="AN57" s="62">
        <f ca="1">AVERAGE(OFFSET($AM$3,0,0,'Données projet'!$E$10+1,1))-AVERAGE(OFFSET($H$3,0,0,'Données projet'!$E$10+1,1))</f>
        <v>335.71510570470264</v>
      </c>
      <c r="AO57" s="62">
        <f t="shared" si="36"/>
        <v>401.61823018046482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13.150374267599648</v>
      </c>
      <c r="AW57" s="23">
        <f>EXP(-LN(2)/2)*AW56+(1-EXP(-LN(2)/2))/(LN(2)/2)*AQ57*AT57*VLOOKUP('Données projet'!$B$10,Paramètres!$A$1:$I$89,3,0)*0.475*44/12</f>
        <v>4.4595966998667337E-3</v>
      </c>
      <c r="AX57" s="23">
        <f t="shared" si="6"/>
        <v>13.154833864299516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63.10093761649388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10.199999999999999</v>
      </c>
      <c r="BD57" s="13">
        <f>IF('Données projet'!$A$88&gt;35,BD56+BC57-BL56,IF(A57&lt;'Données projet'!$A$88,$BA$205^A57,IF(A57='Données projet'!$A$88,'Données projet'!$B$88,BD56+BC57-BL56)))</f>
        <v>243.79999999999998</v>
      </c>
      <c r="BE57" s="14">
        <f>BD57*VLOOKUP('Données projet'!$B$11,Paramètres!$A$1:$I$89,3,0)*VLOOKUP('Données projet'!$B$11,Paramètres!$A$1:$I$89,5,0)</f>
        <v>220.59023999999997</v>
      </c>
      <c r="BF57" s="14">
        <f t="shared" si="37"/>
        <v>54.24315145708789</v>
      </c>
      <c r="BG57" s="22">
        <f t="shared" si="7"/>
        <v>478.66815678776129</v>
      </c>
      <c r="BH57" s="62">
        <f t="shared" si="8"/>
        <v>746.7049280482388</v>
      </c>
      <c r="BI57" s="62">
        <f ca="1">AVERAGE(OFFSET($BH$3,0,0,'Données projet'!$E$11+1,1))-AVERAGE(OFFSET($H$3,0,0,'Données projet'!$E$11+1,1))</f>
        <v>462.677457131175</v>
      </c>
      <c r="BJ57" s="62">
        <f t="shared" si="38"/>
        <v>291.78368401945909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4.6935661376936686</v>
      </c>
      <c r="BR57" s="23">
        <f>EXP(-LN(2)/2)*BR56+(1-EXP(-LN(2)/2))/(LN(2)/2)*BL57*BO57*VLOOKUP('Données projet'!$B$11,Paramètres!$A$1:$I$89,3,0)*0.475*44/12</f>
        <v>3.6400817003314594E-3</v>
      </c>
      <c r="BS57" s="24">
        <f t="shared" si="9"/>
        <v>4.6972062193940003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63.10093761649388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-5.6843418860808015E-14</v>
      </c>
      <c r="BZ57" s="14">
        <f>BY57*VLOOKUP('Données projet'!$B$12,Paramètres!$A$1:$I$89,3,0)*VLOOKUP('Données projet'!$B$12,Paramètres!$A$1:$I$89,5,0)</f>
        <v>-3.1036506698001178E-14</v>
      </c>
      <c r="CA57" s="14" t="e">
        <f t="shared" si="39"/>
        <v>#NUM!</v>
      </c>
      <c r="CB57" s="22" t="e">
        <f t="shared" si="10"/>
        <v>#NUM!</v>
      </c>
      <c r="CC57" s="62" t="e">
        <f t="shared" si="11"/>
        <v>#NUM!</v>
      </c>
      <c r="CD57" s="62">
        <f ca="1">AVERAGE(OFFSET($CC$3,0,0,'Données projet'!$E$12+1,1))-AVERAGE(OFFSET($H$3,0,0,'Données projet'!$E$12+1,1))</f>
        <v>302.37244372118971</v>
      </c>
      <c r="CE57" s="62">
        <f t="shared" si="40"/>
        <v>439.56450354660171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4.6859686272711416</v>
      </c>
      <c r="CL57" s="23">
        <f>EXP(-LN(2)/25)*CL56+(1-EXP(-LN(2)/25))/(LN(2)/25)*Calculateur!CG57*Calculateur!CI57*VLOOKUP('Données projet'!$B$12,Paramètres!$A$1:$I$89,3,0)*0.475*44/12</f>
        <v>8.6891048718818791</v>
      </c>
      <c r="CM57" s="23">
        <f>EXP(-LN(2)/2)*CM56+(1-EXP(-LN(2)/2))/(LN(2)/2)*CG57*CJ57*VLOOKUP('Données projet'!$B$12,Paramètres!$A$1:$I$89,3,0)*0.475*44/12</f>
        <v>3.9187215906309669E-3</v>
      </c>
      <c r="CN57" s="24">
        <f t="shared" si="12"/>
        <v>13.378992220743653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63.10093761649388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6.8</v>
      </c>
      <c r="CT57" s="13">
        <f>IF('Données projet'!$A$140&gt;35,CT56+CS57-DB56,IF(A57&lt;'Données projet'!$A$140,$CQ$205^A57,IF(A57='Données projet'!$A$140,'Données projet'!$B$140,CT56+CS57-DB56)))</f>
        <v>208.20000000000002</v>
      </c>
      <c r="CU57" s="18">
        <f>CT57*VLOOKUP('Données projet'!$B$13,Paramètres!$A$1:$I$89,3,0)*VLOOKUP('Données projet'!$B$13,Paramètres!$A$1:$I$89,5,0)</f>
        <v>152.65224000000001</v>
      </c>
      <c r="CV57" s="14">
        <f t="shared" si="41"/>
        <v>39.180700469575569</v>
      </c>
      <c r="CW57" s="22">
        <f t="shared" si="13"/>
        <v>334.10903798451079</v>
      </c>
      <c r="CX57" s="62">
        <f t="shared" si="14"/>
        <v>602.14580924498841</v>
      </c>
      <c r="CY57" s="62">
        <f ca="1">AVERAGE(OFFSET($CX$3,0,0,'Données projet'!$E$13+1,1))-AVERAGE(OFFSET($H$3,0,0,'Données projet'!$E$13+1,1))</f>
        <v>300.12722359176314</v>
      </c>
      <c r="CZ57" s="62">
        <f t="shared" si="42"/>
        <v>313.35115626175946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6.1755700012593211</v>
      </c>
      <c r="DH57" s="23">
        <f>EXP(-LN(2)/2)*DH56+(1-EXP(-LN(2)/2))/(LN(2)/2)*DB57*DE57*VLOOKUP('Données projet'!$B$13,Paramètres!$A$1:$I$89,3,0)*0.475*44/12</f>
        <v>3.6769065224015454E-3</v>
      </c>
      <c r="DI57" s="24">
        <f t="shared" si="15"/>
        <v>6.1792469077817227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63.10093761649388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63.10093761649388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63.10093761649388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63.10093761649388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63.10093761649388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3.55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13.016666666666666</v>
      </c>
      <c r="H58" s="70">
        <f t="shared" si="1"/>
        <v>204.6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63.220620924854906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650</v>
      </c>
      <c r="L58" s="13">
        <f>VLOOKUP(A58,'Données projet'!$A$35:$I$55,9,0)</f>
        <v>13.8</v>
      </c>
      <c r="M58" s="13">
        <f t="array" ref="M58">INDEX(L:L,MIN(IF(ISNUMBER(L58:L254),ROW(L58:L254),"")))</f>
        <v>13.8</v>
      </c>
      <c r="N58" s="14">
        <f>IF('Données projet'!$A$36&gt;35,N57+M58-V57,IF(A58&lt;'Données projet'!$A$36,$K$205^A58,IF(A58='Données projet'!$A$36,'Données projet'!$B$36,N57+M58-V57)))</f>
        <v>649.99999999999955</v>
      </c>
      <c r="O58" s="14">
        <f>N58*VLOOKUP('Données projet'!$B$9,Paramètres!$A$1:$I$89,3,0)*VLOOKUP('Données projet'!$B$9,Paramètres!$A$1:$I$89,5,0)</f>
        <v>363.34999999999974</v>
      </c>
      <c r="P58" s="14">
        <f t="shared" si="33"/>
        <v>84.305397464498199</v>
      </c>
      <c r="Q58" s="22">
        <f t="shared" si="53"/>
        <v>779.66648391733395</v>
      </c>
      <c r="R58" s="62">
        <f t="shared" si="0"/>
        <v>1048.1420939751351</v>
      </c>
      <c r="S58" s="62">
        <f ca="1">AVERAGE(OFFSET($R$3,0,0,'Données projet'!$E$9+1,1))-AVERAGE(OFFSET($H$3,0,0,'Données projet'!$E$9+1,1))</f>
        <v>455.44531340185631</v>
      </c>
      <c r="T58" s="62">
        <f t="shared" si="34"/>
        <v>560.14861617544</v>
      </c>
      <c r="U58" s="16">
        <f>IF(ISNA(VLOOKUP(A58,'Données projet'!$A$35:$I$55,3,0)),0,VLOOKUP(A58,'Données projet'!$A$35:$I$55,3,0))</f>
        <v>8</v>
      </c>
      <c r="V58" s="16">
        <f>IF(ISNA(VLOOKUP(A58,'Données projet'!$A$35:$I$55,4,0)),0,VLOOKUP(A58,'Données projet'!$A$35:$I$55,4,0))</f>
        <v>35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6.5853410131538501</v>
      </c>
      <c r="AA58" s="23">
        <f>EXP(-LN(2)/25)*AA57+(1-EXP(-LN(2)/25))/(LN(2)/25)*Calculateur!V58*Calculateur!X58*VLOOKUP('Données projet'!$B$9,Paramètres!$A$1:$I$89,3,0)*0.475*44/12</f>
        <v>7.1101021019379944</v>
      </c>
      <c r="AB58" s="23">
        <f>EXP(-LN(2)/2)*AB57+(1-EXP(-LN(2)/2))/(LN(2)/2)*V58*Y58*VLOOKUP('Données projet'!$B$9,Paramètres!$A$1:$I$89,3,0)*0.475*44/12</f>
        <v>2.2915659099643584E-3</v>
      </c>
      <c r="AC58" s="24">
        <f t="shared" si="3"/>
        <v>13.697734681001808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63.220620924854906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237</v>
      </c>
      <c r="AG58" s="13">
        <f>VLOOKUP(A58,'Données projet'!$A$61:$I$81,9,0)</f>
        <v>7.8</v>
      </c>
      <c r="AH58" s="13">
        <f t="array" ref="AH58">INDEX(AG:AG,MIN(IF(ISNUMBER(AG58:AG254),ROW(AG58:AG254),"")))</f>
        <v>7.8</v>
      </c>
      <c r="AI58" s="14">
        <f>IF('Données projet'!$A$62&gt;35,AI57+AH58-AQ57,IF(A58&lt;'Données projet'!$A$62,$AF$205^A58,IF(A58='Données projet'!$A$62,'Données projet'!$B$62,AI57+AH58-AQ57)))</f>
        <v>237.0000000000002</v>
      </c>
      <c r="AJ58" s="14">
        <f>AI58*VLOOKUP('Données projet'!$B$10,Paramètres!$A$1:$I$89,3,0)*VLOOKUP('Données projet'!$B$10,Paramètres!$A$1:$I$89,5,0)</f>
        <v>207.04320000000018</v>
      </c>
      <c r="AK58" s="14">
        <f t="shared" si="35"/>
        <v>51.28891823180637</v>
      </c>
      <c r="AL58" s="22">
        <f t="shared" si="4"/>
        <v>449.92843925372966</v>
      </c>
      <c r="AM58" s="62">
        <f t="shared" si="5"/>
        <v>718.40404931153103</v>
      </c>
      <c r="AN58" s="62">
        <f ca="1">AVERAGE(OFFSET($AM$3,0,0,'Données projet'!$E$10+1,1))-AVERAGE(OFFSET($H$3,0,0,'Données projet'!$E$10+1,1))</f>
        <v>335.71510570470264</v>
      </c>
      <c r="AO58" s="62">
        <f t="shared" si="36"/>
        <v>401.61823018046482</v>
      </c>
      <c r="AP58" s="16">
        <f>IF(ISNA(VLOOKUP(A58,'Données projet'!$A$61:$I$81,3,0)),0,VLOOKUP(A58,'Données projet'!$A$61:$I$81,3,0))</f>
        <v>9</v>
      </c>
      <c r="AQ58" s="16">
        <f>IF(ISNA(VLOOKUP(A58,'Données projet'!$A$61:$I$81,4,0)),0,VLOOKUP(A58,'Données projet'!$A$61:$I$81,4,0))</f>
        <v>29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12.790776591704009</v>
      </c>
      <c r="AW58" s="23">
        <f>EXP(-LN(2)/2)*AW57+(1-EXP(-LN(2)/2))/(LN(2)/2)*AQ58*AT58*VLOOKUP('Données projet'!$B$10,Paramètres!$A$1:$I$89,3,0)*0.475*44/12</f>
        <v>3.153411067832916E-3</v>
      </c>
      <c r="AX58" s="23">
        <f t="shared" si="6"/>
        <v>12.793930002771843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63.220620924854906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254</v>
      </c>
      <c r="BB58" s="13">
        <f>VLOOKUP(A58,'Données projet'!$A$87:$I$107,9,0)</f>
        <v>10.199999999999999</v>
      </c>
      <c r="BC58" s="13">
        <f t="array" ref="BC58">INDEX(BB:BB,MIN(IF(ISNUMBER(BB58:BB254),ROW(BB58:BB254),"")))</f>
        <v>10.199999999999999</v>
      </c>
      <c r="BD58" s="13">
        <f>IF('Données projet'!$A$88&gt;35,BD57+BC58-BL57,IF(A58&lt;'Données projet'!$A$88,$BA$205^A58,IF(A58='Données projet'!$A$88,'Données projet'!$B$88,BD57+BC58-BL57)))</f>
        <v>253.99999999999997</v>
      </c>
      <c r="BE58" s="14">
        <f>BD58*VLOOKUP('Données projet'!$B$11,Paramètres!$A$1:$I$89,3,0)*VLOOKUP('Données projet'!$B$11,Paramètres!$A$1:$I$89,5,0)</f>
        <v>229.81919999999997</v>
      </c>
      <c r="BF58" s="14">
        <f t="shared" si="37"/>
        <v>56.243586554989342</v>
      </c>
      <c r="BG58" s="22">
        <f t="shared" si="7"/>
        <v>498.22601991660639</v>
      </c>
      <c r="BH58" s="62">
        <f t="shared" si="8"/>
        <v>766.70162997440775</v>
      </c>
      <c r="BI58" s="62">
        <f ca="1">AVERAGE(OFFSET($BH$3,0,0,'Données projet'!$E$11+1,1))-AVERAGE(OFFSET($H$3,0,0,'Données projet'!$E$11+1,1))</f>
        <v>462.677457131175</v>
      </c>
      <c r="BJ58" s="62">
        <f t="shared" si="38"/>
        <v>291.78368401945909</v>
      </c>
      <c r="BK58" s="16">
        <f>IF(ISNA(VLOOKUP(A58,'Données projet'!$A$87:$I$107,3,0)),0,VLOOKUP(A58,'Données projet'!$A$87:$I$107,3,0))</f>
        <v>8</v>
      </c>
      <c r="BL58" s="16">
        <f>IF(ISNA(VLOOKUP(A58,'Données projet'!$A$87:$I$107,4,0)),0,VLOOKUP(A58,'Données projet'!$A$87:$I$107,4,0))</f>
        <v>28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4.5652203248345193</v>
      </c>
      <c r="BR58" s="23">
        <f>EXP(-LN(2)/2)*BR57+(1-EXP(-LN(2)/2))/(LN(2)/2)*BL58*BO58*VLOOKUP('Données projet'!$B$11,Paramètres!$A$1:$I$89,3,0)*0.475*44/12</f>
        <v>2.5739264543774331E-3</v>
      </c>
      <c r="BS58" s="24">
        <f t="shared" si="9"/>
        <v>4.5677942512888965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63.220620924854906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-5.6843418860808015E-14</v>
      </c>
      <c r="BZ58" s="14">
        <f>BY58*VLOOKUP('Données projet'!$B$12,Paramètres!$A$1:$I$89,3,0)*VLOOKUP('Données projet'!$B$12,Paramètres!$A$1:$I$89,5,0)</f>
        <v>-3.1036506698001178E-14</v>
      </c>
      <c r="CA58" s="14" t="e">
        <f t="shared" si="39"/>
        <v>#NUM!</v>
      </c>
      <c r="CB58" s="22" t="e">
        <f t="shared" si="10"/>
        <v>#NUM!</v>
      </c>
      <c r="CC58" s="62" t="e">
        <f t="shared" si="11"/>
        <v>#NUM!</v>
      </c>
      <c r="CD58" s="62">
        <f ca="1">AVERAGE(OFFSET($CC$3,0,0,'Données projet'!$E$12+1,1))-AVERAGE(OFFSET($H$3,0,0,'Données projet'!$E$12+1,1))</f>
        <v>302.37244372118971</v>
      </c>
      <c r="CE58" s="62">
        <f t="shared" si="40"/>
        <v>439.56450354660171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4.5940796406489977</v>
      </c>
      <c r="CL58" s="23">
        <f>EXP(-LN(2)/25)*CL57+(1-EXP(-LN(2)/25))/(LN(2)/25)*Calculateur!CG58*Calculateur!CI58*VLOOKUP('Données projet'!$B$12,Paramètres!$A$1:$I$89,3,0)*0.475*44/12</f>
        <v>8.4515008422201028</v>
      </c>
      <c r="CM58" s="23">
        <f>EXP(-LN(2)/2)*CM57+(1-EXP(-LN(2)/2))/(LN(2)/2)*CG58*CJ58*VLOOKUP('Données projet'!$B$12,Paramètres!$A$1:$I$89,3,0)*0.475*44/12</f>
        <v>2.7709546103172906E-3</v>
      </c>
      <c r="CN58" s="24">
        <f t="shared" si="12"/>
        <v>13.048351437479418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63.220620924854906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215</v>
      </c>
      <c r="CR58" s="13">
        <f>VLOOKUP(A58,'Données projet'!$A$139:$I$159,9,0)</f>
        <v>6.8</v>
      </c>
      <c r="CS58" s="13">
        <f t="array" ref="CS58">INDEX(CR:CR,MIN(IF(ISNUMBER(CR58:CR254),ROW(CR58:CR254),"")))</f>
        <v>6.8</v>
      </c>
      <c r="CT58" s="13">
        <f>IF('Données projet'!$A$140&gt;35,CT57+CS58-DB57,IF(A58&lt;'Données projet'!$A$140,$CQ$205^A58,IF(A58='Données projet'!$A$140,'Données projet'!$B$140,CT57+CS58-DB57)))</f>
        <v>215.00000000000003</v>
      </c>
      <c r="CU58" s="18">
        <f>CT58*VLOOKUP('Données projet'!$B$13,Paramètres!$A$1:$I$89,3,0)*VLOOKUP('Données projet'!$B$13,Paramètres!$A$1:$I$89,5,0)</f>
        <v>157.63800000000003</v>
      </c>
      <c r="CV58" s="14">
        <f t="shared" si="41"/>
        <v>40.30929944743464</v>
      </c>
      <c r="CW58" s="22">
        <f t="shared" si="13"/>
        <v>344.75821320428196</v>
      </c>
      <c r="CX58" s="62">
        <f t="shared" si="14"/>
        <v>613.23382326208321</v>
      </c>
      <c r="CY58" s="62">
        <f ca="1">AVERAGE(OFFSET($CX$3,0,0,'Données projet'!$E$13+1,1))-AVERAGE(OFFSET($H$3,0,0,'Données projet'!$E$13+1,1))</f>
        <v>300.12722359176314</v>
      </c>
      <c r="CZ58" s="62">
        <f t="shared" si="42"/>
        <v>313.35115626175946</v>
      </c>
      <c r="DA58" s="16">
        <f>IF(ISNA(VLOOKUP(A58,'Données projet'!$A$139:$I$159,3,0)),0,VLOOKUP(A58,'Données projet'!$A$139:$I$159,3,0))</f>
        <v>8</v>
      </c>
      <c r="DB58" s="16">
        <f>IF(ISNA(VLOOKUP(A58,'Données projet'!$A$139:$I$159,4,0)),0,VLOOKUP(A58,'Données projet'!$A$139:$I$159,4,0))</f>
        <v>25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6.0066987148157729</v>
      </c>
      <c r="DH58" s="23">
        <f>EXP(-LN(2)/2)*DH57+(1-EXP(-LN(2)/2))/(LN(2)/2)*DB58*DE58*VLOOKUP('Données projet'!$B$13,Paramètres!$A$1:$I$89,3,0)*0.475*44/12</f>
        <v>2.5999655357791789E-3</v>
      </c>
      <c r="DI58" s="24">
        <f t="shared" si="15"/>
        <v>6.0092986803515522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63.220620924854906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63.220620924854906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63.220620924854906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63.220620924854906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63.220620924854906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3.55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13.016666666666666</v>
      </c>
      <c r="H59" s="70">
        <f t="shared" si="1"/>
        <v>204.6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63.338227995387655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8.1999999999999993</v>
      </c>
      <c r="N59" s="14">
        <f>IF('Données projet'!$A$36&gt;35,N58+M59-V58,IF(A59&lt;'Données projet'!$A$36,$K$205^A59,IF(A59='Données projet'!$A$36,'Données projet'!$B$36,N58+M59-V58)))</f>
        <v>623.19999999999959</v>
      </c>
      <c r="O59" s="14">
        <f>N59*VLOOKUP('Données projet'!$B$9,Paramètres!$A$1:$I$89,3,0)*VLOOKUP('Données projet'!$B$9,Paramètres!$A$1:$I$89,5,0)</f>
        <v>348.36879999999979</v>
      </c>
      <c r="P59" s="14">
        <f t="shared" si="33"/>
        <v>81.22653895266933</v>
      </c>
      <c r="Q59" s="22">
        <f t="shared" si="53"/>
        <v>748.211882009232</v>
      </c>
      <c r="R59" s="62">
        <f t="shared" si="0"/>
        <v>1017.1187179923201</v>
      </c>
      <c r="S59" s="62">
        <f ca="1">AVERAGE(OFFSET($R$3,0,0,'Données projet'!$E$9+1,1))-AVERAGE(OFFSET($H$3,0,0,'Données projet'!$E$9+1,1))</f>
        <v>455.44531340185631</v>
      </c>
      <c r="T59" s="62">
        <f t="shared" si="34"/>
        <v>560.14861617544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6.4562064925473086</v>
      </c>
      <c r="AA59" s="23">
        <f>EXP(-LN(2)/25)*AA58+(1-EXP(-LN(2)/25))/(LN(2)/25)*Calculateur!V59*Calculateur!X59*VLOOKUP('Données projet'!$B$9,Paramètres!$A$1:$I$89,3,0)*0.475*44/12</f>
        <v>6.9156759860564812</v>
      </c>
      <c r="AB59" s="23">
        <f>EXP(-LN(2)/2)*AB58+(1-EXP(-LN(2)/2))/(LN(2)/2)*V59*Y59*VLOOKUP('Données projet'!$B$9,Paramètres!$A$1:$I$89,3,0)*0.475*44/12</f>
        <v>1.6203817944717193E-3</v>
      </c>
      <c r="AC59" s="24">
        <f t="shared" si="3"/>
        <v>13.373502860398263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63.338227995387655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6.8</v>
      </c>
      <c r="AI59" s="14">
        <f>IF('Données projet'!$A$62&gt;35,AI58+AH59-AQ58,IF(A59&lt;'Données projet'!$A$62,$AF$205^A59,IF(A59='Données projet'!$A$62,'Données projet'!$B$62,AI58+AH59-AQ58)))</f>
        <v>214.80000000000021</v>
      </c>
      <c r="AJ59" s="14">
        <f>AI59*VLOOKUP('Données projet'!$B$10,Paramètres!$A$1:$I$89,3,0)*VLOOKUP('Données projet'!$B$10,Paramètres!$A$1:$I$89,5,0)</f>
        <v>187.6492800000002</v>
      </c>
      <c r="AK59" s="14">
        <f t="shared" si="35"/>
        <v>47.019866076567546</v>
      </c>
      <c r="AL59" s="22">
        <f t="shared" si="4"/>
        <v>408.71542941668878</v>
      </c>
      <c r="AM59" s="62">
        <f t="shared" si="5"/>
        <v>677.62226539977678</v>
      </c>
      <c r="AN59" s="62">
        <f ca="1">AVERAGE(OFFSET($AM$3,0,0,'Données projet'!$E$10+1,1))-AVERAGE(OFFSET($H$3,0,0,'Données projet'!$E$10+1,1))</f>
        <v>335.71510570470264</v>
      </c>
      <c r="AO59" s="62">
        <f t="shared" si="36"/>
        <v>401.61823018046482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12.441012133166156</v>
      </c>
      <c r="AW59" s="23">
        <f>EXP(-LN(2)/2)*AW58+(1-EXP(-LN(2)/2))/(LN(2)/2)*AQ59*AT59*VLOOKUP('Données projet'!$B$10,Paramètres!$A$1:$I$89,3,0)*0.475*44/12</f>
        <v>2.2297983499333669E-3</v>
      </c>
      <c r="AX59" s="23">
        <f t="shared" si="6"/>
        <v>12.44324193151609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63.338227995387655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9.4</v>
      </c>
      <c r="BD59" s="13">
        <f>IF('Données projet'!$A$88&gt;35,BD58+BC59-BL58,IF(A59&lt;'Données projet'!$A$88,$BA$205^A59,IF(A59='Données projet'!$A$88,'Données projet'!$B$88,BD58+BC59-BL58)))</f>
        <v>235.39999999999998</v>
      </c>
      <c r="BE59" s="14">
        <f>BD59*VLOOKUP('Données projet'!$B$11,Paramètres!$A$1:$I$89,3,0)*VLOOKUP('Données projet'!$B$11,Paramètres!$A$1:$I$89,5,0)</f>
        <v>212.98991999999998</v>
      </c>
      <c r="BF59" s="14">
        <f t="shared" si="37"/>
        <v>52.588419883221171</v>
      </c>
      <c r="BG59" s="22">
        <f t="shared" si="7"/>
        <v>462.54894196327677</v>
      </c>
      <c r="BH59" s="62">
        <f t="shared" si="8"/>
        <v>731.45577794636483</v>
      </c>
      <c r="BI59" s="62">
        <f ca="1">AVERAGE(OFFSET($BH$3,0,0,'Données projet'!$E$11+1,1))-AVERAGE(OFFSET($H$3,0,0,'Données projet'!$E$11+1,1))</f>
        <v>462.677457131175</v>
      </c>
      <c r="BJ59" s="62">
        <f t="shared" si="38"/>
        <v>291.78368401945909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4.4403841349774167</v>
      </c>
      <c r="BR59" s="23">
        <f>EXP(-LN(2)/2)*BR58+(1-EXP(-LN(2)/2))/(LN(2)/2)*BL59*BO59*VLOOKUP('Données projet'!$B$11,Paramètres!$A$1:$I$89,3,0)*0.475*44/12</f>
        <v>1.8200408501657297E-3</v>
      </c>
      <c r="BS59" s="24">
        <f t="shared" si="9"/>
        <v>4.4422041758275821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63.338227995387655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-5.6843418860808015E-14</v>
      </c>
      <c r="BZ59" s="14">
        <f>BY59*VLOOKUP('Données projet'!$B$12,Paramètres!$A$1:$I$89,3,0)*VLOOKUP('Données projet'!$B$12,Paramètres!$A$1:$I$89,5,0)</f>
        <v>-3.1036506698001178E-14</v>
      </c>
      <c r="CA59" s="14" t="e">
        <f t="shared" si="39"/>
        <v>#NUM!</v>
      </c>
      <c r="CB59" s="22" t="e">
        <f t="shared" si="10"/>
        <v>#NUM!</v>
      </c>
      <c r="CC59" s="62" t="e">
        <f t="shared" si="11"/>
        <v>#NUM!</v>
      </c>
      <c r="CD59" s="62">
        <f ca="1">AVERAGE(OFFSET($CC$3,0,0,'Données projet'!$E$12+1,1))-AVERAGE(OFFSET($H$3,0,0,'Données projet'!$E$12+1,1))</f>
        <v>302.37244372118971</v>
      </c>
      <c r="CE59" s="62">
        <f t="shared" si="40"/>
        <v>439.56450354660171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4.5039925410077659</v>
      </c>
      <c r="CL59" s="23">
        <f>EXP(-LN(2)/25)*CL58+(1-EXP(-LN(2)/25))/(LN(2)/25)*Calculateur!CG59*Calculateur!CI59*VLOOKUP('Données projet'!$B$12,Paramètres!$A$1:$I$89,3,0)*0.475*44/12</f>
        <v>8.2203941072444806</v>
      </c>
      <c r="CM59" s="23">
        <f>EXP(-LN(2)/2)*CM58+(1-EXP(-LN(2)/2))/(LN(2)/2)*CG59*CJ59*VLOOKUP('Données projet'!$B$12,Paramètres!$A$1:$I$89,3,0)*0.475*44/12</f>
        <v>1.9593607953154834E-3</v>
      </c>
      <c r="CN59" s="24">
        <f t="shared" si="12"/>
        <v>12.72634600904756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63.338227995387655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6</v>
      </c>
      <c r="CT59" s="13">
        <f>IF('Données projet'!$A$140&gt;35,CT58+CS59-DB58,IF(A59&lt;'Données projet'!$A$140,$CQ$205^A59,IF(A59='Données projet'!$A$140,'Données projet'!$B$140,CT58+CS59-DB58)))</f>
        <v>196.00000000000003</v>
      </c>
      <c r="CU59" s="18">
        <f>CT59*VLOOKUP('Données projet'!$B$13,Paramètres!$A$1:$I$89,3,0)*VLOOKUP('Données projet'!$B$13,Paramètres!$A$1:$I$89,5,0)</f>
        <v>143.7072</v>
      </c>
      <c r="CV59" s="14">
        <f t="shared" si="41"/>
        <v>37.144976839760211</v>
      </c>
      <c r="CW59" s="22">
        <f t="shared" si="13"/>
        <v>314.98420799591565</v>
      </c>
      <c r="CX59" s="62">
        <f t="shared" si="14"/>
        <v>583.89104397900371</v>
      </c>
      <c r="CY59" s="62">
        <f ca="1">AVERAGE(OFFSET($CX$3,0,0,'Données projet'!$E$13+1,1))-AVERAGE(OFFSET($H$3,0,0,'Données projet'!$E$13+1,1))</f>
        <v>300.12722359176314</v>
      </c>
      <c r="CZ59" s="62">
        <f t="shared" si="42"/>
        <v>313.35115626175946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5.8424452225805785</v>
      </c>
      <c r="DH59" s="23">
        <f>EXP(-LN(2)/2)*DH58+(1-EXP(-LN(2)/2))/(LN(2)/2)*DB59*DE59*VLOOKUP('Données projet'!$B$13,Paramètres!$A$1:$I$89,3,0)*0.475*44/12</f>
        <v>1.8384532612007727E-3</v>
      </c>
      <c r="DI59" s="24">
        <f t="shared" si="15"/>
        <v>5.8442836758417789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63.338227995387655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63.338227995387655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63.338227995387655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63.338227995387655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63.338227995387655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3.55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13.016666666666666</v>
      </c>
      <c r="H60" s="70">
        <f t="shared" si="1"/>
        <v>204.6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63.453794846176677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8.1999999999999993</v>
      </c>
      <c r="N60" s="14">
        <f>IF('Données projet'!$A$36&gt;35,N59+M60-V59,IF(A60&lt;'Données projet'!$A$36,$K$205^A60,IF(A60='Données projet'!$A$36,'Données projet'!$B$36,N59+M60-V59)))</f>
        <v>631.39999999999964</v>
      </c>
      <c r="O60" s="14">
        <f>N60*VLOOKUP('Données projet'!$B$9,Paramètres!$A$1:$I$89,3,0)*VLOOKUP('Données projet'!$B$9,Paramètres!$A$1:$I$89,5,0)</f>
        <v>352.95259999999979</v>
      </c>
      <c r="P60" s="14">
        <f t="shared" si="33"/>
        <v>82.170184676559657</v>
      </c>
      <c r="Q60" s="22">
        <f t="shared" si="53"/>
        <v>757.83884997834093</v>
      </c>
      <c r="R60" s="62">
        <f t="shared" si="0"/>
        <v>1027.1694310809887</v>
      </c>
      <c r="S60" s="62">
        <f ca="1">AVERAGE(OFFSET($R$3,0,0,'Données projet'!$E$9+1,1))-AVERAGE(OFFSET($H$3,0,0,'Données projet'!$E$9+1,1))</f>
        <v>455.44531340185631</v>
      </c>
      <c r="T60" s="62">
        <f t="shared" si="34"/>
        <v>560.14861617544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6.3296042211255816</v>
      </c>
      <c r="AA60" s="23">
        <f>EXP(-LN(2)/25)*AA59+(1-EXP(-LN(2)/25))/(LN(2)/25)*Calculateur!V60*Calculateur!X60*VLOOKUP('Données projet'!$B$9,Paramètres!$A$1:$I$89,3,0)*0.475*44/12</f>
        <v>6.7265664625381723</v>
      </c>
      <c r="AB60" s="23">
        <f>EXP(-LN(2)/2)*AB59+(1-EXP(-LN(2)/2))/(LN(2)/2)*V60*Y60*VLOOKUP('Données projet'!$B$9,Paramètres!$A$1:$I$89,3,0)*0.475*44/12</f>
        <v>1.1457829549821792E-3</v>
      </c>
      <c r="AC60" s="24">
        <f t="shared" si="3"/>
        <v>13.057316466618737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63.453794846176677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6.8</v>
      </c>
      <c r="AI60" s="14">
        <f>IF('Données projet'!$A$62&gt;35,AI59+AH60-AQ59,IF(A60&lt;'Données projet'!$A$62,$AF$205^A60,IF(A60='Données projet'!$A$62,'Données projet'!$B$62,AI59+AH60-AQ59)))</f>
        <v>221.60000000000022</v>
      </c>
      <c r="AJ60" s="14">
        <f>AI60*VLOOKUP('Données projet'!$B$10,Paramètres!$A$1:$I$89,3,0)*VLOOKUP('Données projet'!$B$10,Paramètres!$A$1:$I$89,5,0)</f>
        <v>193.58976000000021</v>
      </c>
      <c r="AK60" s="14">
        <f t="shared" si="35"/>
        <v>48.332731202087132</v>
      </c>
      <c r="AL60" s="22">
        <f t="shared" si="4"/>
        <v>421.34833884363542</v>
      </c>
      <c r="AM60" s="62">
        <f t="shared" si="5"/>
        <v>690.67891994628326</v>
      </c>
      <c r="AN60" s="62">
        <f ca="1">AVERAGE(OFFSET($AM$3,0,0,'Données projet'!$E$10+1,1))-AVERAGE(OFFSET($H$3,0,0,'Données projet'!$E$10+1,1))</f>
        <v>335.71510570470264</v>
      </c>
      <c r="AO60" s="62">
        <f t="shared" si="36"/>
        <v>401.61823018046482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12.100812002140334</v>
      </c>
      <c r="AW60" s="23">
        <f>EXP(-LN(2)/2)*AW59+(1-EXP(-LN(2)/2))/(LN(2)/2)*AQ60*AT60*VLOOKUP('Données projet'!$B$10,Paramètres!$A$1:$I$89,3,0)*0.475*44/12</f>
        <v>1.576705533916458E-3</v>
      </c>
      <c r="AX60" s="23">
        <f t="shared" si="6"/>
        <v>12.102388707674249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63.453794846176677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9.4</v>
      </c>
      <c r="BD60" s="13">
        <f>IF('Données projet'!$A$88&gt;35,BD59+BC60-BL59,IF(A60&lt;'Données projet'!$A$88,$BA$205^A60,IF(A60='Données projet'!$A$88,'Données projet'!$B$88,BD59+BC60-BL59)))</f>
        <v>244.79999999999998</v>
      </c>
      <c r="BE60" s="14">
        <f>BD60*VLOOKUP('Données projet'!$B$11,Paramètres!$A$1:$I$89,3,0)*VLOOKUP('Données projet'!$B$11,Paramètres!$A$1:$I$89,5,0)</f>
        <v>221.49503999999999</v>
      </c>
      <c r="BF60" s="14">
        <f t="shared" si="37"/>
        <v>54.439697086174412</v>
      </c>
      <c r="BG60" s="22">
        <f t="shared" si="7"/>
        <v>480.58633375842032</v>
      </c>
      <c r="BH60" s="62">
        <f t="shared" si="8"/>
        <v>749.91691486106811</v>
      </c>
      <c r="BI60" s="62">
        <f ca="1">AVERAGE(OFFSET($BH$3,0,0,'Données projet'!$E$11+1,1))-AVERAGE(OFFSET($H$3,0,0,'Données projet'!$E$11+1,1))</f>
        <v>462.677457131175</v>
      </c>
      <c r="BJ60" s="62">
        <f t="shared" si="38"/>
        <v>291.78368401945909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4.3189615972968065</v>
      </c>
      <c r="BR60" s="23">
        <f>EXP(-LN(2)/2)*BR59+(1-EXP(-LN(2)/2))/(LN(2)/2)*BL60*BO60*VLOOKUP('Données projet'!$B$11,Paramètres!$A$1:$I$89,3,0)*0.475*44/12</f>
        <v>1.2869632271887165E-3</v>
      </c>
      <c r="BS60" s="24">
        <f t="shared" si="9"/>
        <v>4.3202485605239955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63.453794846176677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-5.6843418860808015E-14</v>
      </c>
      <c r="BZ60" s="14">
        <f>BY60*VLOOKUP('Données projet'!$B$12,Paramètres!$A$1:$I$89,3,0)*VLOOKUP('Données projet'!$B$12,Paramètres!$A$1:$I$89,5,0)</f>
        <v>-3.1036506698001178E-14</v>
      </c>
      <c r="CA60" s="14" t="e">
        <f t="shared" si="39"/>
        <v>#NUM!</v>
      </c>
      <c r="CB60" s="22" t="e">
        <f t="shared" si="10"/>
        <v>#NUM!</v>
      </c>
      <c r="CC60" s="62" t="e">
        <f t="shared" si="11"/>
        <v>#NUM!</v>
      </c>
      <c r="CD60" s="62">
        <f ca="1">AVERAGE(OFFSET($CC$3,0,0,'Données projet'!$E$12+1,1))-AVERAGE(OFFSET($H$3,0,0,'Données projet'!$E$12+1,1))</f>
        <v>302.37244372118971</v>
      </c>
      <c r="CE60" s="62">
        <f t="shared" si="40"/>
        <v>439.56450354660171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4.4156719944427936</v>
      </c>
      <c r="CL60" s="23">
        <f>EXP(-LN(2)/25)*CL59+(1-EXP(-LN(2)/25))/(LN(2)/25)*Calculateur!CG60*Calculateur!CI60*VLOOKUP('Données projet'!$B$12,Paramètres!$A$1:$I$89,3,0)*0.475*44/12</f>
        <v>7.9956069980901425</v>
      </c>
      <c r="CM60" s="23">
        <f>EXP(-LN(2)/2)*CM59+(1-EXP(-LN(2)/2))/(LN(2)/2)*CG60*CJ60*VLOOKUP('Données projet'!$B$12,Paramètres!$A$1:$I$89,3,0)*0.475*44/12</f>
        <v>1.3854773051586453E-3</v>
      </c>
      <c r="CN60" s="24">
        <f t="shared" si="12"/>
        <v>12.412664469838093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63.453794846176677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6</v>
      </c>
      <c r="CT60" s="13">
        <f>IF('Données projet'!$A$140&gt;35,CT59+CS60-DB59,IF(A60&lt;'Données projet'!$A$140,$CQ$205^A60,IF(A60='Données projet'!$A$140,'Données projet'!$B$140,CT59+CS60-DB59)))</f>
        <v>202.00000000000003</v>
      </c>
      <c r="CU60" s="18">
        <f>CT60*VLOOKUP('Données projet'!$B$13,Paramètres!$A$1:$I$89,3,0)*VLOOKUP('Données projet'!$B$13,Paramètres!$A$1:$I$89,5,0)</f>
        <v>148.10640000000004</v>
      </c>
      <c r="CV60" s="14">
        <f t="shared" si="41"/>
        <v>38.147940561860452</v>
      </c>
      <c r="CW60" s="22">
        <f t="shared" si="13"/>
        <v>324.39297647857364</v>
      </c>
      <c r="CX60" s="62">
        <f t="shared" si="14"/>
        <v>593.72355758122148</v>
      </c>
      <c r="CY60" s="62">
        <f ca="1">AVERAGE(OFFSET($CX$3,0,0,'Données projet'!$E$13+1,1))-AVERAGE(OFFSET($H$3,0,0,'Données projet'!$E$13+1,1))</f>
        <v>300.12722359176314</v>
      </c>
      <c r="CZ60" s="62">
        <f t="shared" si="42"/>
        <v>313.35115626175946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5.6826832507282719</v>
      </c>
      <c r="DH60" s="23">
        <f>EXP(-LN(2)/2)*DH59+(1-EXP(-LN(2)/2))/(LN(2)/2)*DB60*DE60*VLOOKUP('Données projet'!$B$13,Paramètres!$A$1:$I$89,3,0)*0.475*44/12</f>
        <v>1.2999827678895895E-3</v>
      </c>
      <c r="DI60" s="24">
        <f t="shared" si="15"/>
        <v>5.6839832334961615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63.453794846176677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63.453794846176677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63.453794846176677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63.453794846176677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63.453794846176677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3.55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13.016666666666666</v>
      </c>
      <c r="H61" s="70">
        <f t="shared" si="1"/>
        <v>204.6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63.56735687047329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8.1999999999999993</v>
      </c>
      <c r="N61" s="14">
        <f>IF('Données projet'!$A$36&gt;35,N60+M61-V60,IF(A61&lt;'Données projet'!$A$36,$K$205^A61,IF(A61='Données projet'!$A$36,'Données projet'!$B$36,N60+M61-V60)))</f>
        <v>639.59999999999968</v>
      </c>
      <c r="O61" s="14">
        <f>N61*VLOOKUP('Données projet'!$B$9,Paramètres!$A$1:$I$89,3,0)*VLOOKUP('Données projet'!$B$9,Paramètres!$A$1:$I$89,5,0)</f>
        <v>357.53639999999984</v>
      </c>
      <c r="P61" s="14">
        <f t="shared" si="33"/>
        <v>83.11240493753391</v>
      </c>
      <c r="Q61" s="22">
        <f t="shared" si="53"/>
        <v>767.46333526620458</v>
      </c>
      <c r="R61" s="62">
        <f t="shared" si="0"/>
        <v>1037.2103104579401</v>
      </c>
      <c r="S61" s="62">
        <f ca="1">AVERAGE(OFFSET($R$3,0,0,'Données projet'!$E$9+1,1))-AVERAGE(OFFSET($H$3,0,0,'Données projet'!$E$9+1,1))</f>
        <v>455.44531340185631</v>
      </c>
      <c r="T61" s="62">
        <f t="shared" si="34"/>
        <v>560.14861617544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6.2054845430266736</v>
      </c>
      <c r="AA61" s="23">
        <f>EXP(-LN(2)/25)*AA60+(1-EXP(-LN(2)/25))/(LN(2)/25)*Calculateur!V61*Calculateur!X61*VLOOKUP('Données projet'!$B$9,Paramètres!$A$1:$I$89,3,0)*0.475*44/12</f>
        <v>6.5426281488853091</v>
      </c>
      <c r="AB61" s="23">
        <f>EXP(-LN(2)/2)*AB60+(1-EXP(-LN(2)/2))/(LN(2)/2)*V61*Y61*VLOOKUP('Données projet'!$B$9,Paramètres!$A$1:$I$89,3,0)*0.475*44/12</f>
        <v>8.1019089723585963E-4</v>
      </c>
      <c r="AC61" s="24">
        <f t="shared" si="3"/>
        <v>12.748922882809218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63.56735687047329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6.8</v>
      </c>
      <c r="AI61" s="14">
        <f>IF('Données projet'!$A$62&gt;35,AI60+AH61-AQ60,IF(A61&lt;'Données projet'!$A$62,$AF$205^A61,IF(A61='Données projet'!$A$62,'Données projet'!$B$62,AI60+AH61-AQ60)))</f>
        <v>228.40000000000023</v>
      </c>
      <c r="AJ61" s="14">
        <f>AI61*VLOOKUP('Données projet'!$B$10,Paramètres!$A$1:$I$89,3,0)*VLOOKUP('Données projet'!$B$10,Paramètres!$A$1:$I$89,5,0)</f>
        <v>199.53024000000022</v>
      </c>
      <c r="AK61" s="14">
        <f t="shared" si="35"/>
        <v>49.640914570461312</v>
      </c>
      <c r="AL61" s="22">
        <f t="shared" si="4"/>
        <v>433.97309421022049</v>
      </c>
      <c r="AM61" s="62">
        <f t="shared" si="5"/>
        <v>703.72006940195593</v>
      </c>
      <c r="AN61" s="62">
        <f ca="1">AVERAGE(OFFSET($AM$3,0,0,'Données projet'!$E$10+1,1))-AVERAGE(OFFSET($H$3,0,0,'Données projet'!$E$10+1,1))</f>
        <v>335.71510570470264</v>
      </c>
      <c r="AO61" s="62">
        <f t="shared" si="36"/>
        <v>401.61823018046482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11.769914661587761</v>
      </c>
      <c r="AW61" s="23">
        <f>EXP(-LN(2)/2)*AW60+(1-EXP(-LN(2)/2))/(LN(2)/2)*AQ61*AT61*VLOOKUP('Données projet'!$B$10,Paramètres!$A$1:$I$89,3,0)*0.475*44/12</f>
        <v>1.1148991749666834E-3</v>
      </c>
      <c r="AX61" s="23">
        <f t="shared" si="6"/>
        <v>11.771029560762727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63.56735687047329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9.4</v>
      </c>
      <c r="BD61" s="13">
        <f>IF('Données projet'!$A$88&gt;35,BD60+BC61-BL60,IF(A61&lt;'Données projet'!$A$88,$BA$205^A61,IF(A61='Données projet'!$A$88,'Données projet'!$B$88,BD60+BC61-BL60)))</f>
        <v>254.2</v>
      </c>
      <c r="BE61" s="14">
        <f>BD61*VLOOKUP('Données projet'!$B$11,Paramètres!$A$1:$I$89,3,0)*VLOOKUP('Données projet'!$B$11,Paramètres!$A$1:$I$89,5,0)</f>
        <v>230.00015999999997</v>
      </c>
      <c r="BF61" s="14">
        <f t="shared" si="37"/>
        <v>56.282716126880423</v>
      </c>
      <c r="BG61" s="22">
        <f t="shared" si="7"/>
        <v>498.60934258765002</v>
      </c>
      <c r="BH61" s="62">
        <f t="shared" si="8"/>
        <v>768.35631777938545</v>
      </c>
      <c r="BI61" s="62">
        <f ca="1">AVERAGE(OFFSET($BH$3,0,0,'Données projet'!$E$11+1,1))-AVERAGE(OFFSET($H$3,0,0,'Données projet'!$E$11+1,1))</f>
        <v>462.677457131175</v>
      </c>
      <c r="BJ61" s="62">
        <f t="shared" si="38"/>
        <v>291.78368401945909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4.2008593652944057</v>
      </c>
      <c r="BR61" s="23">
        <f>EXP(-LN(2)/2)*BR60+(1-EXP(-LN(2)/2))/(LN(2)/2)*BL61*BO61*VLOOKUP('Données projet'!$B$11,Paramètres!$A$1:$I$89,3,0)*0.475*44/12</f>
        <v>9.1002042508286484E-4</v>
      </c>
      <c r="BS61" s="24">
        <f t="shared" si="9"/>
        <v>4.2017693857194889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63.56735687047329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-5.6843418860808015E-14</v>
      </c>
      <c r="BZ61" s="14">
        <f>BY61*VLOOKUP('Données projet'!$B$12,Paramètres!$A$1:$I$89,3,0)*VLOOKUP('Données projet'!$B$12,Paramètres!$A$1:$I$89,5,0)</f>
        <v>-3.1036506698001178E-14</v>
      </c>
      <c r="CA61" s="14" t="e">
        <f t="shared" si="39"/>
        <v>#NUM!</v>
      </c>
      <c r="CB61" s="22" t="e">
        <f t="shared" si="10"/>
        <v>#NUM!</v>
      </c>
      <c r="CC61" s="62" t="e">
        <f t="shared" si="11"/>
        <v>#NUM!</v>
      </c>
      <c r="CD61" s="62">
        <f ca="1">AVERAGE(OFFSET($CC$3,0,0,'Données projet'!$E$12+1,1))-AVERAGE(OFFSET($H$3,0,0,'Données projet'!$E$12+1,1))</f>
        <v>302.37244372118971</v>
      </c>
      <c r="CE61" s="62">
        <f t="shared" si="40"/>
        <v>439.56450354660171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4.3290833599257459</v>
      </c>
      <c r="CL61" s="23">
        <f>EXP(-LN(2)/25)*CL60+(1-EXP(-LN(2)/25))/(LN(2)/25)*Calculateur!CG61*Calculateur!CI61*VLOOKUP('Données projet'!$B$12,Paramètres!$A$1:$I$89,3,0)*0.475*44/12</f>
        <v>7.7769667042566697</v>
      </c>
      <c r="CM61" s="23">
        <f>EXP(-LN(2)/2)*CM60+(1-EXP(-LN(2)/2))/(LN(2)/2)*CG61*CJ61*VLOOKUP('Données projet'!$B$12,Paramètres!$A$1:$I$89,3,0)*0.475*44/12</f>
        <v>9.7968039765774172E-4</v>
      </c>
      <c r="CN61" s="24">
        <f t="shared" si="12"/>
        <v>12.107029744580073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63.56735687047329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6</v>
      </c>
      <c r="CT61" s="13">
        <f>IF('Données projet'!$A$140&gt;35,CT60+CS61-DB60,IF(A61&lt;'Données projet'!$A$140,$CQ$205^A61,IF(A61='Données projet'!$A$140,'Données projet'!$B$140,CT60+CS61-DB60)))</f>
        <v>208.00000000000003</v>
      </c>
      <c r="CU61" s="18">
        <f>CT61*VLOOKUP('Données projet'!$B$13,Paramètres!$A$1:$I$89,3,0)*VLOOKUP('Données projet'!$B$13,Paramètres!$A$1:$I$89,5,0)</f>
        <v>152.50560000000002</v>
      </c>
      <c r="CV61" s="14">
        <f t="shared" si="41"/>
        <v>39.147442061162216</v>
      </c>
      <c r="CW61" s="22">
        <f t="shared" si="13"/>
        <v>333.79571492319093</v>
      </c>
      <c r="CX61" s="62">
        <f t="shared" si="14"/>
        <v>603.54269011492636</v>
      </c>
      <c r="CY61" s="62">
        <f ca="1">AVERAGE(OFFSET($CX$3,0,0,'Données projet'!$E$13+1,1))-AVERAGE(OFFSET($H$3,0,0,'Données projet'!$E$13+1,1))</f>
        <v>300.12722359176314</v>
      </c>
      <c r="CZ61" s="62">
        <f t="shared" si="42"/>
        <v>313.35115626175946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5.5272899783977829</v>
      </c>
      <c r="DH61" s="23">
        <f>EXP(-LN(2)/2)*DH60+(1-EXP(-LN(2)/2))/(LN(2)/2)*DB61*DE61*VLOOKUP('Données projet'!$B$13,Paramètres!$A$1:$I$89,3,0)*0.475*44/12</f>
        <v>9.1922663060038635E-4</v>
      </c>
      <c r="DI61" s="24">
        <f t="shared" si="15"/>
        <v>5.5282092050283831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63.56735687047329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63.56735687047329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63.56735687047329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63.56735687047329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63.56735687047329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3.55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13.016666666666666</v>
      </c>
      <c r="H62" s="70">
        <f t="shared" si="1"/>
        <v>204.6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63.678948847535004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8.1999999999999993</v>
      </c>
      <c r="N62" s="14">
        <f>IF('Données projet'!$A$36&gt;35,N61+M62-V61,IF(A62&lt;'Données projet'!$A$36,$K$205^A62,IF(A62='Données projet'!$A$36,'Données projet'!$B$36,N61+M62-V61)))</f>
        <v>647.79999999999973</v>
      </c>
      <c r="O62" s="14">
        <f>N62*VLOOKUP('Données projet'!$B$9,Paramètres!$A$1:$I$89,3,0)*VLOOKUP('Données projet'!$B$9,Paramètres!$A$1:$I$89,5,0)</f>
        <v>362.12019999999984</v>
      </c>
      <c r="P62" s="14">
        <f t="shared" si="33"/>
        <v>84.053220123894675</v>
      </c>
      <c r="Q62" s="22">
        <f t="shared" si="53"/>
        <v>777.08537338244957</v>
      </c>
      <c r="R62" s="62">
        <f t="shared" si="0"/>
        <v>1047.2415191567445</v>
      </c>
      <c r="S62" s="62">
        <f ca="1">AVERAGE(OFFSET($R$3,0,0,'Données projet'!$E$9+1,1))-AVERAGE(OFFSET($H$3,0,0,'Données projet'!$E$9+1,1))</f>
        <v>455.44531340185631</v>
      </c>
      <c r="T62" s="62">
        <f t="shared" si="34"/>
        <v>560.14861617544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6.0837987761097567</v>
      </c>
      <c r="AA62" s="23">
        <f>EXP(-LN(2)/25)*AA61+(1-EXP(-LN(2)/25))/(LN(2)/25)*Calculateur!V62*Calculateur!X62*VLOOKUP('Données projet'!$B$9,Paramètres!$A$1:$I$89,3,0)*0.475*44/12</f>
        <v>6.3637196380921797</v>
      </c>
      <c r="AB62" s="23">
        <f>EXP(-LN(2)/2)*AB61+(1-EXP(-LN(2)/2))/(LN(2)/2)*V62*Y62*VLOOKUP('Données projet'!$B$9,Paramètres!$A$1:$I$89,3,0)*0.475*44/12</f>
        <v>5.728914774910896E-4</v>
      </c>
      <c r="AC62" s="24">
        <f t="shared" si="3"/>
        <v>12.448091305679428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63.678948847535004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6.8</v>
      </c>
      <c r="AI62" s="14">
        <f>IF('Données projet'!$A$62&gt;35,AI61+AH62-AQ61,IF(A62&lt;'Données projet'!$A$62,$AF$205^A62,IF(A62='Données projet'!$A$62,'Données projet'!$B$62,AI61+AH62-AQ61)))</f>
        <v>235.20000000000024</v>
      </c>
      <c r="AJ62" s="14">
        <f>AI62*VLOOKUP('Données projet'!$B$10,Paramètres!$A$1:$I$89,3,0)*VLOOKUP('Données projet'!$B$10,Paramètres!$A$1:$I$89,5,0)</f>
        <v>205.47072000000026</v>
      </c>
      <c r="AK62" s="14">
        <f t="shared" si="35"/>
        <v>50.944571570352757</v>
      </c>
      <c r="AL62" s="22">
        <f t="shared" si="4"/>
        <v>446.58996615169809</v>
      </c>
      <c r="AM62" s="62">
        <f t="shared" si="5"/>
        <v>716.74611192599309</v>
      </c>
      <c r="AN62" s="62">
        <f ca="1">AVERAGE(OFFSET($AM$3,0,0,'Données projet'!$E$10+1,1))-AVERAGE(OFFSET($H$3,0,0,'Données projet'!$E$10+1,1))</f>
        <v>335.71510570470264</v>
      </c>
      <c r="AO62" s="62">
        <f t="shared" si="36"/>
        <v>401.61823018046482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11.448065726213732</v>
      </c>
      <c r="AW62" s="23">
        <f>EXP(-LN(2)/2)*AW61+(1-EXP(-LN(2)/2))/(LN(2)/2)*AQ62*AT62*VLOOKUP('Données projet'!$B$10,Paramètres!$A$1:$I$89,3,0)*0.475*44/12</f>
        <v>7.88352766958229E-4</v>
      </c>
      <c r="AX62" s="23">
        <f t="shared" si="6"/>
        <v>11.448854078980691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63.678948847535004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9.4</v>
      </c>
      <c r="BD62" s="13">
        <f>IF('Données projet'!$A$88&gt;35,BD61+BC62-BL61,IF(A62&lt;'Données projet'!$A$88,$BA$205^A62,IF(A62='Données projet'!$A$88,'Données projet'!$B$88,BD61+BC62-BL61)))</f>
        <v>263.59999999999997</v>
      </c>
      <c r="BE62" s="14">
        <f>BD62*VLOOKUP('Données projet'!$B$11,Paramètres!$A$1:$I$89,3,0)*VLOOKUP('Données projet'!$B$11,Paramètres!$A$1:$I$89,5,0)</f>
        <v>238.50527999999997</v>
      </c>
      <c r="BF62" s="14">
        <f t="shared" si="37"/>
        <v>58.117817352909881</v>
      </c>
      <c r="BG62" s="22">
        <f t="shared" si="7"/>
        <v>516.61856122298457</v>
      </c>
      <c r="BH62" s="62">
        <f t="shared" si="8"/>
        <v>786.77470699727951</v>
      </c>
      <c r="BI62" s="62">
        <f ca="1">AVERAGE(OFFSET($BH$3,0,0,'Données projet'!$E$11+1,1))-AVERAGE(OFFSET($H$3,0,0,'Données projet'!$E$11+1,1))</f>
        <v>462.677457131175</v>
      </c>
      <c r="BJ62" s="62">
        <f t="shared" si="38"/>
        <v>291.78368401945909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4.0859866450368374</v>
      </c>
      <c r="BR62" s="23">
        <f>EXP(-LN(2)/2)*BR61+(1-EXP(-LN(2)/2))/(LN(2)/2)*BL62*BO62*VLOOKUP('Données projet'!$B$11,Paramètres!$A$1:$I$89,3,0)*0.475*44/12</f>
        <v>6.4348161359435827E-4</v>
      </c>
      <c r="BS62" s="24">
        <f t="shared" si="9"/>
        <v>4.0866301266504319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63.678948847535004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-5.6843418860808015E-14</v>
      </c>
      <c r="BZ62" s="14">
        <f>BY62*VLOOKUP('Données projet'!$B$12,Paramètres!$A$1:$I$89,3,0)*VLOOKUP('Données projet'!$B$12,Paramètres!$A$1:$I$89,5,0)</f>
        <v>-3.1036506698001178E-14</v>
      </c>
      <c r="CA62" s="14" t="e">
        <f t="shared" si="39"/>
        <v>#NUM!</v>
      </c>
      <c r="CB62" s="22" t="e">
        <f t="shared" si="10"/>
        <v>#NUM!</v>
      </c>
      <c r="CC62" s="62" t="e">
        <f t="shared" si="11"/>
        <v>#NUM!</v>
      </c>
      <c r="CD62" s="62">
        <f ca="1">AVERAGE(OFFSET($CC$3,0,0,'Données projet'!$E$12+1,1))-AVERAGE(OFFSET($H$3,0,0,'Données projet'!$E$12+1,1))</f>
        <v>302.37244372118971</v>
      </c>
      <c r="CE62" s="62">
        <f t="shared" si="40"/>
        <v>439.56450354660171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4.2441926757177262</v>
      </c>
      <c r="CL62" s="23">
        <f>EXP(-LN(2)/25)*CL61+(1-EXP(-LN(2)/25))/(LN(2)/25)*Calculateur!CG62*Calculateur!CI62*VLOOKUP('Données projet'!$B$12,Paramètres!$A$1:$I$89,3,0)*0.475*44/12</f>
        <v>7.5643051407558666</v>
      </c>
      <c r="CM62" s="23">
        <f>EXP(-LN(2)/2)*CM61+(1-EXP(-LN(2)/2))/(LN(2)/2)*CG62*CJ62*VLOOKUP('Données projet'!$B$12,Paramètres!$A$1:$I$89,3,0)*0.475*44/12</f>
        <v>6.9273865257932265E-4</v>
      </c>
      <c r="CN62" s="24">
        <f t="shared" si="12"/>
        <v>11.809190555126174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63.678948847535004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6</v>
      </c>
      <c r="CT62" s="13">
        <f>IF('Données projet'!$A$140&gt;35,CT61+CS62-DB61,IF(A62&lt;'Données projet'!$A$140,$CQ$205^A62,IF(A62='Données projet'!$A$140,'Données projet'!$B$140,CT61+CS62-DB61)))</f>
        <v>214.00000000000003</v>
      </c>
      <c r="CU62" s="18">
        <f>CT62*VLOOKUP('Données projet'!$B$13,Paramètres!$A$1:$I$89,3,0)*VLOOKUP('Données projet'!$B$13,Paramètres!$A$1:$I$89,5,0)</f>
        <v>156.90480000000002</v>
      </c>
      <c r="CV62" s="14">
        <f t="shared" si="41"/>
        <v>40.14359267887437</v>
      </c>
      <c r="CW62" s="22">
        <f t="shared" si="13"/>
        <v>343.19261724903959</v>
      </c>
      <c r="CX62" s="62">
        <f t="shared" si="14"/>
        <v>613.34876302333464</v>
      </c>
      <c r="CY62" s="62">
        <f ca="1">AVERAGE(OFFSET($CX$3,0,0,'Données projet'!$E$13+1,1))-AVERAGE(OFFSET($H$3,0,0,'Données projet'!$E$13+1,1))</f>
        <v>300.12722359176314</v>
      </c>
      <c r="CZ62" s="62">
        <f t="shared" si="42"/>
        <v>313.35115626175946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5.3761459432709486</v>
      </c>
      <c r="DH62" s="23">
        <f>EXP(-LN(2)/2)*DH61+(1-EXP(-LN(2)/2))/(LN(2)/2)*DB62*DE62*VLOOKUP('Données projet'!$B$13,Paramètres!$A$1:$I$89,3,0)*0.475*44/12</f>
        <v>6.4999138394479473E-4</v>
      </c>
      <c r="DI62" s="24">
        <f t="shared" si="15"/>
        <v>5.3767959346548935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63.678948847535004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63.678948847535004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63.678948847535004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63.678948847535004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63.678948847535004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3.55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13.016666666666666</v>
      </c>
      <c r="H63" s="70">
        <f t="shared" si="1"/>
        <v>204.6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63.788604953276995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656</v>
      </c>
      <c r="L63" s="13">
        <f>VLOOKUP(A63,'Données projet'!$A$35:$I$55,9,0)</f>
        <v>8.1999999999999993</v>
      </c>
      <c r="M63" s="13">
        <f t="array" ref="M63">INDEX(L:L,MIN(IF(ISNUMBER(L63:L259),ROW(L63:L259),"")))</f>
        <v>8.1999999999999993</v>
      </c>
      <c r="N63" s="14">
        <f>IF('Données projet'!$A$36&gt;35,N62+M63-V62,IF(A63&lt;'Données projet'!$A$36,$K$205^A63,IF(A63='Données projet'!$A$36,'Données projet'!$B$36,N62+M63-V62)))</f>
        <v>655.99999999999977</v>
      </c>
      <c r="O63" s="14">
        <f>N63*VLOOKUP('Données projet'!$B$9,Paramètres!$A$1:$I$89,3,0)*VLOOKUP('Données projet'!$B$9,Paramètres!$A$1:$I$89,5,0)</f>
        <v>366.70399999999984</v>
      </c>
      <c r="P63" s="14">
        <f t="shared" si="33"/>
        <v>84.992650078103338</v>
      </c>
      <c r="Q63" s="22">
        <f t="shared" si="53"/>
        <v>786.70499888602956</v>
      </c>
      <c r="R63" s="62">
        <f t="shared" si="0"/>
        <v>1057.2632170480451</v>
      </c>
      <c r="S63" s="62">
        <f ca="1">AVERAGE(OFFSET($R$3,0,0,'Données projet'!$E$9+1,1))-AVERAGE(OFFSET($H$3,0,0,'Données projet'!$E$9+1,1))</f>
        <v>455.44531340185631</v>
      </c>
      <c r="T63" s="62">
        <f t="shared" si="34"/>
        <v>560.14861617544</v>
      </c>
      <c r="U63" s="16">
        <f>IF(ISNA(VLOOKUP(A63,'Données projet'!$A$35:$I$55,3,0)),0,VLOOKUP(A63,'Données projet'!$A$35:$I$55,3,0))</f>
        <v>9</v>
      </c>
      <c r="V63" s="16">
        <f>IF(ISNA(VLOOKUP(A63,'Données projet'!$A$35:$I$55,4,0)),0,VLOOKUP(A63,'Données projet'!$A$35:$I$55,4,0))</f>
        <v>656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5.9644991928610915</v>
      </c>
      <c r="AA63" s="23">
        <f>EXP(-LN(2)/25)*AA62+(1-EXP(-LN(2)/25))/(LN(2)/25)*Calculateur!V63*Calculateur!X63*VLOOKUP('Données projet'!$B$9,Paramètres!$A$1:$I$89,3,0)*0.475*44/12</f>
        <v>6.1897033899350777</v>
      </c>
      <c r="AB63" s="23">
        <f>EXP(-LN(2)/2)*AB62+(1-EXP(-LN(2)/2))/(LN(2)/2)*V63*Y63*VLOOKUP('Données projet'!$B$9,Paramètres!$A$1:$I$89,3,0)*0.475*44/12</f>
        <v>4.0509544861792982E-4</v>
      </c>
      <c r="AC63" s="24">
        <f t="shared" si="3"/>
        <v>12.154607678244789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63.788604953276995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242</v>
      </c>
      <c r="AG63" s="13">
        <f>VLOOKUP(A63,'Données projet'!$A$61:$I$81,9,0)</f>
        <v>6.8</v>
      </c>
      <c r="AH63" s="13">
        <f t="array" ref="AH63">INDEX(AG:AG,MIN(IF(ISNUMBER(AG63:AG259),ROW(AG63:AG259),"")))</f>
        <v>6.8</v>
      </c>
      <c r="AI63" s="14">
        <f>IF('Données projet'!$A$62&gt;35,AI62+AH63-AQ62,IF(A63&lt;'Données projet'!$A$62,$AF$205^A63,IF(A63='Données projet'!$A$62,'Données projet'!$B$62,AI62+AH63-AQ62)))</f>
        <v>242.00000000000026</v>
      </c>
      <c r="AJ63" s="14">
        <f>AI63*VLOOKUP('Données projet'!$B$10,Paramètres!$A$1:$I$89,3,0)*VLOOKUP('Données projet'!$B$10,Paramètres!$A$1:$I$89,5,0)</f>
        <v>211.41120000000024</v>
      </c>
      <c r="AK63" s="14">
        <f t="shared" si="35"/>
        <v>52.243848094411206</v>
      </c>
      <c r="AL63" s="22">
        <f t="shared" si="4"/>
        <v>459.19920876443319</v>
      </c>
      <c r="AM63" s="62">
        <f t="shared" si="5"/>
        <v>729.75742692644894</v>
      </c>
      <c r="AN63" s="62">
        <f ca="1">AVERAGE(OFFSET($AM$3,0,0,'Données projet'!$E$10+1,1))-AVERAGE(OFFSET($H$3,0,0,'Données projet'!$E$10+1,1))</f>
        <v>335.71510570470264</v>
      </c>
      <c r="AO63" s="62">
        <f t="shared" si="36"/>
        <v>401.61823018046482</v>
      </c>
      <c r="AP63" s="16">
        <f>IF(ISNA(VLOOKUP(A63,'Données projet'!$A$61:$I$81,3,0)),0,VLOOKUP(A63,'Données projet'!$A$61:$I$81,3,0))</f>
        <v>10</v>
      </c>
      <c r="AQ63" s="16">
        <f>IF(ISNA(VLOOKUP(A63,'Données projet'!$A$61:$I$81,4,0)),0,VLOOKUP(A63,'Données projet'!$A$61:$I$81,4,0))</f>
        <v>26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11.135017766902806</v>
      </c>
      <c r="AW63" s="23">
        <f>EXP(-LN(2)/2)*AW62+(1-EXP(-LN(2)/2))/(LN(2)/2)*AQ63*AT63*VLOOKUP('Données projet'!$B$10,Paramètres!$A$1:$I$89,3,0)*0.475*44/12</f>
        <v>5.5744958748334171E-4</v>
      </c>
      <c r="AX63" s="23">
        <f t="shared" si="6"/>
        <v>11.135575216490288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63.788604953276995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273</v>
      </c>
      <c r="BB63" s="13">
        <f>VLOOKUP(A63,'Données projet'!$A$87:$I$107,9,0)</f>
        <v>9.4</v>
      </c>
      <c r="BC63" s="13">
        <f t="array" ref="BC63">INDEX(BB:BB,MIN(IF(ISNUMBER(BB63:BB259),ROW(BB63:BB259),"")))</f>
        <v>9.4</v>
      </c>
      <c r="BD63" s="13">
        <f>IF('Données projet'!$A$88&gt;35,BD62+BC63-BL62,IF(A63&lt;'Données projet'!$A$88,$BA$205^A63,IF(A63='Données projet'!$A$88,'Données projet'!$B$88,BD62+BC63-BL62)))</f>
        <v>272.99999999999994</v>
      </c>
      <c r="BE63" s="14">
        <f>BD63*VLOOKUP('Données projet'!$B$11,Paramètres!$A$1:$I$89,3,0)*VLOOKUP('Données projet'!$B$11,Paramètres!$A$1:$I$89,5,0)</f>
        <v>247.01039999999992</v>
      </c>
      <c r="BF63" s="14">
        <f t="shared" si="37"/>
        <v>59.945315462121812</v>
      </c>
      <c r="BG63" s="22">
        <f t="shared" si="7"/>
        <v>534.61453776319524</v>
      </c>
      <c r="BH63" s="62">
        <f t="shared" si="8"/>
        <v>805.17275592521094</v>
      </c>
      <c r="BI63" s="62">
        <f ca="1">AVERAGE(OFFSET($BH$3,0,0,'Données projet'!$E$11+1,1))-AVERAGE(OFFSET($H$3,0,0,'Données projet'!$E$11+1,1))</f>
        <v>462.677457131175</v>
      </c>
      <c r="BJ63" s="62">
        <f t="shared" si="38"/>
        <v>291.78368401945909</v>
      </c>
      <c r="BK63" s="16">
        <f>IF(ISNA(VLOOKUP(A63,'Données projet'!$A$87:$I$107,3,0)),0,VLOOKUP(A63,'Données projet'!$A$87:$I$107,3,0))</f>
        <v>9</v>
      </c>
      <c r="BL63" s="16">
        <f>IF(ISNA(VLOOKUP(A63,'Données projet'!$A$87:$I$107,4,0)),0,VLOOKUP(A63,'Données projet'!$A$87:$I$107,4,0))</f>
        <v>28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3.9742551253556062</v>
      </c>
      <c r="BR63" s="23">
        <f>EXP(-LN(2)/2)*BR62+(1-EXP(-LN(2)/2))/(LN(2)/2)*BL63*BO63*VLOOKUP('Données projet'!$B$11,Paramètres!$A$1:$I$89,3,0)*0.475*44/12</f>
        <v>4.5501021254143242E-4</v>
      </c>
      <c r="BS63" s="24">
        <f t="shared" si="9"/>
        <v>3.9747101355681478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63.788604953276995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-5.6843418860808015E-14</v>
      </c>
      <c r="BZ63" s="14">
        <f>BY63*VLOOKUP('Données projet'!$B$12,Paramètres!$A$1:$I$89,3,0)*VLOOKUP('Données projet'!$B$12,Paramètres!$A$1:$I$89,5,0)</f>
        <v>-3.1036506698001178E-14</v>
      </c>
      <c r="CA63" s="14" t="e">
        <f t="shared" si="39"/>
        <v>#NUM!</v>
      </c>
      <c r="CB63" s="22" t="e">
        <f t="shared" si="10"/>
        <v>#NUM!</v>
      </c>
      <c r="CC63" s="62" t="e">
        <f t="shared" si="11"/>
        <v>#NUM!</v>
      </c>
      <c r="CD63" s="62">
        <f ca="1">AVERAGE(OFFSET($CC$3,0,0,'Données projet'!$E$12+1,1))-AVERAGE(OFFSET($H$3,0,0,'Données projet'!$E$12+1,1))</f>
        <v>302.37244372118971</v>
      </c>
      <c r="CE63" s="62">
        <f t="shared" si="40"/>
        <v>439.56450354660171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4.1609666460488208</v>
      </c>
      <c r="CL63" s="23">
        <f>EXP(-LN(2)/25)*CL62+(1-EXP(-LN(2)/25))/(LN(2)/25)*Calculateur!CG63*Calculateur!CI63*VLOOKUP('Données projet'!$B$12,Paramètres!$A$1:$I$89,3,0)*0.475*44/12</f>
        <v>7.3574588188923782</v>
      </c>
      <c r="CM63" s="23">
        <f>EXP(-LN(2)/2)*CM62+(1-EXP(-LN(2)/2))/(LN(2)/2)*CG63*CJ63*VLOOKUP('Données projet'!$B$12,Paramètres!$A$1:$I$89,3,0)*0.475*44/12</f>
        <v>4.8984019882887086E-4</v>
      </c>
      <c r="CN63" s="24">
        <f t="shared" si="12"/>
        <v>11.518915305140029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63.788604953276995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220</v>
      </c>
      <c r="CR63" s="13">
        <f>VLOOKUP(A63,'Données projet'!$A$139:$I$159,9,0)</f>
        <v>6</v>
      </c>
      <c r="CS63" s="13">
        <f t="array" ref="CS63">INDEX(CR:CR,MIN(IF(ISNUMBER(CR63:CR259),ROW(CR63:CR259),"")))</f>
        <v>6</v>
      </c>
      <c r="CT63" s="13">
        <f>IF('Données projet'!$A$140&gt;35,CT62+CS63-DB62,IF(A63&lt;'Données projet'!$A$140,$CQ$205^A63,IF(A63='Données projet'!$A$140,'Données projet'!$B$140,CT62+CS63-DB62)))</f>
        <v>220.00000000000003</v>
      </c>
      <c r="CU63" s="18">
        <f>CT63*VLOOKUP('Données projet'!$B$13,Paramètres!$A$1:$I$89,3,0)*VLOOKUP('Données projet'!$B$13,Paramètres!$A$1:$I$89,5,0)</f>
        <v>161.304</v>
      </c>
      <c r="CV63" s="14">
        <f t="shared" si="41"/>
        <v>41.136497157560399</v>
      </c>
      <c r="CW63" s="22">
        <f t="shared" si="13"/>
        <v>352.58386588275107</v>
      </c>
      <c r="CX63" s="62">
        <f t="shared" si="14"/>
        <v>623.14208404476676</v>
      </c>
      <c r="CY63" s="62">
        <f ca="1">AVERAGE(OFFSET($CX$3,0,0,'Données projet'!$E$13+1,1))-AVERAGE(OFFSET($H$3,0,0,'Données projet'!$E$13+1,1))</f>
        <v>300.12722359176314</v>
      </c>
      <c r="CZ63" s="62">
        <f t="shared" si="42"/>
        <v>313.35115626175946</v>
      </c>
      <c r="DA63" s="16">
        <f>IF(ISNA(VLOOKUP(A63,'Données projet'!$A$139:$I$159,3,0)),0,VLOOKUP(A63,'Données projet'!$A$139:$I$159,3,0))</f>
        <v>9</v>
      </c>
      <c r="DB63" s="16">
        <f>IF(ISNA(VLOOKUP(A63,'Données projet'!$A$139:$I$159,4,0)),0,VLOOKUP(A63,'Données projet'!$A$139:$I$159,4,0))</f>
        <v>22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5.2291349497329769</v>
      </c>
      <c r="DH63" s="23">
        <f>EXP(-LN(2)/2)*DH62+(1-EXP(-LN(2)/2))/(LN(2)/2)*DB63*DE63*VLOOKUP('Données projet'!$B$13,Paramètres!$A$1:$I$89,3,0)*0.475*44/12</f>
        <v>4.5961331530019317E-4</v>
      </c>
      <c r="DI63" s="24">
        <f t="shared" si="15"/>
        <v>5.229594563048277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63.788604953276995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63.788604953276995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63.788604953276995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63.788604953276995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63.788604953276995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3.55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13.016666666666666</v>
      </c>
      <c r="H64" s="70">
        <f t="shared" si="1"/>
        <v>204.6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63.896358770738672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-2.2737367544323206E-13</v>
      </c>
      <c r="O64" s="14">
        <f>N64*VLOOKUP('Données projet'!$B$9,Paramètres!$A$1:$I$89,3,0)*VLOOKUP('Données projet'!$B$9,Paramètres!$A$1:$I$89,5,0)</f>
        <v>-1.2710188457276673E-13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455.44531340185631</v>
      </c>
      <c r="T64" s="62">
        <f t="shared" si="34"/>
        <v>560.14861617544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5.847539001674372</v>
      </c>
      <c r="AA64" s="23">
        <f>EXP(-LN(2)/25)*AA63+(1-EXP(-LN(2)/25))/(LN(2)/25)*Calculateur!V64*Calculateur!X64*VLOOKUP('Données projet'!$B$9,Paramètres!$A$1:$I$89,3,0)*0.475*44/12</f>
        <v>6.0204456252349487</v>
      </c>
      <c r="AB64" s="23">
        <f>EXP(-LN(2)/2)*AB63+(1-EXP(-LN(2)/2))/(LN(2)/2)*V64*Y64*VLOOKUP('Données projet'!$B$9,Paramètres!$A$1:$I$89,3,0)*0.475*44/12</f>
        <v>2.864457387455448E-4</v>
      </c>
      <c r="AC64" s="24">
        <f t="shared" si="3"/>
        <v>11.868271072648067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63.896358770738672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6</v>
      </c>
      <c r="AI64" s="14">
        <f>IF('Données projet'!$A$62&gt;35,AI63+AH64-AQ63,IF(A64&lt;'Données projet'!$A$62,$AF$205^A64,IF(A64='Données projet'!$A$62,'Données projet'!$B$62,AI63+AH64-AQ63)))</f>
        <v>222.00000000000026</v>
      </c>
      <c r="AJ64" s="14">
        <f>AI64*VLOOKUP('Données projet'!$B$10,Paramètres!$A$1:$I$89,3,0)*VLOOKUP('Données projet'!$B$10,Paramètres!$A$1:$I$89,5,0)</f>
        <v>193.93920000000023</v>
      </c>
      <c r="AK64" s="14">
        <f t="shared" si="35"/>
        <v>48.409811198069427</v>
      </c>
      <c r="AL64" s="22">
        <f t="shared" si="4"/>
        <v>422.09119450330468</v>
      </c>
      <c r="AM64" s="62">
        <f t="shared" si="5"/>
        <v>693.04450999601318</v>
      </c>
      <c r="AN64" s="62">
        <f ca="1">AVERAGE(OFFSET($AM$3,0,0,'Données projet'!$E$10+1,1))-AVERAGE(OFFSET($H$3,0,0,'Données projet'!$E$10+1,1))</f>
        <v>335.71510570470264</v>
      </c>
      <c r="AO64" s="62">
        <f t="shared" si="36"/>
        <v>401.61823018046482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10.830530120501713</v>
      </c>
      <c r="AW64" s="23">
        <f>EXP(-LN(2)/2)*AW63+(1-EXP(-LN(2)/2))/(LN(2)/2)*AQ64*AT64*VLOOKUP('Données projet'!$B$10,Paramètres!$A$1:$I$89,3,0)*0.475*44/12</f>
        <v>3.941763834791145E-4</v>
      </c>
      <c r="AX64" s="23">
        <f t="shared" si="6"/>
        <v>10.830924296885192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63.896358770738672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8.8000000000000007</v>
      </c>
      <c r="BD64" s="13">
        <f>IF('Données projet'!$A$88&gt;35,BD63+BC64-BL63,IF(A64&lt;'Données projet'!$A$88,$BA$205^A64,IF(A64='Données projet'!$A$88,'Données projet'!$B$88,BD63+BC64-BL63)))</f>
        <v>253.79999999999995</v>
      </c>
      <c r="BE64" s="14">
        <f>BD64*VLOOKUP('Données projet'!$B$11,Paramètres!$A$1:$I$89,3,0)*VLOOKUP('Données projet'!$B$11,Paramètres!$A$1:$I$89,5,0)</f>
        <v>229.63823999999994</v>
      </c>
      <c r="BF64" s="14">
        <f t="shared" si="37"/>
        <v>56.204453396569633</v>
      </c>
      <c r="BG64" s="22">
        <f t="shared" si="7"/>
        <v>497.84269099902531</v>
      </c>
      <c r="BH64" s="62">
        <f t="shared" si="8"/>
        <v>768.79600649173381</v>
      </c>
      <c r="BI64" s="62">
        <f ca="1">AVERAGE(OFFSET($BH$3,0,0,'Données projet'!$E$11+1,1))-AVERAGE(OFFSET($H$3,0,0,'Données projet'!$E$11+1,1))</f>
        <v>462.677457131175</v>
      </c>
      <c r="BJ64" s="62">
        <f t="shared" si="38"/>
        <v>291.78368401945909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3.8655789099557634</v>
      </c>
      <c r="BR64" s="23">
        <f>EXP(-LN(2)/2)*BR63+(1-EXP(-LN(2)/2))/(LN(2)/2)*BL64*BO64*VLOOKUP('Données projet'!$B$11,Paramètres!$A$1:$I$89,3,0)*0.475*44/12</f>
        <v>3.2174080679717913E-4</v>
      </c>
      <c r="BS64" s="24">
        <f t="shared" si="9"/>
        <v>3.8659006507625606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63.896358770738672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-5.6843418860808015E-14</v>
      </c>
      <c r="BZ64" s="14">
        <f>BY64*VLOOKUP('Données projet'!$B$12,Paramètres!$A$1:$I$89,3,0)*VLOOKUP('Données projet'!$B$12,Paramètres!$A$1:$I$89,5,0)</f>
        <v>-3.1036506698001178E-14</v>
      </c>
      <c r="CA64" s="14" t="e">
        <f t="shared" si="39"/>
        <v>#NUM!</v>
      </c>
      <c r="CB64" s="22" t="e">
        <f t="shared" si="10"/>
        <v>#NUM!</v>
      </c>
      <c r="CC64" s="62" t="e">
        <f t="shared" si="11"/>
        <v>#NUM!</v>
      </c>
      <c r="CD64" s="62">
        <f ca="1">AVERAGE(OFFSET($CC$3,0,0,'Données projet'!$E$12+1,1))-AVERAGE(OFFSET($H$3,0,0,'Données projet'!$E$12+1,1))</f>
        <v>302.37244372118971</v>
      </c>
      <c r="CE64" s="62">
        <f t="shared" si="40"/>
        <v>439.56450354660171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4.0793726280588567</v>
      </c>
      <c r="CL64" s="23">
        <f>EXP(-LN(2)/25)*CL63+(1-EXP(-LN(2)/25))/(LN(2)/25)*Calculateur!CG64*Calculateur!CI64*VLOOKUP('Données projet'!$B$12,Paramètres!$A$1:$I$89,3,0)*0.475*44/12</f>
        <v>7.1562687205778222</v>
      </c>
      <c r="CM64" s="23">
        <f>EXP(-LN(2)/2)*CM63+(1-EXP(-LN(2)/2))/(LN(2)/2)*CG64*CJ64*VLOOKUP('Données projet'!$B$12,Paramètres!$A$1:$I$89,3,0)*0.475*44/12</f>
        <v>3.4636932628966132E-4</v>
      </c>
      <c r="CN64" s="24">
        <f t="shared" si="12"/>
        <v>11.235987717962969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63.896358770738672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5.2</v>
      </c>
      <c r="CT64" s="13">
        <f>IF('Données projet'!$A$140&gt;35,CT63+CS64-DB63,IF(A64&lt;'Données projet'!$A$140,$CQ$205^A64,IF(A64='Données projet'!$A$140,'Données projet'!$B$140,CT63+CS64-DB63)))</f>
        <v>203.20000000000002</v>
      </c>
      <c r="CU64" s="18">
        <f>CT64*VLOOKUP('Données projet'!$B$13,Paramètres!$A$1:$I$89,3,0)*VLOOKUP('Données projet'!$B$13,Paramètres!$A$1:$I$89,5,0)</f>
        <v>148.98624000000001</v>
      </c>
      <c r="CV64" s="14">
        <f t="shared" si="41"/>
        <v>38.348114176743444</v>
      </c>
      <c r="CW64" s="22">
        <f t="shared" si="13"/>
        <v>326.27400019116152</v>
      </c>
      <c r="CX64" s="62">
        <f t="shared" si="14"/>
        <v>597.22731568386996</v>
      </c>
      <c r="CY64" s="62">
        <f ca="1">AVERAGE(OFFSET($CX$3,0,0,'Données projet'!$E$13+1,1))-AVERAGE(OFFSET($H$3,0,0,'Données projet'!$E$13+1,1))</f>
        <v>300.12722359176314</v>
      </c>
      <c r="CZ64" s="62">
        <f t="shared" si="42"/>
        <v>313.35115626175946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5.0861439795442731</v>
      </c>
      <c r="DH64" s="23">
        <f>EXP(-LN(2)/2)*DH63+(1-EXP(-LN(2)/2))/(LN(2)/2)*DB64*DE64*VLOOKUP('Données projet'!$B$13,Paramètres!$A$1:$I$89,3,0)*0.475*44/12</f>
        <v>3.2499569197239737E-4</v>
      </c>
      <c r="DI64" s="24">
        <f t="shared" si="15"/>
        <v>5.0864689752362455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63.896358770738672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63.896358770738672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63.896358770738672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63.896358770738672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63.896358770738672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3.55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13.016666666666666</v>
      </c>
      <c r="H65" s="70">
        <f t="shared" si="1"/>
        <v>204.6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64.002243300368832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-2.2737367544323206E-13</v>
      </c>
      <c r="O65" s="14">
        <f>N65*VLOOKUP('Données projet'!$B$9,Paramètres!$A$1:$I$89,3,0)*VLOOKUP('Données projet'!$B$9,Paramètres!$A$1:$I$89,5,0)</f>
        <v>-1.2710188457276673E-13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455.44531340185631</v>
      </c>
      <c r="T65" s="62">
        <f t="shared" si="34"/>
        <v>560.14861617544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5.7328723284981518</v>
      </c>
      <c r="AA65" s="23">
        <f>EXP(-LN(2)/25)*AA64+(1-EXP(-LN(2)/25))/(LN(2)/25)*Calculateur!V65*Calculateur!X65*VLOOKUP('Données projet'!$B$9,Paramètres!$A$1:$I$89,3,0)*0.475*44/12</f>
        <v>5.8558162230114235</v>
      </c>
      <c r="AB65" s="23">
        <f>EXP(-LN(2)/2)*AB64+(1-EXP(-LN(2)/2))/(LN(2)/2)*V65*Y65*VLOOKUP('Données projet'!$B$9,Paramètres!$A$1:$I$89,3,0)*0.475*44/12</f>
        <v>2.0254772430896491E-4</v>
      </c>
      <c r="AC65" s="24">
        <f t="shared" si="3"/>
        <v>11.588891099233884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64.002243300368832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6</v>
      </c>
      <c r="AI65" s="14">
        <f>IF('Données projet'!$A$62&gt;35,AI64+AH65-AQ64,IF(A65&lt;'Données projet'!$A$62,$AF$205^A65,IF(A65='Données projet'!$A$62,'Données projet'!$B$62,AI64+AH65-AQ64)))</f>
        <v>228.00000000000026</v>
      </c>
      <c r="AJ65" s="14">
        <f>AI65*VLOOKUP('Données projet'!$B$10,Paramètres!$A$1:$I$89,3,0)*VLOOKUP('Données projet'!$B$10,Paramètres!$A$1:$I$89,5,0)</f>
        <v>199.18080000000023</v>
      </c>
      <c r="AK65" s="14">
        <f t="shared" si="35"/>
        <v>49.564089376413726</v>
      </c>
      <c r="AL65" s="22">
        <f t="shared" si="4"/>
        <v>433.23068233058763</v>
      </c>
      <c r="AM65" s="62">
        <f t="shared" si="5"/>
        <v>704.5722410986067</v>
      </c>
      <c r="AN65" s="62">
        <f ca="1">AVERAGE(OFFSET($AM$3,0,0,'Données projet'!$E$10+1,1))-AVERAGE(OFFSET($H$3,0,0,'Données projet'!$E$10+1,1))</f>
        <v>335.71510570470264</v>
      </c>
      <c r="AO65" s="62">
        <f t="shared" si="36"/>
        <v>401.61823018046482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10.534368704803768</v>
      </c>
      <c r="AW65" s="23">
        <f>EXP(-LN(2)/2)*AW64+(1-EXP(-LN(2)/2))/(LN(2)/2)*AQ65*AT65*VLOOKUP('Données projet'!$B$10,Paramètres!$A$1:$I$89,3,0)*0.475*44/12</f>
        <v>2.7872479374167086E-4</v>
      </c>
      <c r="AX65" s="23">
        <f t="shared" si="6"/>
        <v>10.534647429597509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64.002243300368832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8.8000000000000007</v>
      </c>
      <c r="BD65" s="13">
        <f>IF('Données projet'!$A$88&gt;35,BD64+BC65-BL64,IF(A65&lt;'Données projet'!$A$88,$BA$205^A65,IF(A65='Données projet'!$A$88,'Données projet'!$B$88,BD64+BC65-BL64)))</f>
        <v>262.59999999999997</v>
      </c>
      <c r="BE65" s="14">
        <f>BD65*VLOOKUP('Données projet'!$B$11,Paramètres!$A$1:$I$89,3,0)*VLOOKUP('Données projet'!$B$11,Paramètres!$A$1:$I$89,5,0)</f>
        <v>237.60047999999995</v>
      </c>
      <c r="BF65" s="14">
        <f t="shared" si="37"/>
        <v>57.922960533442058</v>
      </c>
      <c r="BG65" s="22">
        <f t="shared" si="7"/>
        <v>514.70332559574479</v>
      </c>
      <c r="BH65" s="62">
        <f t="shared" si="8"/>
        <v>786.04488436376391</v>
      </c>
      <c r="BI65" s="62">
        <f ca="1">AVERAGE(OFFSET($BH$3,0,0,'Données projet'!$E$11+1,1))-AVERAGE(OFFSET($H$3,0,0,'Données projet'!$E$11+1,1))</f>
        <v>462.677457131175</v>
      </c>
      <c r="BJ65" s="62">
        <f t="shared" si="38"/>
        <v>291.78368401945909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3.7598744513810631</v>
      </c>
      <c r="BR65" s="23">
        <f>EXP(-LN(2)/2)*BR64+(1-EXP(-LN(2)/2))/(LN(2)/2)*BL65*BO65*VLOOKUP('Données projet'!$B$11,Paramètres!$A$1:$I$89,3,0)*0.475*44/12</f>
        <v>2.2750510627071621E-4</v>
      </c>
      <c r="BS65" s="24">
        <f t="shared" si="9"/>
        <v>3.7601019564873339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64.002243300368832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-5.6843418860808015E-14</v>
      </c>
      <c r="BZ65" s="14">
        <f>BY65*VLOOKUP('Données projet'!$B$12,Paramètres!$A$1:$I$89,3,0)*VLOOKUP('Données projet'!$B$12,Paramètres!$A$1:$I$89,5,0)</f>
        <v>-3.1036506698001178E-14</v>
      </c>
      <c r="CA65" s="14" t="e">
        <f t="shared" si="39"/>
        <v>#NUM!</v>
      </c>
      <c r="CB65" s="22" t="e">
        <f t="shared" si="10"/>
        <v>#NUM!</v>
      </c>
      <c r="CC65" s="62" t="e">
        <f t="shared" si="11"/>
        <v>#NUM!</v>
      </c>
      <c r="CD65" s="62">
        <f ca="1">AVERAGE(OFFSET($CC$3,0,0,'Données projet'!$E$12+1,1))-AVERAGE(OFFSET($H$3,0,0,'Données projet'!$E$12+1,1))</f>
        <v>302.37244372118971</v>
      </c>
      <c r="CE65" s="62">
        <f t="shared" si="40"/>
        <v>439.56450354660171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3.9993786189942391</v>
      </c>
      <c r="CL65" s="23">
        <f>EXP(-LN(2)/25)*CL64+(1-EXP(-LN(2)/25))/(LN(2)/25)*Calculateur!CG65*Calculateur!CI65*VLOOKUP('Données projet'!$B$12,Paramètres!$A$1:$I$89,3,0)*0.475*44/12</f>
        <v>6.9605801760818053</v>
      </c>
      <c r="CM65" s="23">
        <f>EXP(-LN(2)/2)*CM64+(1-EXP(-LN(2)/2))/(LN(2)/2)*CG65*CJ65*VLOOKUP('Données projet'!$B$12,Paramètres!$A$1:$I$89,3,0)*0.475*44/12</f>
        <v>2.4492009941443543E-4</v>
      </c>
      <c r="CN65" s="24">
        <f t="shared" si="12"/>
        <v>10.960203715175458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64.002243300368832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5.2</v>
      </c>
      <c r="CT65" s="13">
        <f>IF('Données projet'!$A$140&gt;35,CT64+CS65-DB64,IF(A65&lt;'Données projet'!$A$140,$CQ$205^A65,IF(A65='Données projet'!$A$140,'Données projet'!$B$140,CT64+CS65-DB64)))</f>
        <v>208.4</v>
      </c>
      <c r="CU65" s="18">
        <f>CT65*VLOOKUP('Données projet'!$B$13,Paramètres!$A$1:$I$89,3,0)*VLOOKUP('Données projet'!$B$13,Paramètres!$A$1:$I$89,5,0)</f>
        <v>152.79888</v>
      </c>
      <c r="CV65" s="14">
        <f t="shared" si="41"/>
        <v>39.213955159388576</v>
      </c>
      <c r="CW65" s="22">
        <f t="shared" si="13"/>
        <v>334.42235456926841</v>
      </c>
      <c r="CX65" s="62">
        <f t="shared" si="14"/>
        <v>605.76391333728748</v>
      </c>
      <c r="CY65" s="62">
        <f ca="1">AVERAGE(OFFSET($CX$3,0,0,'Données projet'!$E$13+1,1))-AVERAGE(OFFSET($H$3,0,0,'Données projet'!$E$13+1,1))</f>
        <v>300.12722359176314</v>
      </c>
      <c r="CZ65" s="62">
        <f t="shared" si="42"/>
        <v>313.35115626175946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4.9470631049549478</v>
      </c>
      <c r="DH65" s="23">
        <f>EXP(-LN(2)/2)*DH64+(1-EXP(-LN(2)/2))/(LN(2)/2)*DB65*DE65*VLOOKUP('Données projet'!$B$13,Paramètres!$A$1:$I$89,3,0)*0.475*44/12</f>
        <v>2.2980665765009659E-4</v>
      </c>
      <c r="DI65" s="24">
        <f t="shared" si="15"/>
        <v>4.9472929116125979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64.002243300368832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64.002243300368832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64.002243300368832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64.002243300368832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64.002243300368832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3.55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13.016666666666666</v>
      </c>
      <c r="H66" s="70">
        <f t="shared" si="1"/>
        <v>204.6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64.106290970132278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-2.2737367544323206E-13</v>
      </c>
      <c r="O66" s="14">
        <f>N66*VLOOKUP('Données projet'!$B$9,Paramètres!$A$1:$I$89,3,0)*VLOOKUP('Données projet'!$B$9,Paramètres!$A$1:$I$89,5,0)</f>
        <v>-1.2710188457276673E-13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455.44531340185631</v>
      </c>
      <c r="T66" s="62">
        <f t="shared" si="34"/>
        <v>560.14861617544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5.6204541988431522</v>
      </c>
      <c r="AA66" s="23">
        <f>EXP(-LN(2)/25)*AA65+(1-EXP(-LN(2)/25))/(LN(2)/25)*Calculateur!V66*Calculateur!X66*VLOOKUP('Données projet'!$B$9,Paramètres!$A$1:$I$89,3,0)*0.475*44/12</f>
        <v>5.695688620449185</v>
      </c>
      <c r="AB66" s="23">
        <f>EXP(-LN(2)/2)*AB65+(1-EXP(-LN(2)/2))/(LN(2)/2)*V66*Y66*VLOOKUP('Données projet'!$B$9,Paramètres!$A$1:$I$89,3,0)*0.475*44/12</f>
        <v>1.432228693727724E-4</v>
      </c>
      <c r="AC66" s="24">
        <f t="shared" si="3"/>
        <v>11.31628604216171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64.106290970132278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6</v>
      </c>
      <c r="AI66" s="14">
        <f>IF('Données projet'!$A$62&gt;35,AI65+AH66-AQ65,IF(A66&lt;'Données projet'!$A$62,$AF$205^A66,IF(A66='Données projet'!$A$62,'Données projet'!$B$62,AI65+AH66-AQ65)))</f>
        <v>234.00000000000026</v>
      </c>
      <c r="AJ66" s="14">
        <f>AI66*VLOOKUP('Données projet'!$B$10,Paramètres!$A$1:$I$89,3,0)*VLOOKUP('Données projet'!$B$10,Paramètres!$A$1:$I$89,5,0)</f>
        <v>204.42240000000027</v>
      </c>
      <c r="AK66" s="14">
        <f t="shared" si="35"/>
        <v>50.714836797527354</v>
      </c>
      <c r="AL66" s="22">
        <f t="shared" si="4"/>
        <v>444.36402075569396</v>
      </c>
      <c r="AM66" s="62">
        <f t="shared" si="5"/>
        <v>716.08708764617904</v>
      </c>
      <c r="AN66" s="62">
        <f ca="1">AVERAGE(OFFSET($AM$3,0,0,'Données projet'!$E$10+1,1))-AVERAGE(OFFSET($H$3,0,0,'Données projet'!$E$10+1,1))</f>
        <v>335.71510570470264</v>
      </c>
      <c r="AO66" s="62">
        <f t="shared" si="36"/>
        <v>401.61823018046482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10.246305838592535</v>
      </c>
      <c r="AW66" s="23">
        <f>EXP(-LN(2)/2)*AW65+(1-EXP(-LN(2)/2))/(LN(2)/2)*AQ66*AT66*VLOOKUP('Données projet'!$B$10,Paramètres!$A$1:$I$89,3,0)*0.475*44/12</f>
        <v>1.9708819173955725E-4</v>
      </c>
      <c r="AX66" s="23">
        <f t="shared" si="6"/>
        <v>10.246502926784276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64.106290970132278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8.8000000000000007</v>
      </c>
      <c r="BD66" s="13">
        <f>IF('Données projet'!$A$88&gt;35,BD65+BC66-BL65,IF(A66&lt;'Données projet'!$A$88,$BA$205^A66,IF(A66='Données projet'!$A$88,'Données projet'!$B$88,BD65+BC66-BL65)))</f>
        <v>271.39999999999998</v>
      </c>
      <c r="BE66" s="14">
        <f>BD66*VLOOKUP('Données projet'!$B$11,Paramètres!$A$1:$I$89,3,0)*VLOOKUP('Données projet'!$B$11,Paramètres!$A$1:$I$89,5,0)</f>
        <v>245.56271999999998</v>
      </c>
      <c r="BF66" s="14">
        <f t="shared" si="37"/>
        <v>59.634776048276898</v>
      </c>
      <c r="BG66" s="22">
        <f t="shared" si="7"/>
        <v>531.55230561741564</v>
      </c>
      <c r="BH66" s="62">
        <f t="shared" si="8"/>
        <v>803.27537250790067</v>
      </c>
      <c r="BI66" s="62">
        <f ca="1">AVERAGE(OFFSET($BH$3,0,0,'Données projet'!$E$11+1,1))-AVERAGE(OFFSET($H$3,0,0,'Données projet'!$E$11+1,1))</f>
        <v>462.677457131175</v>
      </c>
      <c r="BJ66" s="62">
        <f t="shared" si="38"/>
        <v>291.78368401945909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3.657060486784844</v>
      </c>
      <c r="BR66" s="23">
        <f>EXP(-LN(2)/2)*BR65+(1-EXP(-LN(2)/2))/(LN(2)/2)*BL66*BO66*VLOOKUP('Données projet'!$B$11,Paramètres!$A$1:$I$89,3,0)*0.475*44/12</f>
        <v>1.6087040339858957E-4</v>
      </c>
      <c r="BS66" s="24">
        <f t="shared" si="9"/>
        <v>3.6572213571882424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64.106290970132278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-5.6843418860808015E-14</v>
      </c>
      <c r="BZ66" s="14">
        <f>BY66*VLOOKUP('Données projet'!$B$12,Paramètres!$A$1:$I$89,3,0)*VLOOKUP('Données projet'!$B$12,Paramètres!$A$1:$I$89,5,0)</f>
        <v>-3.1036506698001178E-14</v>
      </c>
      <c r="CA66" s="14" t="e">
        <f t="shared" si="39"/>
        <v>#NUM!</v>
      </c>
      <c r="CB66" s="22" t="e">
        <f t="shared" si="10"/>
        <v>#NUM!</v>
      </c>
      <c r="CC66" s="62" t="e">
        <f t="shared" si="11"/>
        <v>#NUM!</v>
      </c>
      <c r="CD66" s="62">
        <f ca="1">AVERAGE(OFFSET($CC$3,0,0,'Données projet'!$E$12+1,1))-AVERAGE(OFFSET($H$3,0,0,'Données projet'!$E$12+1,1))</f>
        <v>302.37244372118971</v>
      </c>
      <c r="CE66" s="62">
        <f t="shared" si="40"/>
        <v>439.56450354660171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3.920953243655851</v>
      </c>
      <c r="CL66" s="23">
        <f>EXP(-LN(2)/25)*CL65+(1-EXP(-LN(2)/25))/(LN(2)/25)*Calculateur!CG66*Calculateur!CI66*VLOOKUP('Données projet'!$B$12,Paramètres!$A$1:$I$89,3,0)*0.475*44/12</f>
        <v>6.7702427451258451</v>
      </c>
      <c r="CM66" s="23">
        <f>EXP(-LN(2)/2)*CM65+(1-EXP(-LN(2)/2))/(LN(2)/2)*CG66*CJ66*VLOOKUP('Données projet'!$B$12,Paramètres!$A$1:$I$89,3,0)*0.475*44/12</f>
        <v>1.7318466314483066E-4</v>
      </c>
      <c r="CN66" s="24">
        <f t="shared" si="12"/>
        <v>10.691369173444842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64.106290970132278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5.2</v>
      </c>
      <c r="CT66" s="13">
        <f>IF('Données projet'!$A$140&gt;35,CT65+CS66-DB65,IF(A66&lt;'Données projet'!$A$140,$CQ$205^A66,IF(A66='Données projet'!$A$140,'Données projet'!$B$140,CT65+CS66-DB65)))</f>
        <v>213.6</v>
      </c>
      <c r="CU66" s="18">
        <f>CT66*VLOOKUP('Données projet'!$B$13,Paramètres!$A$1:$I$89,3,0)*VLOOKUP('Données projet'!$B$13,Paramètres!$A$1:$I$89,5,0)</f>
        <v>156.61152000000001</v>
      </c>
      <c r="CV66" s="14">
        <f t="shared" si="41"/>
        <v>40.077284753867062</v>
      </c>
      <c r="CW66" s="22">
        <f t="shared" si="13"/>
        <v>342.56633494631848</v>
      </c>
      <c r="CX66" s="62">
        <f t="shared" si="14"/>
        <v>614.28940183680356</v>
      </c>
      <c r="CY66" s="62">
        <f ca="1">AVERAGE(OFFSET($CX$3,0,0,'Données projet'!$E$13+1,1))-AVERAGE(OFFSET($H$3,0,0,'Données projet'!$E$13+1,1))</f>
        <v>300.12722359176314</v>
      </c>
      <c r="CZ66" s="62">
        <f t="shared" si="42"/>
        <v>313.35115626175946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4.8117854041952128</v>
      </c>
      <c r="DH66" s="23">
        <f>EXP(-LN(2)/2)*DH65+(1-EXP(-LN(2)/2))/(LN(2)/2)*DB66*DE66*VLOOKUP('Données projet'!$B$13,Paramètres!$A$1:$I$89,3,0)*0.475*44/12</f>
        <v>1.6249784598619868E-4</v>
      </c>
      <c r="DI66" s="24">
        <f t="shared" si="15"/>
        <v>4.811947902041199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64.106290970132278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64.106290970132278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64.106290970132278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64.106290970132278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64.106290970132278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3.55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13.016666666666666</v>
      </c>
      <c r="H67" s="70">
        <f t="shared" si="1"/>
        <v>204.6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64.208533645441051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-2.2737367544323206E-13</v>
      </c>
      <c r="O67" s="14">
        <f>N67*VLOOKUP('Données projet'!$B$9,Paramètres!$A$1:$I$89,3,0)*VLOOKUP('Données projet'!$B$9,Paramètres!$A$1:$I$89,5,0)</f>
        <v>-1.2710188457276673E-13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455.44531340185631</v>
      </c>
      <c r="T67" s="62">
        <f t="shared" si="34"/>
        <v>560.14861617544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5.510240520142399</v>
      </c>
      <c r="AA67" s="23">
        <f>EXP(-LN(2)/25)*AA66+(1-EXP(-LN(2)/25))/(LN(2)/25)*Calculateur!V67*Calculateur!X67*VLOOKUP('Données projet'!$B$9,Paramètres!$A$1:$I$89,3,0)*0.475*44/12</f>
        <v>5.539939715599755</v>
      </c>
      <c r="AB67" s="23">
        <f>EXP(-LN(2)/2)*AB66+(1-EXP(-LN(2)/2))/(LN(2)/2)*V67*Y67*VLOOKUP('Données projet'!$B$9,Paramètres!$A$1:$I$89,3,0)*0.475*44/12</f>
        <v>1.0127386215448245E-4</v>
      </c>
      <c r="AC67" s="24">
        <f t="shared" si="3"/>
        <v>11.050281509604309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64.208533645441051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6</v>
      </c>
      <c r="AI67" s="14">
        <f>IF('Données projet'!$A$62&gt;35,AI66+AH67-AQ66,IF(A67&lt;'Données projet'!$A$62,$AF$205^A67,IF(A67='Données projet'!$A$62,'Données projet'!$B$62,AI66+AH67-AQ66)))</f>
        <v>240.00000000000026</v>
      </c>
      <c r="AJ67" s="14">
        <f>AI67*VLOOKUP('Données projet'!$B$10,Paramètres!$A$1:$I$89,3,0)*VLOOKUP('Données projet'!$B$10,Paramètres!$A$1:$I$89,5,0)</f>
        <v>209.66400000000024</v>
      </c>
      <c r="AK67" s="14">
        <f t="shared" si="35"/>
        <v>51.862154403304579</v>
      </c>
      <c r="AL67" s="22">
        <f t="shared" si="4"/>
        <v>455.49138558575584</v>
      </c>
      <c r="AM67" s="62">
        <f t="shared" si="5"/>
        <v>727.58934228570638</v>
      </c>
      <c r="AN67" s="62">
        <f ca="1">AVERAGE(OFFSET($AM$3,0,0,'Données projet'!$E$10+1,1))-AVERAGE(OFFSET($H$3,0,0,'Données projet'!$E$10+1,1))</f>
        <v>335.71510570470264</v>
      </c>
      <c r="AO67" s="62">
        <f t="shared" si="36"/>
        <v>401.61823018046482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9.9661200666064165</v>
      </c>
      <c r="AW67" s="23">
        <f>EXP(-LN(2)/2)*AW66+(1-EXP(-LN(2)/2))/(LN(2)/2)*AQ67*AT67*VLOOKUP('Données projet'!$B$10,Paramètres!$A$1:$I$89,3,0)*0.475*44/12</f>
        <v>1.3936239687083543E-4</v>
      </c>
      <c r="AX67" s="23">
        <f t="shared" si="6"/>
        <v>9.9662594290032871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64.208533645441051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8.8000000000000007</v>
      </c>
      <c r="BD67" s="13">
        <f>IF('Données projet'!$A$88&gt;35,BD66+BC67-BL66,IF(A67&lt;'Données projet'!$A$88,$BA$205^A67,IF(A67='Données projet'!$A$88,'Données projet'!$B$88,BD66+BC67-BL66)))</f>
        <v>280.2</v>
      </c>
      <c r="BE67" s="14">
        <f>BD67*VLOOKUP('Données projet'!$B$11,Paramètres!$A$1:$I$89,3,0)*VLOOKUP('Données projet'!$B$11,Paramètres!$A$1:$I$89,5,0)</f>
        <v>253.52495999999999</v>
      </c>
      <c r="BF67" s="14">
        <f t="shared" si="37"/>
        <v>61.340141798422209</v>
      </c>
      <c r="BG67" s="22">
        <f t="shared" si="7"/>
        <v>548.39005229891859</v>
      </c>
      <c r="BH67" s="62">
        <f t="shared" si="8"/>
        <v>820.48800899886919</v>
      </c>
      <c r="BI67" s="62">
        <f ca="1">AVERAGE(OFFSET($BH$3,0,0,'Données projet'!$E$11+1,1))-AVERAGE(OFFSET($H$3,0,0,'Données projet'!$E$11+1,1))</f>
        <v>462.677457131175</v>
      </c>
      <c r="BJ67" s="62">
        <f t="shared" si="38"/>
        <v>291.78368401945909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3.5570579754572598</v>
      </c>
      <c r="BR67" s="23">
        <f>EXP(-LN(2)/2)*BR66+(1-EXP(-LN(2)/2))/(LN(2)/2)*BL67*BO67*VLOOKUP('Données projet'!$B$11,Paramètres!$A$1:$I$89,3,0)*0.475*44/12</f>
        <v>1.1375255313535811E-4</v>
      </c>
      <c r="BS67" s="24">
        <f t="shared" si="9"/>
        <v>3.5571717280103949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64.208533645441051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-5.6843418860808015E-14</v>
      </c>
      <c r="BZ67" s="14">
        <f>BY67*VLOOKUP('Données projet'!$B$12,Paramètres!$A$1:$I$89,3,0)*VLOOKUP('Données projet'!$B$12,Paramètres!$A$1:$I$89,5,0)</f>
        <v>-3.1036506698001178E-14</v>
      </c>
      <c r="CA67" s="14" t="e">
        <f t="shared" si="39"/>
        <v>#NUM!</v>
      </c>
      <c r="CB67" s="22" t="e">
        <f t="shared" si="10"/>
        <v>#NUM!</v>
      </c>
      <c r="CC67" s="62" t="e">
        <f t="shared" si="11"/>
        <v>#NUM!</v>
      </c>
      <c r="CD67" s="62">
        <f ca="1">AVERAGE(OFFSET($CC$3,0,0,'Données projet'!$E$12+1,1))-AVERAGE(OFFSET($H$3,0,0,'Données projet'!$E$12+1,1))</f>
        <v>302.37244372118971</v>
      </c>
      <c r="CE67" s="62">
        <f t="shared" si="40"/>
        <v>439.56450354660171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3.8440657420930928</v>
      </c>
      <c r="CL67" s="23">
        <f>EXP(-LN(2)/25)*CL66+(1-EXP(-LN(2)/25))/(LN(2)/25)*Calculateur!CG67*Calculateur!CI67*VLOOKUP('Données projet'!$B$12,Paramètres!$A$1:$I$89,3,0)*0.475*44/12</f>
        <v>6.5851101012287865</v>
      </c>
      <c r="CM67" s="23">
        <f>EXP(-LN(2)/2)*CM66+(1-EXP(-LN(2)/2))/(LN(2)/2)*CG67*CJ67*VLOOKUP('Données projet'!$B$12,Paramètres!$A$1:$I$89,3,0)*0.475*44/12</f>
        <v>1.2246004970721772E-4</v>
      </c>
      <c r="CN67" s="24">
        <f t="shared" si="12"/>
        <v>10.429298303371587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64.208533645441051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5.2</v>
      </c>
      <c r="CT67" s="13">
        <f>IF('Données projet'!$A$140&gt;35,CT66+CS67-DB66,IF(A67&lt;'Données projet'!$A$140,$CQ$205^A67,IF(A67='Données projet'!$A$140,'Données projet'!$B$140,CT66+CS67-DB66)))</f>
        <v>218.79999999999998</v>
      </c>
      <c r="CU67" s="18">
        <f>CT67*VLOOKUP('Données projet'!$B$13,Paramètres!$A$1:$I$89,3,0)*VLOOKUP('Données projet'!$B$13,Paramètres!$A$1:$I$89,5,0)</f>
        <v>160.42415999999997</v>
      </c>
      <c r="CV67" s="14">
        <f t="shared" si="41"/>
        <v>40.938171132384447</v>
      </c>
      <c r="CW67" s="22">
        <f t="shared" si="13"/>
        <v>350.70606005556948</v>
      </c>
      <c r="CX67" s="62">
        <f t="shared" si="14"/>
        <v>622.80401675552002</v>
      </c>
      <c r="CY67" s="62">
        <f ca="1">AVERAGE(OFFSET($CX$3,0,0,'Données projet'!$E$13+1,1))-AVERAGE(OFFSET($H$3,0,0,'Données projet'!$E$13+1,1))</f>
        <v>300.12722359176314</v>
      </c>
      <c r="CZ67" s="62">
        <f t="shared" si="42"/>
        <v>313.35115626175946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4.6802068792766978</v>
      </c>
      <c r="DH67" s="23">
        <f>EXP(-LN(2)/2)*DH66+(1-EXP(-LN(2)/2))/(LN(2)/2)*DB67*DE67*VLOOKUP('Données projet'!$B$13,Paramètres!$A$1:$I$89,3,0)*0.475*44/12</f>
        <v>1.1490332882504829E-4</v>
      </c>
      <c r="DI67" s="24">
        <f t="shared" si="15"/>
        <v>4.6803217826055228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64.208533645441051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64.208533645441051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64.208533645441051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64.208533645441051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64.208533645441051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3.55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13.016666666666666</v>
      </c>
      <c r="H68" s="70">
        <f t="shared" ref="H68:H131" si="56">(B68+E68+F68)*44/12+(C68+D68)*0.475*44/12</f>
        <v>204.6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64.309002638913597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-2.2737367544323206E-13</v>
      </c>
      <c r="O68" s="14">
        <f>N68*VLOOKUP('Données projet'!$B$9,Paramètres!$A$1:$I$89,3,0)*VLOOKUP('Données projet'!$B$9,Paramètres!$A$1:$I$89,5,0)</f>
        <v>-1.2710188457276673E-13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455.44531340185631</v>
      </c>
      <c r="T68" s="62">
        <f t="shared" si="34"/>
        <v>560.14861617544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5.4021880644572606</v>
      </c>
      <c r="AA68" s="23">
        <f>EXP(-LN(2)/25)*AA67+(1-EXP(-LN(2)/25))/(LN(2)/25)*Calculateur!V68*Calculateur!X68*VLOOKUP('Données projet'!$B$9,Paramètres!$A$1:$I$89,3,0)*0.475*44/12</f>
        <v>5.388449772743912</v>
      </c>
      <c r="AB68" s="23">
        <f>EXP(-LN(2)/2)*AB67+(1-EXP(-LN(2)/2))/(LN(2)/2)*V68*Y68*VLOOKUP('Données projet'!$B$9,Paramètres!$A$1:$I$89,3,0)*0.475*44/12</f>
        <v>7.16114346863862E-5</v>
      </c>
      <c r="AC68" s="24">
        <f t="shared" ref="AC68:AC131" si="57">SUM(Z68:AB68)</f>
        <v>10.790709448635859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64.309002638913597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246</v>
      </c>
      <c r="AG68" s="13">
        <f>VLOOKUP(A68,'Données projet'!$A$61:$I$81,9,0)</f>
        <v>6</v>
      </c>
      <c r="AH68" s="13">
        <f t="array" ref="AH68">INDEX(AG:AG,MIN(IF(ISNUMBER(AG68:AG264),ROW(AG68:AG264),"")))</f>
        <v>6</v>
      </c>
      <c r="AI68" s="14">
        <f>IF('Données projet'!$A$62&gt;35,AI67+AH68-AQ67,IF(A68&lt;'Données projet'!$A$62,$AF$205^A68,IF(A68='Données projet'!$A$62,'Données projet'!$B$62,AI67+AH68-AQ67)))</f>
        <v>246.00000000000026</v>
      </c>
      <c r="AJ68" s="14">
        <f>AI68*VLOOKUP('Données projet'!$B$10,Paramètres!$A$1:$I$89,3,0)*VLOOKUP('Données projet'!$B$10,Paramètres!$A$1:$I$89,5,0)</f>
        <v>214.90560000000025</v>
      </c>
      <c r="AK68" s="14">
        <f t="shared" si="35"/>
        <v>53.006137800892375</v>
      </c>
      <c r="AL68" s="22">
        <f t="shared" ref="AL68:AL131" si="58">(AJ68+AK68)*0.475*44/12</f>
        <v>466.61294333655468</v>
      </c>
      <c r="AM68" s="62">
        <f t="shared" ref="AM68:AM131" si="59">AL68+(AD68+AE68)*44/12</f>
        <v>739.07928634590451</v>
      </c>
      <c r="AN68" s="62">
        <f ca="1">AVERAGE(OFFSET($AM$3,0,0,'Données projet'!$E$10+1,1))-AVERAGE(OFFSET($H$3,0,0,'Données projet'!$E$10+1,1))</f>
        <v>335.71510570470264</v>
      </c>
      <c r="AO68" s="62">
        <f t="shared" si="36"/>
        <v>401.61823018046482</v>
      </c>
      <c r="AP68" s="16">
        <f>IF(ISNA(VLOOKUP(A68,'Données projet'!$A$61:$I$81,3,0)),0,VLOOKUP(A68,'Données projet'!$A$61:$I$81,3,0))</f>
        <v>11</v>
      </c>
      <c r="AQ68" s="16">
        <f>IF(ISNA(VLOOKUP(A68,'Données projet'!$A$61:$I$81,4,0)),0,VLOOKUP(A68,'Données projet'!$A$61:$I$81,4,0))</f>
        <v>23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9.6935959892895873</v>
      </c>
      <c r="AW68" s="23">
        <f>EXP(-LN(2)/2)*AW67+(1-EXP(-LN(2)/2))/(LN(2)/2)*AQ68*AT68*VLOOKUP('Données projet'!$B$10,Paramètres!$A$1:$I$89,3,0)*0.475*44/12</f>
        <v>9.8544095869778625E-5</v>
      </c>
      <c r="AX68" s="23">
        <f t="shared" ref="AX68:AX131" si="60">SUM(AU68:AW68)</f>
        <v>9.6936945333854574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64.309002638913597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289</v>
      </c>
      <c r="BB68" s="13">
        <f>VLOOKUP(A68,'Données projet'!$A$87:$I$107,9,0)</f>
        <v>8.8000000000000007</v>
      </c>
      <c r="BC68" s="13">
        <f t="array" ref="BC68">INDEX(BB:BB,MIN(IF(ISNUMBER(BB68:BB264),ROW(BB68:BB264),"")))</f>
        <v>8.8000000000000007</v>
      </c>
      <c r="BD68" s="13">
        <f>IF('Données projet'!$A$88&gt;35,BD67+BC68-BL67,IF(A68&lt;'Données projet'!$A$88,$BA$205^A68,IF(A68='Données projet'!$A$88,'Données projet'!$B$88,BD67+BC68-BL67)))</f>
        <v>289</v>
      </c>
      <c r="BE68" s="14">
        <f>BD68*VLOOKUP('Données projet'!$B$11,Paramètres!$A$1:$I$89,3,0)*VLOOKUP('Données projet'!$B$11,Paramètres!$A$1:$I$89,5,0)</f>
        <v>261.48719999999997</v>
      </c>
      <c r="BF68" s="14">
        <f t="shared" si="37"/>
        <v>63.039283586802391</v>
      </c>
      <c r="BG68" s="22">
        <f t="shared" ref="BG68:BG131" si="61">(BE68+BF68)*0.475*44/12</f>
        <v>565.21695891368086</v>
      </c>
      <c r="BH68" s="62">
        <f t="shared" ref="BH68:BH131" si="62">BG68+(AY68+AZ68)*44/12</f>
        <v>837.68330192303074</v>
      </c>
      <c r="BI68" s="62">
        <f ca="1">AVERAGE(OFFSET($BH$3,0,0,'Données projet'!$E$11+1,1))-AVERAGE(OFFSET($H$3,0,0,'Données projet'!$E$11+1,1))</f>
        <v>462.677457131175</v>
      </c>
      <c r="BJ68" s="62">
        <f t="shared" si="38"/>
        <v>291.78368401945909</v>
      </c>
      <c r="BK68" s="16">
        <f>IF(ISNA(VLOOKUP(A68,'Données projet'!$A$87:$I$107,3,0)),0,VLOOKUP(A68,'Données projet'!$A$87:$I$107,3,0))</f>
        <v>10</v>
      </c>
      <c r="BL68" s="16">
        <f>IF(ISNA(VLOOKUP(A68,'Données projet'!$A$87:$I$107,4,0)),0,VLOOKUP(A68,'Données projet'!$A$87:$I$107,4,0))</f>
        <v>28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3.4597900380608317</v>
      </c>
      <c r="BR68" s="23">
        <f>EXP(-LN(2)/2)*BR67+(1-EXP(-LN(2)/2))/(LN(2)/2)*BL68*BO68*VLOOKUP('Données projet'!$B$11,Paramètres!$A$1:$I$89,3,0)*0.475*44/12</f>
        <v>8.0435201699294783E-5</v>
      </c>
      <c r="BS68" s="24">
        <f t="shared" ref="BS68:BS131" si="63">SUM(BP68:BR68)</f>
        <v>3.4598704732625309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64.309002638913597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-5.6843418860808015E-14</v>
      </c>
      <c r="BZ68" s="14">
        <f>BY68*VLOOKUP('Données projet'!$B$12,Paramètres!$A$1:$I$89,3,0)*VLOOKUP('Données projet'!$B$12,Paramètres!$A$1:$I$89,5,0)</f>
        <v>-3.1036506698001178E-14</v>
      </c>
      <c r="CA68" s="14" t="e">
        <f t="shared" si="39"/>
        <v>#NUM!</v>
      </c>
      <c r="CB68" s="22" t="e">
        <f t="shared" ref="CB68:CB131" si="64">(BZ68+CA68)*0.475*44/12</f>
        <v>#NUM!</v>
      </c>
      <c r="CC68" s="62" t="e">
        <f t="shared" ref="CC68:CC131" si="65">CB68+(BT68+BU68)*44/12</f>
        <v>#NUM!</v>
      </c>
      <c r="CD68" s="62">
        <f ca="1">AVERAGE(OFFSET($CC$3,0,0,'Données projet'!$E$12+1,1))-AVERAGE(OFFSET($H$3,0,0,'Données projet'!$E$12+1,1))</f>
        <v>302.37244372118971</v>
      </c>
      <c r="CE68" s="62">
        <f t="shared" si="40"/>
        <v>439.56450354660171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3.7686859575392351</v>
      </c>
      <c r="CL68" s="23">
        <f>EXP(-LN(2)/25)*CL67+(1-EXP(-LN(2)/25))/(LN(2)/25)*Calculateur!CG68*Calculateur!CI68*VLOOKUP('Données projet'!$B$12,Paramètres!$A$1:$I$89,3,0)*0.475*44/12</f>
        <v>6.4050399192147953</v>
      </c>
      <c r="CM68" s="23">
        <f>EXP(-LN(2)/2)*CM67+(1-EXP(-LN(2)/2))/(LN(2)/2)*CG68*CJ68*VLOOKUP('Données projet'!$B$12,Paramètres!$A$1:$I$89,3,0)*0.475*44/12</f>
        <v>8.6592331572415331E-5</v>
      </c>
      <c r="CN68" s="24">
        <f t="shared" ref="CN68:CN131" si="66">SUM(CK68:CM68)</f>
        <v>10.173812469085602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64.309002638913597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224</v>
      </c>
      <c r="CR68" s="13">
        <f>VLOOKUP(A68,'Données projet'!$A$139:$I$159,9,0)</f>
        <v>5.2</v>
      </c>
      <c r="CS68" s="13">
        <f t="array" ref="CS68">INDEX(CR:CR,MIN(IF(ISNUMBER(CR68:CR264),ROW(CR68:CR264),"")))</f>
        <v>5.2</v>
      </c>
      <c r="CT68" s="13">
        <f>IF('Données projet'!$A$140&gt;35,CT67+CS68-DB67,IF(A68&lt;'Données projet'!$A$140,$CQ$205^A68,IF(A68='Données projet'!$A$140,'Données projet'!$B$140,CT67+CS68-DB67)))</f>
        <v>223.99999999999997</v>
      </c>
      <c r="CU68" s="18">
        <f>CT68*VLOOKUP('Données projet'!$B$13,Paramètres!$A$1:$I$89,3,0)*VLOOKUP('Données projet'!$B$13,Paramètres!$A$1:$I$89,5,0)</f>
        <v>164.23679999999999</v>
      </c>
      <c r="CV68" s="14">
        <f t="shared" si="41"/>
        <v>41.796679041964317</v>
      </c>
      <c r="CW68" s="22">
        <f t="shared" ref="CW68:CW131" si="67">(CU68+CV68)*0.475*44/12</f>
        <v>358.84164266475454</v>
      </c>
      <c r="CX68" s="62">
        <f t="shared" ref="CX68:CX131" si="68">CW68+(CO68+CP68)*44/12</f>
        <v>631.30798567410443</v>
      </c>
      <c r="CY68" s="62">
        <f ca="1">AVERAGE(OFFSET($CX$3,0,0,'Données projet'!$E$13+1,1))-AVERAGE(OFFSET($H$3,0,0,'Données projet'!$E$13+1,1))</f>
        <v>300.12722359176314</v>
      </c>
      <c r="CZ68" s="62">
        <f t="shared" si="42"/>
        <v>313.35115626175946</v>
      </c>
      <c r="DA68" s="16">
        <f>IF(ISNA(VLOOKUP(A68,'Données projet'!$A$139:$I$159,3,0)),0,VLOOKUP(A68,'Données projet'!$A$139:$I$159,3,0))</f>
        <v>10</v>
      </c>
      <c r="DB68" s="16">
        <f>IF(ISNA(VLOOKUP(A68,'Données projet'!$A$139:$I$159,4,0)),0,VLOOKUP(A68,'Données projet'!$A$139:$I$159,4,0))</f>
        <v>20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4.5522263760414932</v>
      </c>
      <c r="DH68" s="23">
        <f>EXP(-LN(2)/2)*DH67+(1-EXP(-LN(2)/2))/(LN(2)/2)*DB68*DE68*VLOOKUP('Données projet'!$B$13,Paramètres!$A$1:$I$89,3,0)*0.475*44/12</f>
        <v>8.1248922993099341E-5</v>
      </c>
      <c r="DI68" s="24">
        <f t="shared" ref="DI68:DI131" si="69">SUM(DF68:DH68)</f>
        <v>4.5523076249644863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64.309002638913597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64.309002638913597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64.309002638913597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64.309002638913597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64.309002638913597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3.55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13.016666666666666</v>
      </c>
      <c r="H69" s="70">
        <f t="shared" si="56"/>
        <v>204.6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64.40772871996441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-2.2737367544323206E-13</v>
      </c>
      <c r="O69" s="14">
        <f>N69*VLOOKUP('Données projet'!$B$9,Paramètres!$A$1:$I$89,3,0)*VLOOKUP('Données projet'!$B$9,Paramètres!$A$1:$I$89,5,0)</f>
        <v>-1.2710188457276673E-13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455.44531340185631</v>
      </c>
      <c r="T69" s="62">
        <f t="shared" ref="T69:T132" si="88">$T$3</f>
        <v>560.14861617544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5.2962544515226178</v>
      </c>
      <c r="AA69" s="23">
        <f>EXP(-LN(2)/25)*AA68+(1-EXP(-LN(2)/25))/(LN(2)/25)*Calculateur!V69*Calculateur!X69*VLOOKUP('Données projet'!$B$9,Paramètres!$A$1:$I$89,3,0)*0.475*44/12</f>
        <v>5.2411023303419713</v>
      </c>
      <c r="AB69" s="23">
        <f>EXP(-LN(2)/2)*AB68+(1-EXP(-LN(2)/2))/(LN(2)/2)*V69*Y69*VLOOKUP('Données projet'!$B$9,Paramètres!$A$1:$I$89,3,0)*0.475*44/12</f>
        <v>5.0636931077241227E-5</v>
      </c>
      <c r="AC69" s="24">
        <f t="shared" si="57"/>
        <v>10.537407418795665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64.40772871996441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5.2</v>
      </c>
      <c r="AI69" s="14">
        <f>IF('Données projet'!$A$62&gt;35,AI68+AH69-AQ68,IF(A69&lt;'Données projet'!$A$62,$AF$205^A69,IF(A69='Données projet'!$A$62,'Données projet'!$B$62,AI68+AH69-AQ68)))</f>
        <v>228.20000000000024</v>
      </c>
      <c r="AJ69" s="14">
        <f>AI69*VLOOKUP('Données projet'!$B$10,Paramètres!$A$1:$I$89,3,0)*VLOOKUP('Données projet'!$B$10,Paramètres!$A$1:$I$89,5,0)</f>
        <v>199.35552000000024</v>
      </c>
      <c r="AK69" s="14">
        <f t="shared" ref="AK69:AK132" si="89">EXP(-1.0587+0.8836*LN(AJ69)+0.284)</f>
        <v>49.602503932783272</v>
      </c>
      <c r="AL69" s="22">
        <f t="shared" si="58"/>
        <v>433.60189168293124</v>
      </c>
      <c r="AM69" s="62">
        <f t="shared" si="59"/>
        <v>706.43023032280075</v>
      </c>
      <c r="AN69" s="62">
        <f ca="1">AVERAGE(OFFSET($AM$3,0,0,'Données projet'!$E$10+1,1))-AVERAGE(OFFSET($H$3,0,0,'Données projet'!$E$10+1,1))</f>
        <v>335.71510570470264</v>
      </c>
      <c r="AO69" s="62">
        <f t="shared" ref="AO69:AO132" si="90">$AO$3</f>
        <v>401.61823018046482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9.4285240971984052</v>
      </c>
      <c r="AW69" s="23">
        <f>EXP(-LN(2)/2)*AW68+(1-EXP(-LN(2)/2))/(LN(2)/2)*AQ69*AT69*VLOOKUP('Données projet'!$B$10,Paramètres!$A$1:$I$89,3,0)*0.475*44/12</f>
        <v>6.9681198435417714E-5</v>
      </c>
      <c r="AX69" s="23">
        <f t="shared" si="60"/>
        <v>9.4285937783968414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64.40772871996441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8.1999999999999993</v>
      </c>
      <c r="BD69" s="13">
        <f>IF('Données projet'!$A$88&gt;35,BD68+BC69-BL68,IF(A69&lt;'Données projet'!$A$88,$BA$205^A69,IF(A69='Données projet'!$A$88,'Données projet'!$B$88,BD68+BC69-BL68)))</f>
        <v>269.2</v>
      </c>
      <c r="BE69" s="14">
        <f>BD69*VLOOKUP('Données projet'!$B$11,Paramètres!$A$1:$I$89,3,0)*VLOOKUP('Données projet'!$B$11,Paramètres!$A$1:$I$89,5,0)</f>
        <v>243.57216</v>
      </c>
      <c r="BF69" s="14">
        <f t="shared" ref="BF69:BF132" si="91">EXP(-1.0587+0.8836*LN(BE69)+0.284)</f>
        <v>59.207435995642292</v>
      </c>
      <c r="BG69" s="22">
        <f t="shared" si="61"/>
        <v>527.34112969241028</v>
      </c>
      <c r="BH69" s="62">
        <f t="shared" si="62"/>
        <v>800.16946833227985</v>
      </c>
      <c r="BI69" s="62">
        <f ca="1">AVERAGE(OFFSET($BH$3,0,0,'Données projet'!$E$11+1,1))-AVERAGE(OFFSET($H$3,0,0,'Données projet'!$E$11+1,1))</f>
        <v>462.677457131175</v>
      </c>
      <c r="BJ69" s="62">
        <f t="shared" ref="BJ69:BJ132" si="92">$BJ$3</f>
        <v>291.78368401945909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3.3651818975276075</v>
      </c>
      <c r="BR69" s="23">
        <f>EXP(-LN(2)/2)*BR68+(1-EXP(-LN(2)/2))/(LN(2)/2)*BL69*BO69*VLOOKUP('Données projet'!$B$11,Paramètres!$A$1:$I$89,3,0)*0.475*44/12</f>
        <v>5.6876276567679053E-5</v>
      </c>
      <c r="BS69" s="24">
        <f t="shared" si="63"/>
        <v>3.3652387738041751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64.40772871996441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-5.6843418860808015E-14</v>
      </c>
      <c r="BZ69" s="14">
        <f>BY69*VLOOKUP('Données projet'!$B$12,Paramètres!$A$1:$I$89,3,0)*VLOOKUP('Données projet'!$B$12,Paramètres!$A$1:$I$89,5,0)</f>
        <v>-3.1036506698001178E-14</v>
      </c>
      <c r="CA69" s="14" t="e">
        <f t="shared" ref="CA69:CA132" si="93">EXP(-1.0587+0.8836*LN(BZ69)+0.284)</f>
        <v>#NUM!</v>
      </c>
      <c r="CB69" s="22" t="e">
        <f t="shared" si="64"/>
        <v>#NUM!</v>
      </c>
      <c r="CC69" s="62" t="e">
        <f t="shared" si="65"/>
        <v>#NUM!</v>
      </c>
      <c r="CD69" s="62">
        <f ca="1">AVERAGE(OFFSET($CC$3,0,0,'Données projet'!$E$12+1,1))-AVERAGE(OFFSET($H$3,0,0,'Données projet'!$E$12+1,1))</f>
        <v>302.37244372118971</v>
      </c>
      <c r="CE69" s="62">
        <f t="shared" ref="CE69:CE132" si="94">$CE$3</f>
        <v>439.56450354660171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3.6947843245833498</v>
      </c>
      <c r="CL69" s="23">
        <f>EXP(-LN(2)/25)*CL68+(1-EXP(-LN(2)/25))/(LN(2)/25)*Calculateur!CG69*Calculateur!CI69*VLOOKUP('Données projet'!$B$12,Paramètres!$A$1:$I$89,3,0)*0.475*44/12</f>
        <v>6.2298937657974562</v>
      </c>
      <c r="CM69" s="23">
        <f>EXP(-LN(2)/2)*CM68+(1-EXP(-LN(2)/2))/(LN(2)/2)*CG69*CJ69*VLOOKUP('Données projet'!$B$12,Paramètres!$A$1:$I$89,3,0)*0.475*44/12</f>
        <v>6.1230024853608858E-5</v>
      </c>
      <c r="CN69" s="24">
        <f t="shared" si="66"/>
        <v>9.9247393204056582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64.40772871996441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4.5999999999999996</v>
      </c>
      <c r="CT69" s="13">
        <f>IF('Données projet'!$A$140&gt;35,CT68+CS69-DB68,IF(A69&lt;'Données projet'!$A$140,$CQ$205^A69,IF(A69='Données projet'!$A$140,'Données projet'!$B$140,CT68+CS69-DB68)))</f>
        <v>208.59999999999997</v>
      </c>
      <c r="CU69" s="18">
        <f>CT69*VLOOKUP('Données projet'!$B$13,Paramètres!$A$1:$I$89,3,0)*VLOOKUP('Données projet'!$B$13,Paramètres!$A$1:$I$89,5,0)</f>
        <v>152.94551999999996</v>
      </c>
      <c r="CV69" s="14">
        <f t="shared" ref="CV69:CV132" si="95">EXP(-1.0587+0.8836*LN(CU69)+0.284)</f>
        <v>39.247206134585156</v>
      </c>
      <c r="CW69" s="22">
        <f t="shared" si="67"/>
        <v>334.73566468440237</v>
      </c>
      <c r="CX69" s="62">
        <f t="shared" si="68"/>
        <v>607.56400332427188</v>
      </c>
      <c r="CY69" s="62">
        <f ca="1">AVERAGE(OFFSET($CX$3,0,0,'Données projet'!$E$13+1,1))-AVERAGE(OFFSET($H$3,0,0,'Données projet'!$E$13+1,1))</f>
        <v>300.12722359176314</v>
      </c>
      <c r="CZ69" s="62">
        <f t="shared" ref="CZ69:CZ132" si="96">$CZ$3</f>
        <v>313.35115626175946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4.427745506397458</v>
      </c>
      <c r="DH69" s="23">
        <f>EXP(-LN(2)/2)*DH68+(1-EXP(-LN(2)/2))/(LN(2)/2)*DB69*DE69*VLOOKUP('Données projet'!$B$13,Paramètres!$A$1:$I$89,3,0)*0.475*44/12</f>
        <v>5.7451664412524147E-5</v>
      </c>
      <c r="DI69" s="24">
        <f t="shared" si="69"/>
        <v>4.4278029580618705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64.40772871996441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64.40772871996441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64.40772871996441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64.40772871996441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64.40772871996441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3.55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13.016666666666666</v>
      </c>
      <c r="H70" s="70">
        <f t="shared" si="56"/>
        <v>204.6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64.504742124227448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-2.2737367544323206E-13</v>
      </c>
      <c r="O70" s="14">
        <f>N70*VLOOKUP('Données projet'!$B$9,Paramètres!$A$1:$I$89,3,0)*VLOOKUP('Données projet'!$B$9,Paramètres!$A$1:$I$89,5,0)</f>
        <v>-1.2710188457276673E-13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455.44531340185631</v>
      </c>
      <c r="T70" s="62">
        <f t="shared" si="88"/>
        <v>560.14861617544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5.1923981321244996</v>
      </c>
      <c r="AA70" s="23">
        <f>EXP(-LN(2)/25)*AA69+(1-EXP(-LN(2)/25))/(LN(2)/25)*Calculateur!V70*Calculateur!X70*VLOOKUP('Données projet'!$B$9,Paramètres!$A$1:$I$89,3,0)*0.475*44/12</f>
        <v>5.0977841115011771</v>
      </c>
      <c r="AB70" s="23">
        <f>EXP(-LN(2)/2)*AB69+(1-EXP(-LN(2)/2))/(LN(2)/2)*V70*Y70*VLOOKUP('Données projet'!$B$9,Paramètres!$A$1:$I$89,3,0)*0.475*44/12</f>
        <v>3.58057173431931E-5</v>
      </c>
      <c r="AC70" s="24">
        <f t="shared" si="57"/>
        <v>10.29021804934302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64.504742124227448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5.2</v>
      </c>
      <c r="AI70" s="14">
        <f>IF('Données projet'!$A$62&gt;35,AI69+AH70-AQ69,IF(A70&lt;'Données projet'!$A$62,$AF$205^A70,IF(A70='Données projet'!$A$62,'Données projet'!$B$62,AI69+AH70-AQ69)))</f>
        <v>233.40000000000023</v>
      </c>
      <c r="AJ70" s="14">
        <f>AI70*VLOOKUP('Données projet'!$B$10,Paramètres!$A$1:$I$89,3,0)*VLOOKUP('Données projet'!$B$10,Paramètres!$A$1:$I$89,5,0)</f>
        <v>203.89824000000024</v>
      </c>
      <c r="AK70" s="14">
        <f t="shared" si="89"/>
        <v>50.599918019430255</v>
      </c>
      <c r="AL70" s="22">
        <f t="shared" si="58"/>
        <v>443.25095855050807</v>
      </c>
      <c r="AM70" s="62">
        <f t="shared" si="59"/>
        <v>716.43501300600872</v>
      </c>
      <c r="AN70" s="62">
        <f ca="1">AVERAGE(OFFSET($AM$3,0,0,'Données projet'!$E$10+1,1))-AVERAGE(OFFSET($H$3,0,0,'Données projet'!$E$10+1,1))</f>
        <v>335.71510570470264</v>
      </c>
      <c r="AO70" s="62">
        <f t="shared" si="90"/>
        <v>401.61823018046482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9.1707006099359809</v>
      </c>
      <c r="AW70" s="23">
        <f>EXP(-LN(2)/2)*AW69+(1-EXP(-LN(2)/2))/(LN(2)/2)*AQ70*AT70*VLOOKUP('Données projet'!$B$10,Paramètres!$A$1:$I$89,3,0)*0.475*44/12</f>
        <v>4.9272047934889312E-5</v>
      </c>
      <c r="AX70" s="23">
        <f t="shared" si="60"/>
        <v>9.1707498819839159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64.504742124227448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8.1999999999999993</v>
      </c>
      <c r="BD70" s="13">
        <f>IF('Données projet'!$A$88&gt;35,BD69+BC70-BL69,IF(A70&lt;'Données projet'!$A$88,$BA$205^A70,IF(A70='Données projet'!$A$88,'Données projet'!$B$88,BD69+BC70-BL69)))</f>
        <v>277.39999999999998</v>
      </c>
      <c r="BE70" s="14">
        <f>BD70*VLOOKUP('Données projet'!$B$11,Paramètres!$A$1:$I$89,3,0)*VLOOKUP('Données projet'!$B$11,Paramètres!$A$1:$I$89,5,0)</f>
        <v>250.99151999999995</v>
      </c>
      <c r="BF70" s="14">
        <f t="shared" si="91"/>
        <v>60.798211000769406</v>
      </c>
      <c r="BG70" s="22">
        <f t="shared" si="61"/>
        <v>543.03378149300659</v>
      </c>
      <c r="BH70" s="62">
        <f t="shared" si="62"/>
        <v>816.21783594850717</v>
      </c>
      <c r="BI70" s="62">
        <f ca="1">AVERAGE(OFFSET($BH$3,0,0,'Données projet'!$E$11+1,1))-AVERAGE(OFFSET($H$3,0,0,'Données projet'!$E$11+1,1))</f>
        <v>462.677457131175</v>
      </c>
      <c r="BJ70" s="62">
        <f t="shared" si="92"/>
        <v>291.78368401945909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3.2731608215724903</v>
      </c>
      <c r="BR70" s="23">
        <f>EXP(-LN(2)/2)*BR69+(1-EXP(-LN(2)/2))/(LN(2)/2)*BL70*BO70*VLOOKUP('Données projet'!$B$11,Paramètres!$A$1:$I$89,3,0)*0.475*44/12</f>
        <v>4.0217600849647392E-5</v>
      </c>
      <c r="BS70" s="24">
        <f t="shared" si="63"/>
        <v>3.2732010391733399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64.504742124227448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-5.6843418860808015E-14</v>
      </c>
      <c r="BZ70" s="14">
        <f>BY70*VLOOKUP('Données projet'!$B$12,Paramètres!$A$1:$I$89,3,0)*VLOOKUP('Données projet'!$B$12,Paramètres!$A$1:$I$89,5,0)</f>
        <v>-3.1036506698001178E-14</v>
      </c>
      <c r="CA70" s="14" t="e">
        <f t="shared" si="93"/>
        <v>#NUM!</v>
      </c>
      <c r="CB70" s="22" t="e">
        <f t="shared" si="64"/>
        <v>#NUM!</v>
      </c>
      <c r="CC70" s="62" t="e">
        <f t="shared" si="65"/>
        <v>#NUM!</v>
      </c>
      <c r="CD70" s="62">
        <f ca="1">AVERAGE(OFFSET($CC$3,0,0,'Données projet'!$E$12+1,1))-AVERAGE(OFFSET($H$3,0,0,'Données projet'!$E$12+1,1))</f>
        <v>302.37244372118971</v>
      </c>
      <c r="CE70" s="62">
        <f t="shared" si="94"/>
        <v>439.56450354660171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3.6223318575741841</v>
      </c>
      <c r="CL70" s="23">
        <f>EXP(-LN(2)/25)*CL69+(1-EXP(-LN(2)/25))/(LN(2)/25)*Calculateur!CG70*Calculateur!CI70*VLOOKUP('Données projet'!$B$12,Paramètres!$A$1:$I$89,3,0)*0.475*44/12</f>
        <v>6.0595369931558505</v>
      </c>
      <c r="CM70" s="23">
        <f>EXP(-LN(2)/2)*CM69+(1-EXP(-LN(2)/2))/(LN(2)/2)*CG70*CJ70*VLOOKUP('Données projet'!$B$12,Paramètres!$A$1:$I$89,3,0)*0.475*44/12</f>
        <v>4.3296165786207665E-5</v>
      </c>
      <c r="CN70" s="24">
        <f t="shared" si="66"/>
        <v>9.6819121468958205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64.504742124227448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4.5999999999999996</v>
      </c>
      <c r="CT70" s="13">
        <f>IF('Données projet'!$A$140&gt;35,CT69+CS70-DB69,IF(A70&lt;'Données projet'!$A$140,$CQ$205^A70,IF(A70='Données projet'!$A$140,'Données projet'!$B$140,CT69+CS70-DB69)))</f>
        <v>213.19999999999996</v>
      </c>
      <c r="CU70" s="18">
        <f>CT70*VLOOKUP('Données projet'!$B$13,Paramètres!$A$1:$I$89,3,0)*VLOOKUP('Données projet'!$B$13,Paramètres!$A$1:$I$89,5,0)</f>
        <v>156.31823999999997</v>
      </c>
      <c r="CV70" s="14">
        <f t="shared" si="95"/>
        <v>40.010962373637788</v>
      </c>
      <c r="CW70" s="22">
        <f t="shared" si="67"/>
        <v>341.94002746741904</v>
      </c>
      <c r="CX70" s="62">
        <f t="shared" si="68"/>
        <v>615.12408192291969</v>
      </c>
      <c r="CY70" s="62">
        <f ca="1">AVERAGE(OFFSET($CX$3,0,0,'Données projet'!$E$13+1,1))-AVERAGE(OFFSET($H$3,0,0,'Données projet'!$E$13+1,1))</f>
        <v>300.12722359176314</v>
      </c>
      <c r="CZ70" s="62">
        <f t="shared" si="96"/>
        <v>313.35115626175946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4.3066685726800031</v>
      </c>
      <c r="DH70" s="23">
        <f>EXP(-LN(2)/2)*DH69+(1-EXP(-LN(2)/2))/(LN(2)/2)*DB70*DE70*VLOOKUP('Données projet'!$B$13,Paramètres!$A$1:$I$89,3,0)*0.475*44/12</f>
        <v>4.0624461496549671E-5</v>
      </c>
      <c r="DI70" s="24">
        <f t="shared" si="69"/>
        <v>4.3067091971414992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64.504742124227448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64.504742124227448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64.504742124227448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64.504742124227448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64.504742124227448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3.55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13.016666666666666</v>
      </c>
      <c r="H71" s="70">
        <f t="shared" si="56"/>
        <v>204.6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64.600072562815996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-2.2737367544323206E-13</v>
      </c>
      <c r="O71" s="14">
        <f>N71*VLOOKUP('Données projet'!$B$9,Paramètres!$A$1:$I$89,3,0)*VLOOKUP('Données projet'!$B$9,Paramètres!$A$1:$I$89,5,0)</f>
        <v>-1.2710188457276673E-13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455.44531340185631</v>
      </c>
      <c r="T71" s="62">
        <f t="shared" si="88"/>
        <v>560.14861617544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5.0905783718036783</v>
      </c>
      <c r="AA71" s="23">
        <f>EXP(-LN(2)/25)*AA70+(1-EXP(-LN(2)/25))/(LN(2)/25)*Calculateur!V71*Calculateur!X71*VLOOKUP('Données projet'!$B$9,Paramètres!$A$1:$I$89,3,0)*0.475*44/12</f>
        <v>4.9583849368913624</v>
      </c>
      <c r="AB71" s="23">
        <f>EXP(-LN(2)/2)*AB70+(1-EXP(-LN(2)/2))/(LN(2)/2)*V71*Y71*VLOOKUP('Données projet'!$B$9,Paramètres!$A$1:$I$89,3,0)*0.475*44/12</f>
        <v>2.5318465538620613E-5</v>
      </c>
      <c r="AC71" s="24">
        <f t="shared" si="57"/>
        <v>10.048988627160579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64.600072562815996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5.2</v>
      </c>
      <c r="AI71" s="14">
        <f>IF('Données projet'!$A$62&gt;35,AI70+AH71-AQ70,IF(A71&lt;'Données projet'!$A$62,$AF$205^A71,IF(A71='Données projet'!$A$62,'Données projet'!$B$62,AI70+AH71-AQ70)))</f>
        <v>238.60000000000022</v>
      </c>
      <c r="AJ71" s="14">
        <f>AI71*VLOOKUP('Données projet'!$B$10,Paramètres!$A$1:$I$89,3,0)*VLOOKUP('Données projet'!$B$10,Paramètres!$A$1:$I$89,5,0)</f>
        <v>208.44096000000022</v>
      </c>
      <c r="AK71" s="14">
        <f t="shared" si="89"/>
        <v>51.594748621124261</v>
      </c>
      <c r="AL71" s="22">
        <f t="shared" si="58"/>
        <v>452.89552584845842</v>
      </c>
      <c r="AM71" s="62">
        <f t="shared" si="59"/>
        <v>726.42912524545045</v>
      </c>
      <c r="AN71" s="62">
        <f ca="1">AVERAGE(OFFSET($AM$3,0,0,'Données projet'!$E$10+1,1))-AVERAGE(OFFSET($H$3,0,0,'Données projet'!$E$10+1,1))</f>
        <v>335.71510570470264</v>
      </c>
      <c r="AO71" s="62">
        <f t="shared" si="90"/>
        <v>401.61823018046482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8.9199273194910962</v>
      </c>
      <c r="AW71" s="23">
        <f>EXP(-LN(2)/2)*AW70+(1-EXP(-LN(2)/2))/(LN(2)/2)*AQ71*AT71*VLOOKUP('Données projet'!$B$10,Paramètres!$A$1:$I$89,3,0)*0.475*44/12</f>
        <v>3.4840599217708857E-5</v>
      </c>
      <c r="AX71" s="23">
        <f t="shared" si="60"/>
        <v>8.9199621600903143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64.600072562815996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8.1999999999999993</v>
      </c>
      <c r="BD71" s="13">
        <f>IF('Données projet'!$A$88&gt;35,BD70+BC71-BL70,IF(A71&lt;'Données projet'!$A$88,$BA$205^A71,IF(A71='Données projet'!$A$88,'Données projet'!$B$88,BD70+BC71-BL70)))</f>
        <v>285.59999999999997</v>
      </c>
      <c r="BE71" s="14">
        <f>BD71*VLOOKUP('Données projet'!$B$11,Paramètres!$A$1:$I$89,3,0)*VLOOKUP('Données projet'!$B$11,Paramètres!$A$1:$I$89,5,0)</f>
        <v>258.41087999999996</v>
      </c>
      <c r="BF71" s="14">
        <f t="shared" si="91"/>
        <v>62.383521020316756</v>
      </c>
      <c r="BG71" s="22">
        <f t="shared" si="61"/>
        <v>558.71691511038489</v>
      </c>
      <c r="BH71" s="62">
        <f t="shared" si="62"/>
        <v>832.25051450737692</v>
      </c>
      <c r="BI71" s="62">
        <f ca="1">AVERAGE(OFFSET($BH$3,0,0,'Données projet'!$E$11+1,1))-AVERAGE(OFFSET($H$3,0,0,'Données projet'!$E$11+1,1))</f>
        <v>462.677457131175</v>
      </c>
      <c r="BJ71" s="62">
        <f t="shared" si="92"/>
        <v>291.78368401945909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3.1836560667785441</v>
      </c>
      <c r="BR71" s="23">
        <f>EXP(-LN(2)/2)*BR70+(1-EXP(-LN(2)/2))/(LN(2)/2)*BL71*BO71*VLOOKUP('Données projet'!$B$11,Paramètres!$A$1:$I$89,3,0)*0.475*44/12</f>
        <v>2.8438138283839526E-5</v>
      </c>
      <c r="BS71" s="24">
        <f t="shared" si="63"/>
        <v>3.1836845049168279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64.600072562815996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-5.6843418860808015E-14</v>
      </c>
      <c r="BZ71" s="14">
        <f>BY71*VLOOKUP('Données projet'!$B$12,Paramètres!$A$1:$I$89,3,0)*VLOOKUP('Données projet'!$B$12,Paramètres!$A$1:$I$89,5,0)</f>
        <v>-3.1036506698001178E-14</v>
      </c>
      <c r="CA71" s="14" t="e">
        <f t="shared" si="93"/>
        <v>#NUM!</v>
      </c>
      <c r="CB71" s="22" t="e">
        <f t="shared" si="64"/>
        <v>#NUM!</v>
      </c>
      <c r="CC71" s="62" t="e">
        <f t="shared" si="65"/>
        <v>#NUM!</v>
      </c>
      <c r="CD71" s="62">
        <f ca="1">AVERAGE(OFFSET($CC$3,0,0,'Données projet'!$E$12+1,1))-AVERAGE(OFFSET($H$3,0,0,'Données projet'!$E$12+1,1))</f>
        <v>302.37244372118971</v>
      </c>
      <c r="CE71" s="62">
        <f t="shared" si="94"/>
        <v>439.56450354660171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3.5513001392514267</v>
      </c>
      <c r="CL71" s="23">
        <f>EXP(-LN(2)/25)*CL70+(1-EXP(-LN(2)/25))/(LN(2)/25)*Calculateur!CG71*Calculateur!CI71*VLOOKUP('Données projet'!$B$12,Paramètres!$A$1:$I$89,3,0)*0.475*44/12</f>
        <v>5.8938386354208028</v>
      </c>
      <c r="CM71" s="23">
        <f>EXP(-LN(2)/2)*CM70+(1-EXP(-LN(2)/2))/(LN(2)/2)*CG71*CJ71*VLOOKUP('Données projet'!$B$12,Paramètres!$A$1:$I$89,3,0)*0.475*44/12</f>
        <v>3.0615012426804429E-5</v>
      </c>
      <c r="CN71" s="24">
        <f t="shared" si="66"/>
        <v>9.4451693896846578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64.600072562815996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4.5999999999999996</v>
      </c>
      <c r="CT71" s="13">
        <f>IF('Données projet'!$A$140&gt;35,CT70+CS71-DB70,IF(A71&lt;'Données projet'!$A$140,$CQ$205^A71,IF(A71='Données projet'!$A$140,'Données projet'!$B$140,CT70+CS71-DB70)))</f>
        <v>217.79999999999995</v>
      </c>
      <c r="CU71" s="18">
        <f>CT71*VLOOKUP('Données projet'!$B$13,Paramètres!$A$1:$I$89,3,0)*VLOOKUP('Données projet'!$B$13,Paramètres!$A$1:$I$89,5,0)</f>
        <v>159.69095999999996</v>
      </c>
      <c r="CV71" s="14">
        <f t="shared" si="95"/>
        <v>40.77280273067371</v>
      </c>
      <c r="CW71" s="22">
        <f t="shared" si="67"/>
        <v>349.14105342258995</v>
      </c>
      <c r="CX71" s="62">
        <f t="shared" si="68"/>
        <v>622.67465281958198</v>
      </c>
      <c r="CY71" s="62">
        <f ca="1">AVERAGE(OFFSET($CX$3,0,0,'Données projet'!$E$13+1,1))-AVERAGE(OFFSET($H$3,0,0,'Données projet'!$E$13+1,1))</f>
        <v>300.12722359176314</v>
      </c>
      <c r="CZ71" s="62">
        <f t="shared" si="96"/>
        <v>313.35115626175946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4.1889024940822113</v>
      </c>
      <c r="DH71" s="23">
        <f>EXP(-LN(2)/2)*DH70+(1-EXP(-LN(2)/2))/(LN(2)/2)*DB71*DE71*VLOOKUP('Données projet'!$B$13,Paramètres!$A$1:$I$89,3,0)*0.475*44/12</f>
        <v>2.8725832206262073E-5</v>
      </c>
      <c r="DI71" s="24">
        <f t="shared" si="69"/>
        <v>4.1889312199144175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64.600072562815996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64.600072562815996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64.600072562815996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64.600072562815996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64.600072562815996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3.55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13.016666666666666</v>
      </c>
      <c r="H72" s="70">
        <f t="shared" si="56"/>
        <v>204.6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64.693749231421975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-2.2737367544323206E-13</v>
      </c>
      <c r="O72" s="14">
        <f>N72*VLOOKUP('Données projet'!$B$9,Paramètres!$A$1:$I$89,3,0)*VLOOKUP('Données projet'!$B$9,Paramètres!$A$1:$I$89,5,0)</f>
        <v>-1.2710188457276673E-13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455.44531340185631</v>
      </c>
      <c r="T72" s="62">
        <f t="shared" si="88"/>
        <v>560.14861617544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4.9907552348788267</v>
      </c>
      <c r="AA72" s="23">
        <f>EXP(-LN(2)/25)*AA71+(1-EXP(-LN(2)/25))/(LN(2)/25)*Calculateur!V72*Calculateur!X72*VLOOKUP('Données projet'!$B$9,Paramètres!$A$1:$I$89,3,0)*0.475*44/12</f>
        <v>4.8227976400419372</v>
      </c>
      <c r="AB72" s="23">
        <f>EXP(-LN(2)/2)*AB71+(1-EXP(-LN(2)/2))/(LN(2)/2)*V72*Y72*VLOOKUP('Données projet'!$B$9,Paramètres!$A$1:$I$89,3,0)*0.475*44/12</f>
        <v>1.790285867159655E-5</v>
      </c>
      <c r="AC72" s="24">
        <f t="shared" si="57"/>
        <v>9.8135707777794341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64.693749231421975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5.2</v>
      </c>
      <c r="AI72" s="14">
        <f>IF('Données projet'!$A$62&gt;35,AI71+AH72-AQ71,IF(A72&lt;'Données projet'!$A$62,$AF$205^A72,IF(A72='Données projet'!$A$62,'Données projet'!$B$62,AI71+AH72-AQ71)))</f>
        <v>243.80000000000021</v>
      </c>
      <c r="AJ72" s="14">
        <f>AI72*VLOOKUP('Données projet'!$B$10,Paramètres!$A$1:$I$89,3,0)*VLOOKUP('Données projet'!$B$10,Paramètres!$A$1:$I$89,5,0)</f>
        <v>212.98368000000022</v>
      </c>
      <c r="AK72" s="14">
        <f t="shared" si="89"/>
        <v>52.587058525970413</v>
      </c>
      <c r="AL72" s="22">
        <f t="shared" si="58"/>
        <v>462.53570293273214</v>
      </c>
      <c r="AM72" s="62">
        <f t="shared" si="59"/>
        <v>736.41278344794603</v>
      </c>
      <c r="AN72" s="62">
        <f ca="1">AVERAGE(OFFSET($AM$3,0,0,'Données projet'!$E$10+1,1))-AVERAGE(OFFSET($H$3,0,0,'Données projet'!$E$10+1,1))</f>
        <v>335.71510570470264</v>
      </c>
      <c r="AO72" s="62">
        <f t="shared" si="90"/>
        <v>401.61823018046482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8.6760114378610211</v>
      </c>
      <c r="AW72" s="23">
        <f>EXP(-LN(2)/2)*AW71+(1-EXP(-LN(2)/2))/(LN(2)/2)*AQ72*AT72*VLOOKUP('Données projet'!$B$10,Paramètres!$A$1:$I$89,3,0)*0.475*44/12</f>
        <v>2.4636023967444656E-5</v>
      </c>
      <c r="AX72" s="23">
        <f t="shared" si="60"/>
        <v>8.6760360738849887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64.693749231421975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8.1999999999999993</v>
      </c>
      <c r="BD72" s="13">
        <f>IF('Données projet'!$A$88&gt;35,BD71+BC72-BL71,IF(A72&lt;'Données projet'!$A$88,$BA$205^A72,IF(A72='Données projet'!$A$88,'Données projet'!$B$88,BD71+BC72-BL71)))</f>
        <v>293.79999999999995</v>
      </c>
      <c r="BE72" s="14">
        <f>BD72*VLOOKUP('Données projet'!$B$11,Paramètres!$A$1:$I$89,3,0)*VLOOKUP('Données projet'!$B$11,Paramètres!$A$1:$I$89,5,0)</f>
        <v>265.83023999999995</v>
      </c>
      <c r="BF72" s="14">
        <f t="shared" si="91"/>
        <v>63.963540982526439</v>
      </c>
      <c r="BG72" s="22">
        <f t="shared" si="61"/>
        <v>574.39083521123348</v>
      </c>
      <c r="BH72" s="62">
        <f t="shared" si="62"/>
        <v>848.26791572644743</v>
      </c>
      <c r="BI72" s="62">
        <f ca="1">AVERAGE(OFFSET($BH$3,0,0,'Données projet'!$E$11+1,1))-AVERAGE(OFFSET($H$3,0,0,'Données projet'!$E$11+1,1))</f>
        <v>462.677457131175</v>
      </c>
      <c r="BJ72" s="62">
        <f t="shared" si="92"/>
        <v>291.78368401945909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3.0965988242112887</v>
      </c>
      <c r="BR72" s="23">
        <f>EXP(-LN(2)/2)*BR71+(1-EXP(-LN(2)/2))/(LN(2)/2)*BL72*BO72*VLOOKUP('Données projet'!$B$11,Paramètres!$A$1:$I$89,3,0)*0.475*44/12</f>
        <v>2.0108800424823696E-5</v>
      </c>
      <c r="BS72" s="24">
        <f t="shared" si="63"/>
        <v>3.0966189330117135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64.693749231421975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-5.6843418860808015E-14</v>
      </c>
      <c r="BZ72" s="14">
        <f>BY72*VLOOKUP('Données projet'!$B$12,Paramètres!$A$1:$I$89,3,0)*VLOOKUP('Données projet'!$B$12,Paramètres!$A$1:$I$89,5,0)</f>
        <v>-3.1036506698001178E-14</v>
      </c>
      <c r="CA72" s="14" t="e">
        <f t="shared" si="93"/>
        <v>#NUM!</v>
      </c>
      <c r="CB72" s="22" t="e">
        <f t="shared" si="64"/>
        <v>#NUM!</v>
      </c>
      <c r="CC72" s="62" t="e">
        <f t="shared" si="65"/>
        <v>#NUM!</v>
      </c>
      <c r="CD72" s="62">
        <f ca="1">AVERAGE(OFFSET($CC$3,0,0,'Données projet'!$E$12+1,1))-AVERAGE(OFFSET($H$3,0,0,'Données projet'!$E$12+1,1))</f>
        <v>302.37244372118971</v>
      </c>
      <c r="CE72" s="62">
        <f t="shared" si="94"/>
        <v>439.56450354660171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3.4816613095999087</v>
      </c>
      <c r="CL72" s="23">
        <f>EXP(-LN(2)/25)*CL71+(1-EXP(-LN(2)/25))/(LN(2)/25)*Calculateur!CG72*Calculateur!CI72*VLOOKUP('Données projet'!$B$12,Paramètres!$A$1:$I$89,3,0)*0.475*44/12</f>
        <v>5.7326713079917173</v>
      </c>
      <c r="CM72" s="23">
        <f>EXP(-LN(2)/2)*CM71+(1-EXP(-LN(2)/2))/(LN(2)/2)*CG72*CJ72*VLOOKUP('Données projet'!$B$12,Paramètres!$A$1:$I$89,3,0)*0.475*44/12</f>
        <v>2.1648082893103833E-5</v>
      </c>
      <c r="CN72" s="24">
        <f t="shared" si="66"/>
        <v>9.214354265674519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64.693749231421975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4.5999999999999996</v>
      </c>
      <c r="CT72" s="13">
        <f>IF('Données projet'!$A$140&gt;35,CT71+CS72-DB71,IF(A72&lt;'Données projet'!$A$140,$CQ$205^A72,IF(A72='Données projet'!$A$140,'Données projet'!$B$140,CT71+CS72-DB71)))</f>
        <v>222.39999999999995</v>
      </c>
      <c r="CU72" s="18">
        <f>CT72*VLOOKUP('Données projet'!$B$13,Paramètres!$A$1:$I$89,3,0)*VLOOKUP('Données projet'!$B$13,Paramètres!$A$1:$I$89,5,0)</f>
        <v>163.06367999999995</v>
      </c>
      <c r="CV72" s="14">
        <f t="shared" si="95"/>
        <v>41.532772330984628</v>
      </c>
      <c r="CW72" s="22">
        <f t="shared" si="67"/>
        <v>356.3388211431315</v>
      </c>
      <c r="CX72" s="62">
        <f t="shared" si="68"/>
        <v>630.21590165834539</v>
      </c>
      <c r="CY72" s="62">
        <f ca="1">AVERAGE(OFFSET($CX$3,0,0,'Données projet'!$E$13+1,1))-AVERAGE(OFFSET($H$3,0,0,'Données projet'!$E$13+1,1))</f>
        <v>300.12722359176314</v>
      </c>
      <c r="CZ72" s="62">
        <f t="shared" si="96"/>
        <v>313.35115626175946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4.0743567350967247</v>
      </c>
      <c r="DH72" s="23">
        <f>EXP(-LN(2)/2)*DH71+(1-EXP(-LN(2)/2))/(LN(2)/2)*DB72*DE72*VLOOKUP('Données projet'!$B$13,Paramètres!$A$1:$I$89,3,0)*0.475*44/12</f>
        <v>2.0312230748274835E-5</v>
      </c>
      <c r="DI72" s="24">
        <f t="shared" si="69"/>
        <v>4.0743770473274727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64.693749231421975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64.693749231421975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64.693749231421975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64.693749231421975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64.693749231421975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3.55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13.016666666666666</v>
      </c>
      <c r="H73" s="70">
        <f t="shared" si="56"/>
        <v>204.6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64.78580081925729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-2.2737367544323206E-13</v>
      </c>
      <c r="O73" s="14">
        <f>N73*VLOOKUP('Données projet'!$B$9,Paramètres!$A$1:$I$89,3,0)*VLOOKUP('Données projet'!$B$9,Paramètres!$A$1:$I$89,5,0)</f>
        <v>-1.2710188457276673E-13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455.44531340185631</v>
      </c>
      <c r="T73" s="62">
        <f t="shared" si="88"/>
        <v>560.14861617544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4.8928895687829703</v>
      </c>
      <c r="AA73" s="23">
        <f>EXP(-LN(2)/25)*AA72+(1-EXP(-LN(2)/25))/(LN(2)/25)*Calculateur!V73*Calculateur!X73*VLOOKUP('Données projet'!$B$9,Paramètres!$A$1:$I$89,3,0)*0.475*44/12</f>
        <v>4.6909179849550853</v>
      </c>
      <c r="AB73" s="23">
        <f>EXP(-LN(2)/2)*AB72+(1-EXP(-LN(2)/2))/(LN(2)/2)*V73*Y73*VLOOKUP('Données projet'!$B$9,Paramètres!$A$1:$I$89,3,0)*0.475*44/12</f>
        <v>1.2659232769310307E-5</v>
      </c>
      <c r="AC73" s="24">
        <f t="shared" si="57"/>
        <v>9.5838202129708243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64.78580081925729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249</v>
      </c>
      <c r="AG73" s="13">
        <f>VLOOKUP(A73,'Données projet'!$A$61:$I$81,9,0)</f>
        <v>5.2</v>
      </c>
      <c r="AH73" s="13">
        <f t="array" ref="AH73">INDEX(AG:AG,MIN(IF(ISNUMBER(AG73:AG269),ROW(AG73:AG269),"")))</f>
        <v>5.2</v>
      </c>
      <c r="AI73" s="14">
        <f>IF('Données projet'!$A$62&gt;35,AI72+AH73-AQ72,IF(A73&lt;'Données projet'!$A$62,$AF$205^A73,IF(A73='Données projet'!$A$62,'Données projet'!$B$62,AI72+AH73-AQ72)))</f>
        <v>249.0000000000002</v>
      </c>
      <c r="AJ73" s="14">
        <f>AI73*VLOOKUP('Données projet'!$B$10,Paramètres!$A$1:$I$89,3,0)*VLOOKUP('Données projet'!$B$10,Paramètres!$A$1:$I$89,5,0)</f>
        <v>217.52640000000019</v>
      </c>
      <c r="AK73" s="14">
        <f t="shared" si="89"/>
        <v>53.576907690651304</v>
      </c>
      <c r="AL73" s="22">
        <f t="shared" si="58"/>
        <v>472.17159422788467</v>
      </c>
      <c r="AM73" s="62">
        <f t="shared" si="59"/>
        <v>746.38619723182808</v>
      </c>
      <c r="AN73" s="62">
        <f ca="1">AVERAGE(OFFSET($AM$3,0,0,'Données projet'!$E$10+1,1))-AVERAGE(OFFSET($H$3,0,0,'Données projet'!$E$10+1,1))</f>
        <v>335.71510570470264</v>
      </c>
      <c r="AO73" s="62">
        <f t="shared" si="90"/>
        <v>401.61823018046482</v>
      </c>
      <c r="AP73" s="16">
        <f>IF(ISNA(VLOOKUP(A73,'Données projet'!$A$61:$I$81,3,0)),0,VLOOKUP(A73,'Données projet'!$A$61:$I$81,3,0))</f>
        <v>12</v>
      </c>
      <c r="AQ73" s="16">
        <f>IF(ISNA(VLOOKUP(A73,'Données projet'!$A$61:$I$81,4,0)),0,VLOOKUP(A73,'Données projet'!$A$61:$I$81,4,0))</f>
        <v>249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8.4387654488410995</v>
      </c>
      <c r="AW73" s="23">
        <f>EXP(-LN(2)/2)*AW72+(1-EXP(-LN(2)/2))/(LN(2)/2)*AQ73*AT73*VLOOKUP('Données projet'!$B$10,Paramètres!$A$1:$I$89,3,0)*0.475*44/12</f>
        <v>1.7420299608854429E-5</v>
      </c>
      <c r="AX73" s="23">
        <f t="shared" si="60"/>
        <v>8.4387828691407076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64.78580081925729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302</v>
      </c>
      <c r="BB73" s="13">
        <f>VLOOKUP(A73,'Données projet'!$A$87:$I$107,9,0)</f>
        <v>8.1999999999999993</v>
      </c>
      <c r="BC73" s="13">
        <f t="array" ref="BC73">INDEX(BB:BB,MIN(IF(ISNUMBER(BB73:BB269),ROW(BB73:BB269),"")))</f>
        <v>8.1999999999999993</v>
      </c>
      <c r="BD73" s="13">
        <f>IF('Données projet'!$A$88&gt;35,BD72+BC73-BL72,IF(A73&lt;'Données projet'!$A$88,$BA$205^A73,IF(A73='Données projet'!$A$88,'Données projet'!$B$88,BD72+BC73-BL72)))</f>
        <v>301.99999999999994</v>
      </c>
      <c r="BE73" s="14">
        <f>BD73*VLOOKUP('Données projet'!$B$11,Paramètres!$A$1:$I$89,3,0)*VLOOKUP('Données projet'!$B$11,Paramètres!$A$1:$I$89,5,0)</f>
        <v>273.24959999999999</v>
      </c>
      <c r="BF73" s="14">
        <f t="shared" si="91"/>
        <v>65.538435495514321</v>
      </c>
      <c r="BG73" s="22">
        <f t="shared" si="61"/>
        <v>590.05582848802067</v>
      </c>
      <c r="BH73" s="62">
        <f t="shared" si="62"/>
        <v>864.27043149196402</v>
      </c>
      <c r="BI73" s="62">
        <f ca="1">AVERAGE(OFFSET($BH$3,0,0,'Données projet'!$E$11+1,1))-AVERAGE(OFFSET($H$3,0,0,'Données projet'!$E$11+1,1))</f>
        <v>462.677457131175</v>
      </c>
      <c r="BJ73" s="62">
        <f t="shared" si="92"/>
        <v>291.78368401945909</v>
      </c>
      <c r="BK73" s="16">
        <f>IF(ISNA(VLOOKUP(A73,'Données projet'!$A$87:$I$107,3,0)),0,VLOOKUP(A73,'Données projet'!$A$87:$I$107,3,0))</f>
        <v>11</v>
      </c>
      <c r="BL73" s="16">
        <f>IF(ISNA(VLOOKUP(A73,'Données projet'!$A$87:$I$107,4,0)),0,VLOOKUP(A73,'Données projet'!$A$87:$I$107,4,0))</f>
        <v>28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3.0119221665201761</v>
      </c>
      <c r="BR73" s="23">
        <f>EXP(-LN(2)/2)*BR72+(1-EXP(-LN(2)/2))/(LN(2)/2)*BL73*BO73*VLOOKUP('Données projet'!$B$11,Paramètres!$A$1:$I$89,3,0)*0.475*44/12</f>
        <v>1.4219069141919763E-5</v>
      </c>
      <c r="BS73" s="24">
        <f t="shared" si="63"/>
        <v>3.0119363855893182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64.78580081925729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-5.6843418860808015E-14</v>
      </c>
      <c r="BZ73" s="14">
        <f>BY73*VLOOKUP('Données projet'!$B$12,Paramètres!$A$1:$I$89,3,0)*VLOOKUP('Données projet'!$B$12,Paramètres!$A$1:$I$89,5,0)</f>
        <v>-3.1036506698001178E-14</v>
      </c>
      <c r="CA73" s="14" t="e">
        <f t="shared" si="93"/>
        <v>#NUM!</v>
      </c>
      <c r="CB73" s="22" t="e">
        <f t="shared" si="64"/>
        <v>#NUM!</v>
      </c>
      <c r="CC73" s="62" t="e">
        <f t="shared" si="65"/>
        <v>#NUM!</v>
      </c>
      <c r="CD73" s="62">
        <f ca="1">AVERAGE(OFFSET($CC$3,0,0,'Données projet'!$E$12+1,1))-AVERAGE(OFFSET($H$3,0,0,'Données projet'!$E$12+1,1))</f>
        <v>302.37244372118971</v>
      </c>
      <c r="CE73" s="62">
        <f t="shared" si="94"/>
        <v>439.56450354660171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3.4133880549223647</v>
      </c>
      <c r="CL73" s="23">
        <f>EXP(-LN(2)/25)*CL72+(1-EXP(-LN(2)/25))/(LN(2)/25)*Calculateur!CG73*Calculateur!CI73*VLOOKUP('Données projet'!$B$12,Paramètres!$A$1:$I$89,3,0)*0.475*44/12</f>
        <v>5.5759111096066016</v>
      </c>
      <c r="CM73" s="23">
        <f>EXP(-LN(2)/2)*CM72+(1-EXP(-LN(2)/2))/(LN(2)/2)*CG73*CJ73*VLOOKUP('Données projet'!$B$12,Paramètres!$A$1:$I$89,3,0)*0.475*44/12</f>
        <v>1.5307506213402214E-5</v>
      </c>
      <c r="CN73" s="24">
        <f t="shared" si="66"/>
        <v>8.9893144720351792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64.78580081925729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227</v>
      </c>
      <c r="CR73" s="13">
        <f>VLOOKUP(A73,'Données projet'!$A$139:$I$159,9,0)</f>
        <v>4.5999999999999996</v>
      </c>
      <c r="CS73" s="13">
        <f t="array" ref="CS73">INDEX(CR:CR,MIN(IF(ISNUMBER(CR73:CR269),ROW(CR73:CR269),"")))</f>
        <v>4.5999999999999996</v>
      </c>
      <c r="CT73" s="13">
        <f>IF('Données projet'!$A$140&gt;35,CT72+CS73-DB72,IF(A73&lt;'Données projet'!$A$140,$CQ$205^A73,IF(A73='Données projet'!$A$140,'Données projet'!$B$140,CT72+CS73-DB72)))</f>
        <v>226.99999999999994</v>
      </c>
      <c r="CU73" s="18">
        <f>CT73*VLOOKUP('Données projet'!$B$13,Paramètres!$A$1:$I$89,3,0)*VLOOKUP('Données projet'!$B$13,Paramètres!$A$1:$I$89,5,0)</f>
        <v>166.43639999999996</v>
      </c>
      <c r="CV73" s="14">
        <f t="shared" si="95"/>
        <v>42.290914326480518</v>
      </c>
      <c r="CW73" s="22">
        <f t="shared" si="67"/>
        <v>363.53340578528679</v>
      </c>
      <c r="CX73" s="62">
        <f t="shared" si="68"/>
        <v>637.7480087892302</v>
      </c>
      <c r="CY73" s="62">
        <f ca="1">AVERAGE(OFFSET($CX$3,0,0,'Données projet'!$E$13+1,1))-AVERAGE(OFFSET($H$3,0,0,'Données projet'!$E$13+1,1))</f>
        <v>300.12722359176314</v>
      </c>
      <c r="CZ73" s="62">
        <f t="shared" si="96"/>
        <v>313.35115626175946</v>
      </c>
      <c r="DA73" s="16">
        <f>IF(ISNA(VLOOKUP(A73,'Données projet'!$A$139:$I$159,3,0)),0,VLOOKUP(A73,'Données projet'!$A$139:$I$159,3,0))</f>
        <v>11</v>
      </c>
      <c r="DB73" s="16">
        <f>IF(ISNA(VLOOKUP(A73,'Données projet'!$A$139:$I$159,4,0)),0,VLOOKUP(A73,'Données projet'!$A$139:$I$159,4,0))</f>
        <v>17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3.9629432359143961</v>
      </c>
      <c r="DH73" s="23">
        <f>EXP(-LN(2)/2)*DH72+(1-EXP(-LN(2)/2))/(LN(2)/2)*DB73*DE73*VLOOKUP('Données projet'!$B$13,Paramètres!$A$1:$I$89,3,0)*0.475*44/12</f>
        <v>1.4362916103131037E-5</v>
      </c>
      <c r="DI73" s="24">
        <f t="shared" si="69"/>
        <v>3.9629575988304993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64.78580081925729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64.78580081925729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64.78580081925729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64.78580081925729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64.78580081925729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3.55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13.016666666666666</v>
      </c>
      <c r="H74" s="70">
        <f t="shared" si="56"/>
        <v>204.6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64.876255517840178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-2.2737367544323206E-13</v>
      </c>
      <c r="O74" s="14">
        <f>N74*VLOOKUP('Données projet'!$B$9,Paramètres!$A$1:$I$89,3,0)*VLOOKUP('Données projet'!$B$9,Paramètres!$A$1:$I$89,5,0)</f>
        <v>-1.2710188457276673E-13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455.44531340185631</v>
      </c>
      <c r="T74" s="62">
        <f t="shared" si="88"/>
        <v>560.14861617544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4.7969429887070918</v>
      </c>
      <c r="AA74" s="23">
        <f>EXP(-LN(2)/25)*AA73+(1-EXP(-LN(2)/25))/(LN(2)/25)*Calculateur!V74*Calculateur!X74*VLOOKUP('Données projet'!$B$9,Paramètres!$A$1:$I$89,3,0)*0.475*44/12</f>
        <v>4.5626445859718325</v>
      </c>
      <c r="AB74" s="23">
        <f>EXP(-LN(2)/2)*AB73+(1-EXP(-LN(2)/2))/(LN(2)/2)*V74*Y74*VLOOKUP('Données projet'!$B$9,Paramètres!$A$1:$I$89,3,0)*0.475*44/12</f>
        <v>8.9514293357982749E-6</v>
      </c>
      <c r="AC74" s="24">
        <f t="shared" si="57"/>
        <v>9.3595965261082608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64.876255517840178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1.9895196601282805E-13</v>
      </c>
      <c r="AJ74" s="14">
        <f>AI74*VLOOKUP('Données projet'!$B$10,Paramètres!$A$1:$I$89,3,0)*VLOOKUP('Données projet'!$B$10,Paramètres!$A$1:$I$89,5,0)</f>
        <v>1.738044375088066E-13</v>
      </c>
      <c r="AK74" s="14">
        <f t="shared" si="89"/>
        <v>2.4483293633950478E-12</v>
      </c>
      <c r="AL74" s="22">
        <f t="shared" si="58"/>
        <v>4.566883036574213E-12</v>
      </c>
      <c r="AM74" s="62">
        <f t="shared" si="59"/>
        <v>274.54627023208519</v>
      </c>
      <c r="AN74" s="62">
        <f ca="1">AVERAGE(OFFSET($AM$3,0,0,'Données projet'!$E$10+1,1))-AVERAGE(OFFSET($H$3,0,0,'Données projet'!$E$10+1,1))</f>
        <v>335.71510570470264</v>
      </c>
      <c r="AO74" s="62">
        <f t="shared" si="90"/>
        <v>401.61823018046482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8.2080069638671525</v>
      </c>
      <c r="AW74" s="23">
        <f>EXP(-LN(2)/2)*AW73+(1-EXP(-LN(2)/2))/(LN(2)/2)*AQ74*AT74*VLOOKUP('Données projet'!$B$10,Paramètres!$A$1:$I$89,3,0)*0.475*44/12</f>
        <v>1.2318011983722328E-5</v>
      </c>
      <c r="AX74" s="23">
        <f t="shared" si="60"/>
        <v>8.2080192818791353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64.876255517840178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7.6</v>
      </c>
      <c r="BD74" s="13">
        <f>IF('Données projet'!$A$88&gt;35,BD73+BC74-BL73,IF(A74&lt;'Données projet'!$A$88,$BA$205^A74,IF(A74='Données projet'!$A$88,'Données projet'!$B$88,BD73+BC74-BL73)))</f>
        <v>281.59999999999997</v>
      </c>
      <c r="BE74" s="14">
        <f>BD74*VLOOKUP('Données projet'!$B$11,Paramètres!$A$1:$I$89,3,0)*VLOOKUP('Données projet'!$B$11,Paramètres!$A$1:$I$89,5,0)</f>
        <v>254.79167999999996</v>
      </c>
      <c r="BF74" s="14">
        <f t="shared" si="91"/>
        <v>61.610870508448471</v>
      </c>
      <c r="BG74" s="22">
        <f t="shared" si="61"/>
        <v>551.067775468881</v>
      </c>
      <c r="BH74" s="62">
        <f t="shared" si="62"/>
        <v>825.6140457009617</v>
      </c>
      <c r="BI74" s="62">
        <f ca="1">AVERAGE(OFFSET($BH$3,0,0,'Données projet'!$E$11+1,1))-AVERAGE(OFFSET($H$3,0,0,'Données projet'!$E$11+1,1))</f>
        <v>462.677457131175</v>
      </c>
      <c r="BJ74" s="62">
        <f t="shared" si="92"/>
        <v>291.78368401945909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2.929560996486579</v>
      </c>
      <c r="BR74" s="23">
        <f>EXP(-LN(2)/2)*BR73+(1-EXP(-LN(2)/2))/(LN(2)/2)*BL74*BO74*VLOOKUP('Données projet'!$B$11,Paramètres!$A$1:$I$89,3,0)*0.475*44/12</f>
        <v>1.0054400212411848E-5</v>
      </c>
      <c r="BS74" s="24">
        <f t="shared" si="63"/>
        <v>2.9295710508867914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64.876255517840178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-5.6843418860808015E-14</v>
      </c>
      <c r="BZ74" s="14">
        <f>BY74*VLOOKUP('Données projet'!$B$12,Paramètres!$A$1:$I$89,3,0)*VLOOKUP('Données projet'!$B$12,Paramètres!$A$1:$I$89,5,0)</f>
        <v>-3.1036506698001178E-14</v>
      </c>
      <c r="CA74" s="14" t="e">
        <f t="shared" si="93"/>
        <v>#NUM!</v>
      </c>
      <c r="CB74" s="22" t="e">
        <f t="shared" si="64"/>
        <v>#NUM!</v>
      </c>
      <c r="CC74" s="62" t="e">
        <f t="shared" si="65"/>
        <v>#NUM!</v>
      </c>
      <c r="CD74" s="62">
        <f ca="1">AVERAGE(OFFSET($CC$3,0,0,'Données projet'!$E$12+1,1))-AVERAGE(OFFSET($H$3,0,0,'Données projet'!$E$12+1,1))</f>
        <v>302.37244372118971</v>
      </c>
      <c r="CE74" s="62">
        <f t="shared" si="94"/>
        <v>439.56450354660171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3.3464535971264739</v>
      </c>
      <c r="CL74" s="23">
        <f>EXP(-LN(2)/25)*CL73+(1-EXP(-LN(2)/25))/(LN(2)/25)*Calculateur!CG74*Calculateur!CI74*VLOOKUP('Données projet'!$B$12,Paramètres!$A$1:$I$89,3,0)*0.475*44/12</f>
        <v>5.4234375270899875</v>
      </c>
      <c r="CM74" s="23">
        <f>EXP(-LN(2)/2)*CM73+(1-EXP(-LN(2)/2))/(LN(2)/2)*CG74*CJ74*VLOOKUP('Données projet'!$B$12,Paramètres!$A$1:$I$89,3,0)*0.475*44/12</f>
        <v>1.0824041446551916E-5</v>
      </c>
      <c r="CN74" s="24">
        <f t="shared" si="66"/>
        <v>8.7699019482579068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64.876255517840178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4</v>
      </c>
      <c r="CT74" s="13">
        <f>IF('Données projet'!$A$140&gt;35,CT73+CS74-DB73,IF(A74&lt;'Données projet'!$A$140,$CQ$205^A74,IF(A74='Données projet'!$A$140,'Données projet'!$B$140,CT73+CS74-DB73)))</f>
        <v>213.99999999999994</v>
      </c>
      <c r="CU74" s="18">
        <f>CT74*VLOOKUP('Données projet'!$B$13,Paramètres!$A$1:$I$89,3,0)*VLOOKUP('Données projet'!$B$13,Paramètres!$A$1:$I$89,5,0)</f>
        <v>156.90479999999997</v>
      </c>
      <c r="CV74" s="14">
        <f t="shared" si="95"/>
        <v>40.143592678874334</v>
      </c>
      <c r="CW74" s="22">
        <f t="shared" si="67"/>
        <v>343.19261724903942</v>
      </c>
      <c r="CX74" s="62">
        <f t="shared" si="68"/>
        <v>617.73888748112006</v>
      </c>
      <c r="CY74" s="62">
        <f ca="1">AVERAGE(OFFSET($CX$3,0,0,'Données projet'!$E$13+1,1))-AVERAGE(OFFSET($H$3,0,0,'Données projet'!$E$13+1,1))</f>
        <v>300.12722359176314</v>
      </c>
      <c r="CZ74" s="62">
        <f t="shared" si="96"/>
        <v>313.35115626175946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3.8545763447261896</v>
      </c>
      <c r="DH74" s="23">
        <f>EXP(-LN(2)/2)*DH73+(1-EXP(-LN(2)/2))/(LN(2)/2)*DB74*DE74*VLOOKUP('Données projet'!$B$13,Paramètres!$A$1:$I$89,3,0)*0.475*44/12</f>
        <v>1.0156115374137418E-5</v>
      </c>
      <c r="DI74" s="24">
        <f t="shared" si="69"/>
        <v>3.8545865008415636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64.876255517840178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64.876255517840178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64.876255517840178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64.876255517840178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64.876255517840178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3.55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13.016666666666666</v>
      </c>
      <c r="H75" s="70">
        <f t="shared" si="56"/>
        <v>204.6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64.965141029629081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-2.2737367544323206E-13</v>
      </c>
      <c r="O75" s="14">
        <f>N75*VLOOKUP('Données projet'!$B$9,Paramètres!$A$1:$I$89,3,0)*VLOOKUP('Données projet'!$B$9,Paramètres!$A$1:$I$89,5,0)</f>
        <v>-1.2710188457276673E-13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455.44531340185631</v>
      </c>
      <c r="T75" s="62">
        <f t="shared" si="88"/>
        <v>560.14861617544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4.7028778625448657</v>
      </c>
      <c r="AA75" s="23">
        <f>EXP(-LN(2)/25)*AA74+(1-EXP(-LN(2)/25))/(LN(2)/25)*Calculateur!V75*Calculateur!X75*VLOOKUP('Données projet'!$B$9,Paramètres!$A$1:$I$89,3,0)*0.475*44/12</f>
        <v>4.4378788298293816</v>
      </c>
      <c r="AB75" s="23">
        <f>EXP(-LN(2)/2)*AB74+(1-EXP(-LN(2)/2))/(LN(2)/2)*V75*Y75*VLOOKUP('Données projet'!$B$9,Paramètres!$A$1:$I$89,3,0)*0.475*44/12</f>
        <v>6.3296163846551534E-6</v>
      </c>
      <c r="AC75" s="24">
        <f t="shared" si="57"/>
        <v>9.1407630219906313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64.965141029629081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1.9895196601282805E-13</v>
      </c>
      <c r="AJ75" s="14">
        <f>AI75*VLOOKUP('Données projet'!$B$10,Paramètres!$A$1:$I$89,3,0)*VLOOKUP('Données projet'!$B$10,Paramètres!$A$1:$I$89,5,0)</f>
        <v>1.738044375088066E-13</v>
      </c>
      <c r="AK75" s="14">
        <f t="shared" si="89"/>
        <v>2.4483293633950478E-12</v>
      </c>
      <c r="AL75" s="22">
        <f t="shared" si="58"/>
        <v>4.566883036574213E-12</v>
      </c>
      <c r="AM75" s="62">
        <f t="shared" si="59"/>
        <v>274.87218377531116</v>
      </c>
      <c r="AN75" s="62">
        <f ca="1">AVERAGE(OFFSET($AM$3,0,0,'Données projet'!$E$10+1,1))-AVERAGE(OFFSET($H$3,0,0,'Données projet'!$E$10+1,1))</f>
        <v>335.71510570470264</v>
      </c>
      <c r="AO75" s="62">
        <f t="shared" si="90"/>
        <v>401.61823018046482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7.9835585817998789</v>
      </c>
      <c r="AW75" s="23">
        <f>EXP(-LN(2)/2)*AW74+(1-EXP(-LN(2)/2))/(LN(2)/2)*AQ75*AT75*VLOOKUP('Données projet'!$B$10,Paramètres!$A$1:$I$89,3,0)*0.475*44/12</f>
        <v>8.7101498044272143E-6</v>
      </c>
      <c r="AX75" s="23">
        <f t="shared" si="60"/>
        <v>7.983567291949683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64.965141029629081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7.6</v>
      </c>
      <c r="BD75" s="13">
        <f>IF('Données projet'!$A$88&gt;35,BD74+BC75-BL74,IF(A75&lt;'Données projet'!$A$88,$BA$205^A75,IF(A75='Données projet'!$A$88,'Données projet'!$B$88,BD74+BC75-BL74)))</f>
        <v>289.2</v>
      </c>
      <c r="BE75" s="14">
        <f>BD75*VLOOKUP('Données projet'!$B$11,Paramètres!$A$1:$I$89,3,0)*VLOOKUP('Données projet'!$B$11,Paramètres!$A$1:$I$89,5,0)</f>
        <v>261.66816</v>
      </c>
      <c r="BF75" s="14">
        <f t="shared" si="91"/>
        <v>63.077829793082856</v>
      </c>
      <c r="BG75" s="22">
        <f t="shared" si="61"/>
        <v>565.5992655562859</v>
      </c>
      <c r="BH75" s="62">
        <f t="shared" si="62"/>
        <v>840.47144933159257</v>
      </c>
      <c r="BI75" s="62">
        <f ca="1">AVERAGE(OFFSET($BH$3,0,0,'Données projet'!$E$11+1,1))-AVERAGE(OFFSET($H$3,0,0,'Données projet'!$E$11+1,1))</f>
        <v>462.677457131175</v>
      </c>
      <c r="BJ75" s="62">
        <f t="shared" si="92"/>
        <v>291.78368401945909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2.8494519969787362</v>
      </c>
      <c r="BR75" s="23">
        <f>EXP(-LN(2)/2)*BR74+(1-EXP(-LN(2)/2))/(LN(2)/2)*BL75*BO75*VLOOKUP('Données projet'!$B$11,Paramètres!$A$1:$I$89,3,0)*0.475*44/12</f>
        <v>7.1095345709598816E-6</v>
      </c>
      <c r="BS75" s="24">
        <f t="shared" si="63"/>
        <v>2.849459106513307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64.965141029629081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-5.6843418860808015E-14</v>
      </c>
      <c r="BZ75" s="14">
        <f>BY75*VLOOKUP('Données projet'!$B$12,Paramètres!$A$1:$I$89,3,0)*VLOOKUP('Données projet'!$B$12,Paramètres!$A$1:$I$89,5,0)</f>
        <v>-3.1036506698001178E-14</v>
      </c>
      <c r="CA75" s="14" t="e">
        <f t="shared" si="93"/>
        <v>#NUM!</v>
      </c>
      <c r="CB75" s="22" t="e">
        <f t="shared" si="64"/>
        <v>#NUM!</v>
      </c>
      <c r="CC75" s="62" t="e">
        <f t="shared" si="65"/>
        <v>#NUM!</v>
      </c>
      <c r="CD75" s="62">
        <f ca="1">AVERAGE(OFFSET($CC$3,0,0,'Données projet'!$E$12+1,1))-AVERAGE(OFFSET($H$3,0,0,'Données projet'!$E$12+1,1))</f>
        <v>302.37244372118971</v>
      </c>
      <c r="CE75" s="62">
        <f t="shared" si="94"/>
        <v>439.56450354660171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3.2808316832219728</v>
      </c>
      <c r="CL75" s="23">
        <f>EXP(-LN(2)/25)*CL74+(1-EXP(-LN(2)/25))/(LN(2)/25)*Calculateur!CG75*Calculateur!CI75*VLOOKUP('Données projet'!$B$12,Paramètres!$A$1:$I$89,3,0)*0.475*44/12</f>
        <v>5.2751333427055274</v>
      </c>
      <c r="CM75" s="23">
        <f>EXP(-LN(2)/2)*CM74+(1-EXP(-LN(2)/2))/(LN(2)/2)*CG75*CJ75*VLOOKUP('Données projet'!$B$12,Paramètres!$A$1:$I$89,3,0)*0.475*44/12</f>
        <v>7.6537531067011072E-6</v>
      </c>
      <c r="CN75" s="24">
        <f t="shared" si="66"/>
        <v>8.5559726796806075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64.965141029629081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4</v>
      </c>
      <c r="CT75" s="13">
        <f>IF('Données projet'!$A$140&gt;35,CT74+CS75-DB74,IF(A75&lt;'Données projet'!$A$140,$CQ$205^A75,IF(A75='Données projet'!$A$140,'Données projet'!$B$140,CT74+CS75-DB74)))</f>
        <v>217.99999999999994</v>
      </c>
      <c r="CU75" s="18">
        <f>CT75*VLOOKUP('Données projet'!$B$13,Paramètres!$A$1:$I$89,3,0)*VLOOKUP('Données projet'!$B$13,Paramètres!$A$1:$I$89,5,0)</f>
        <v>159.83759999999995</v>
      </c>
      <c r="CV75" s="14">
        <f t="shared" si="95"/>
        <v>40.805883468734919</v>
      </c>
      <c r="CW75" s="22">
        <f t="shared" si="67"/>
        <v>349.45406704137991</v>
      </c>
      <c r="CX75" s="62">
        <f t="shared" si="68"/>
        <v>624.32625081668652</v>
      </c>
      <c r="CY75" s="62">
        <f ca="1">AVERAGE(OFFSET($CX$3,0,0,'Données projet'!$E$13+1,1))-AVERAGE(OFFSET($H$3,0,0,'Données projet'!$E$13+1,1))</f>
        <v>300.12722359176314</v>
      </c>
      <c r="CZ75" s="62">
        <f t="shared" si="96"/>
        <v>313.35115626175946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3.7491727518762916</v>
      </c>
      <c r="DH75" s="23">
        <f>EXP(-LN(2)/2)*DH74+(1-EXP(-LN(2)/2))/(LN(2)/2)*DB75*DE75*VLOOKUP('Données projet'!$B$13,Paramètres!$A$1:$I$89,3,0)*0.475*44/12</f>
        <v>7.1814580515655183E-6</v>
      </c>
      <c r="DI75" s="24">
        <f t="shared" si="69"/>
        <v>3.7491799333343434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64.965141029629081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64.965141029629081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64.965141029629081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64.965141029629081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64.965141029629081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3.55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13.016666666666666</v>
      </c>
      <c r="H76" s="70">
        <f t="shared" si="56"/>
        <v>204.6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65.052484576506657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-2.2737367544323206E-13</v>
      </c>
      <c r="O76" s="14">
        <f>N76*VLOOKUP('Données projet'!$B$9,Paramètres!$A$1:$I$89,3,0)*VLOOKUP('Données projet'!$B$9,Paramètres!$A$1:$I$89,5,0)</f>
        <v>-1.2710188457276673E-13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455.44531340185631</v>
      </c>
      <c r="T76" s="62">
        <f t="shared" si="88"/>
        <v>560.14861617544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4.6106572961326187</v>
      </c>
      <c r="AA76" s="23">
        <f>EXP(-LN(2)/25)*AA75+(1-EXP(-LN(2)/25))/(LN(2)/25)*Calculateur!V76*Calculateur!X76*VLOOKUP('Données projet'!$B$9,Paramètres!$A$1:$I$89,3,0)*0.475*44/12</f>
        <v>4.3165247998497929</v>
      </c>
      <c r="AB76" s="23">
        <f>EXP(-LN(2)/2)*AB75+(1-EXP(-LN(2)/2))/(LN(2)/2)*V76*Y76*VLOOKUP('Données projet'!$B$9,Paramètres!$A$1:$I$89,3,0)*0.475*44/12</f>
        <v>4.4757146678991375E-6</v>
      </c>
      <c r="AC76" s="24">
        <f t="shared" si="57"/>
        <v>8.9271865716970797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65.052484576506657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1.9895196601282805E-13</v>
      </c>
      <c r="AJ76" s="14">
        <f>AI76*VLOOKUP('Données projet'!$B$10,Paramètres!$A$1:$I$89,3,0)*VLOOKUP('Données projet'!$B$10,Paramètres!$A$1:$I$89,5,0)</f>
        <v>1.738044375088066E-13</v>
      </c>
      <c r="AK76" s="14">
        <f t="shared" si="89"/>
        <v>2.4483293633950478E-12</v>
      </c>
      <c r="AL76" s="22">
        <f t="shared" si="58"/>
        <v>4.566883036574213E-12</v>
      </c>
      <c r="AM76" s="62">
        <f t="shared" si="59"/>
        <v>275.19244344719561</v>
      </c>
      <c r="AN76" s="62">
        <f ca="1">AVERAGE(OFFSET($AM$3,0,0,'Données projet'!$E$10+1,1))-AVERAGE(OFFSET($H$3,0,0,'Données projet'!$E$10+1,1))</f>
        <v>335.71510570470264</v>
      </c>
      <c r="AO76" s="62">
        <f t="shared" si="90"/>
        <v>401.61823018046482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7.7652477525434618</v>
      </c>
      <c r="AW76" s="23">
        <f>EXP(-LN(2)/2)*AW75+(1-EXP(-LN(2)/2))/(LN(2)/2)*AQ76*AT76*VLOOKUP('Données projet'!$B$10,Paramètres!$A$1:$I$89,3,0)*0.475*44/12</f>
        <v>6.1590059918611641E-6</v>
      </c>
      <c r="AX76" s="23">
        <f t="shared" si="60"/>
        <v>7.7652539115494532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65.052484576506657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7.6</v>
      </c>
      <c r="BD76" s="13">
        <f>IF('Données projet'!$A$88&gt;35,BD75+BC76-BL75,IF(A76&lt;'Données projet'!$A$88,$BA$205^A76,IF(A76='Données projet'!$A$88,'Données projet'!$B$88,BD75+BC76-BL75)))</f>
        <v>296.8</v>
      </c>
      <c r="BE76" s="14">
        <f>BD76*VLOOKUP('Données projet'!$B$11,Paramètres!$A$1:$I$89,3,0)*VLOOKUP('Données projet'!$B$11,Paramètres!$A$1:$I$89,5,0)</f>
        <v>268.54464000000002</v>
      </c>
      <c r="BF76" s="14">
        <f t="shared" si="91"/>
        <v>64.54030807605065</v>
      </c>
      <c r="BG76" s="22">
        <f t="shared" si="61"/>
        <v>580.12295123245474</v>
      </c>
      <c r="BH76" s="62">
        <f t="shared" si="62"/>
        <v>855.31539467964581</v>
      </c>
      <c r="BI76" s="62">
        <f ca="1">AVERAGE(OFFSET($BH$3,0,0,'Données projet'!$E$11+1,1))-AVERAGE(OFFSET($H$3,0,0,'Données projet'!$E$11+1,1))</f>
        <v>462.677457131175</v>
      </c>
      <c r="BJ76" s="62">
        <f t="shared" si="92"/>
        <v>291.78368401945909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2.7715335822751848</v>
      </c>
      <c r="BR76" s="23">
        <f>EXP(-LN(2)/2)*BR75+(1-EXP(-LN(2)/2))/(LN(2)/2)*BL76*BO76*VLOOKUP('Données projet'!$B$11,Paramètres!$A$1:$I$89,3,0)*0.475*44/12</f>
        <v>5.027200106205924E-6</v>
      </c>
      <c r="BS76" s="24">
        <f t="shared" si="63"/>
        <v>2.7715386094752912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65.052484576506657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-5.6843418860808015E-14</v>
      </c>
      <c r="BZ76" s="14">
        <f>BY76*VLOOKUP('Données projet'!$B$12,Paramètres!$A$1:$I$89,3,0)*VLOOKUP('Données projet'!$B$12,Paramètres!$A$1:$I$89,5,0)</f>
        <v>-3.1036506698001178E-14</v>
      </c>
      <c r="CA76" s="14" t="e">
        <f t="shared" si="93"/>
        <v>#NUM!</v>
      </c>
      <c r="CB76" s="22" t="e">
        <f t="shared" si="64"/>
        <v>#NUM!</v>
      </c>
      <c r="CC76" s="62" t="e">
        <f t="shared" si="65"/>
        <v>#NUM!</v>
      </c>
      <c r="CD76" s="62">
        <f ca="1">AVERAGE(OFFSET($CC$3,0,0,'Données projet'!$E$12+1,1))-AVERAGE(OFFSET($H$3,0,0,'Données projet'!$E$12+1,1))</f>
        <v>302.37244372118971</v>
      </c>
      <c r="CE76" s="62">
        <f t="shared" si="94"/>
        <v>439.56450354660171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3.2164965750237235</v>
      </c>
      <c r="CL76" s="23">
        <f>EXP(-LN(2)/25)*CL75+(1-EXP(-LN(2)/25))/(LN(2)/25)*Calculateur!CG76*Calculateur!CI76*VLOOKUP('Données projet'!$B$12,Paramètres!$A$1:$I$89,3,0)*0.475*44/12</f>
        <v>5.130884544042039</v>
      </c>
      <c r="CM76" s="23">
        <f>EXP(-LN(2)/2)*CM75+(1-EXP(-LN(2)/2))/(LN(2)/2)*CG76*CJ76*VLOOKUP('Données projet'!$B$12,Paramètres!$A$1:$I$89,3,0)*0.475*44/12</f>
        <v>5.4120207232759582E-6</v>
      </c>
      <c r="CN76" s="24">
        <f t="shared" si="66"/>
        <v>8.3473865310864852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65.052484576506657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4</v>
      </c>
      <c r="CT76" s="13">
        <f>IF('Données projet'!$A$140&gt;35,CT75+CS76-DB75,IF(A76&lt;'Données projet'!$A$140,$CQ$205^A76,IF(A76='Données projet'!$A$140,'Données projet'!$B$140,CT75+CS76-DB75)))</f>
        <v>221.99999999999994</v>
      </c>
      <c r="CU76" s="18">
        <f>CT76*VLOOKUP('Données projet'!$B$13,Paramètres!$A$1:$I$89,3,0)*VLOOKUP('Données projet'!$B$13,Paramètres!$A$1:$I$89,5,0)</f>
        <v>162.77039999999994</v>
      </c>
      <c r="CV76" s="14">
        <f t="shared" si="95"/>
        <v>41.466761176934256</v>
      </c>
      <c r="CW76" s="22">
        <f t="shared" si="67"/>
        <v>355.71305571649367</v>
      </c>
      <c r="CX76" s="62">
        <f t="shared" si="68"/>
        <v>630.90549916368468</v>
      </c>
      <c r="CY76" s="62">
        <f ca="1">AVERAGE(OFFSET($CX$3,0,0,'Données projet'!$E$13+1,1))-AVERAGE(OFFSET($H$3,0,0,'Données projet'!$E$13+1,1))</f>
        <v>300.12722359176314</v>
      </c>
      <c r="CZ76" s="62">
        <f t="shared" si="96"/>
        <v>313.35115626175946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3.6466514258158083</v>
      </c>
      <c r="DH76" s="23">
        <f>EXP(-LN(2)/2)*DH75+(1-EXP(-LN(2)/2))/(LN(2)/2)*DB76*DE76*VLOOKUP('Données projet'!$B$13,Paramètres!$A$1:$I$89,3,0)*0.475*44/12</f>
        <v>5.0780576870687088E-6</v>
      </c>
      <c r="DI76" s="24">
        <f t="shared" si="69"/>
        <v>3.6466565038734955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65.052484576506657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65.052484576506657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65.052484576506657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65.052484576506657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65.052484576506657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3.55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13.016666666666666</v>
      </c>
      <c r="H77" s="70">
        <f t="shared" si="56"/>
        <v>204.6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65.138312908116831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-2.2737367544323206E-13</v>
      </c>
      <c r="O77" s="14">
        <f>N77*VLOOKUP('Données projet'!$B$9,Paramètres!$A$1:$I$89,3,0)*VLOOKUP('Données projet'!$B$9,Paramètres!$A$1:$I$89,5,0)</f>
        <v>-1.2710188457276673E-13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455.44531340185631</v>
      </c>
      <c r="T77" s="62">
        <f t="shared" si="88"/>
        <v>560.14861617544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4.5202451187787247</v>
      </c>
      <c r="AA77" s="23">
        <f>EXP(-LN(2)/25)*AA76+(1-EXP(-LN(2)/25))/(LN(2)/25)*Calculateur!V77*Calculateur!X77*VLOOKUP('Données projet'!$B$9,Paramètres!$A$1:$I$89,3,0)*0.475*44/12</f>
        <v>4.1984892022017268</v>
      </c>
      <c r="AB77" s="23">
        <f>EXP(-LN(2)/2)*AB76+(1-EXP(-LN(2)/2))/(LN(2)/2)*V77*Y77*VLOOKUP('Données projet'!$B$9,Paramètres!$A$1:$I$89,3,0)*0.475*44/12</f>
        <v>3.1648081923275767E-6</v>
      </c>
      <c r="AC77" s="24">
        <f t="shared" si="57"/>
        <v>8.7187374857886439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65.138312908116831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1.9895196601282805E-13</v>
      </c>
      <c r="AJ77" s="14">
        <f>AI77*VLOOKUP('Données projet'!$B$10,Paramètres!$A$1:$I$89,3,0)*VLOOKUP('Données projet'!$B$10,Paramètres!$A$1:$I$89,5,0)</f>
        <v>1.738044375088066E-13</v>
      </c>
      <c r="AK77" s="14">
        <f t="shared" si="89"/>
        <v>2.4483293633950478E-12</v>
      </c>
      <c r="AL77" s="22">
        <f t="shared" si="58"/>
        <v>4.566883036574213E-12</v>
      </c>
      <c r="AM77" s="62">
        <f t="shared" si="59"/>
        <v>275.50714732976627</v>
      </c>
      <c r="AN77" s="62">
        <f ca="1">AVERAGE(OFFSET($AM$3,0,0,'Données projet'!$E$10+1,1))-AVERAGE(OFFSET($H$3,0,0,'Données projet'!$E$10+1,1))</f>
        <v>335.71510570470264</v>
      </c>
      <c r="AO77" s="62">
        <f t="shared" si="90"/>
        <v>401.61823018046482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7.5529066443935289</v>
      </c>
      <c r="AW77" s="23">
        <f>EXP(-LN(2)/2)*AW76+(1-EXP(-LN(2)/2))/(LN(2)/2)*AQ77*AT77*VLOOKUP('Données projet'!$B$10,Paramètres!$A$1:$I$89,3,0)*0.475*44/12</f>
        <v>4.3550749022136071E-6</v>
      </c>
      <c r="AX77" s="23">
        <f t="shared" si="60"/>
        <v>7.5529109994684314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65.138312908116831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7.6</v>
      </c>
      <c r="BD77" s="13">
        <f>IF('Données projet'!$A$88&gt;35,BD76+BC77-BL76,IF(A77&lt;'Données projet'!$A$88,$BA$205^A77,IF(A77='Données projet'!$A$88,'Données projet'!$B$88,BD76+BC77-BL76)))</f>
        <v>304.40000000000003</v>
      </c>
      <c r="BE77" s="14">
        <f>BD77*VLOOKUP('Données projet'!$B$11,Paramètres!$A$1:$I$89,3,0)*VLOOKUP('Données projet'!$B$11,Paramètres!$A$1:$I$89,5,0)</f>
        <v>275.42112000000003</v>
      </c>
      <c r="BF77" s="14">
        <f t="shared" si="91"/>
        <v>65.998433293601067</v>
      </c>
      <c r="BG77" s="22">
        <f t="shared" si="61"/>
        <v>594.63905531968851</v>
      </c>
      <c r="BH77" s="62">
        <f t="shared" si="62"/>
        <v>870.14620264945029</v>
      </c>
      <c r="BI77" s="62">
        <f ca="1">AVERAGE(OFFSET($BH$3,0,0,'Données projet'!$E$11+1,1))-AVERAGE(OFFSET($H$3,0,0,'Données projet'!$E$11+1,1))</f>
        <v>462.677457131175</v>
      </c>
      <c r="BJ77" s="62">
        <f t="shared" si="92"/>
        <v>291.78368401945909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2.6957458507192533</v>
      </c>
      <c r="BR77" s="23">
        <f>EXP(-LN(2)/2)*BR76+(1-EXP(-LN(2)/2))/(LN(2)/2)*BL77*BO77*VLOOKUP('Données projet'!$B$11,Paramètres!$A$1:$I$89,3,0)*0.475*44/12</f>
        <v>3.5547672854799408E-6</v>
      </c>
      <c r="BS77" s="24">
        <f t="shared" si="63"/>
        <v>2.6957494054865387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65.138312908116831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-5.6843418860808015E-14</v>
      </c>
      <c r="BZ77" s="14">
        <f>BY77*VLOOKUP('Données projet'!$B$12,Paramètres!$A$1:$I$89,3,0)*VLOOKUP('Données projet'!$B$12,Paramètres!$A$1:$I$89,5,0)</f>
        <v>-3.1036506698001178E-14</v>
      </c>
      <c r="CA77" s="14" t="e">
        <f t="shared" si="93"/>
        <v>#NUM!</v>
      </c>
      <c r="CB77" s="22" t="e">
        <f t="shared" si="64"/>
        <v>#NUM!</v>
      </c>
      <c r="CC77" s="62" t="e">
        <f t="shared" si="65"/>
        <v>#NUM!</v>
      </c>
      <c r="CD77" s="62">
        <f ca="1">AVERAGE(OFFSET($CC$3,0,0,'Données projet'!$E$12+1,1))-AVERAGE(OFFSET($H$3,0,0,'Données projet'!$E$12+1,1))</f>
        <v>302.37244372118971</v>
      </c>
      <c r="CE77" s="62">
        <f t="shared" si="94"/>
        <v>439.56450354660171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3.1534230390567006</v>
      </c>
      <c r="CL77" s="23">
        <f>EXP(-LN(2)/25)*CL76+(1-EXP(-LN(2)/25))/(LN(2)/25)*Calculateur!CG77*Calculateur!CI77*VLOOKUP('Données projet'!$B$12,Paramètres!$A$1:$I$89,3,0)*0.475*44/12</f>
        <v>4.9905802363637184</v>
      </c>
      <c r="CM77" s="23">
        <f>EXP(-LN(2)/2)*CM76+(1-EXP(-LN(2)/2))/(LN(2)/2)*CG77*CJ77*VLOOKUP('Données projet'!$B$12,Paramètres!$A$1:$I$89,3,0)*0.475*44/12</f>
        <v>3.8268765533505536E-6</v>
      </c>
      <c r="CN77" s="24">
        <f t="shared" si="66"/>
        <v>8.1440071022969711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65.138312908116831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4</v>
      </c>
      <c r="CT77" s="13">
        <f>IF('Données projet'!$A$140&gt;35,CT76+CS77-DB76,IF(A77&lt;'Données projet'!$A$140,$CQ$205^A77,IF(A77='Données projet'!$A$140,'Données projet'!$B$140,CT76+CS77-DB76)))</f>
        <v>225.99999999999994</v>
      </c>
      <c r="CU77" s="18">
        <f>CT77*VLOOKUP('Données projet'!$B$13,Paramètres!$A$1:$I$89,3,0)*VLOOKUP('Données projet'!$B$13,Paramètres!$A$1:$I$89,5,0)</f>
        <v>165.70319999999995</v>
      </c>
      <c r="CV77" s="14">
        <f t="shared" si="95"/>
        <v>42.126254201367267</v>
      </c>
      <c r="CW77" s="22">
        <f t="shared" si="67"/>
        <v>361.96963273404782</v>
      </c>
      <c r="CX77" s="62">
        <f t="shared" si="68"/>
        <v>637.47678006380954</v>
      </c>
      <c r="CY77" s="62">
        <f ca="1">AVERAGE(OFFSET($CX$3,0,0,'Données projet'!$E$13+1,1))-AVERAGE(OFFSET($H$3,0,0,'Données projet'!$E$13+1,1))</f>
        <v>300.12722359176314</v>
      </c>
      <c r="CZ77" s="62">
        <f t="shared" si="96"/>
        <v>313.35115626175946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3.546933550807811</v>
      </c>
      <c r="DH77" s="23">
        <f>EXP(-LN(2)/2)*DH76+(1-EXP(-LN(2)/2))/(LN(2)/2)*DB77*DE77*VLOOKUP('Données projet'!$B$13,Paramètres!$A$1:$I$89,3,0)*0.475*44/12</f>
        <v>3.5907290257827592E-6</v>
      </c>
      <c r="DI77" s="24">
        <f t="shared" si="69"/>
        <v>3.5469371415368367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65.138312908116831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65.138312908116831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65.138312908116831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65.138312908116831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65.138312908116831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3.55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13.016666666666666</v>
      </c>
      <c r="H78" s="70">
        <f t="shared" si="56"/>
        <v>204.6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65.222652310056986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-2.2737367544323206E-13</v>
      </c>
      <c r="O78" s="14">
        <f>N78*VLOOKUP('Données projet'!$B$9,Paramètres!$A$1:$I$89,3,0)*VLOOKUP('Données projet'!$B$9,Paramètres!$A$1:$I$89,5,0)</f>
        <v>-1.2710188457276673E-13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455.44531340185631</v>
      </c>
      <c r="T78" s="62">
        <f t="shared" si="88"/>
        <v>560.14861617544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4.4316058690767575</v>
      </c>
      <c r="AA78" s="23">
        <f>EXP(-LN(2)/25)*AA77+(1-EXP(-LN(2)/25))/(LN(2)/25)*Calculateur!V78*Calculateur!X78*VLOOKUP('Données projet'!$B$9,Paramètres!$A$1:$I$89,3,0)*0.475*44/12</f>
        <v>4.083681294178569</v>
      </c>
      <c r="AB78" s="23">
        <f>EXP(-LN(2)/2)*AB77+(1-EXP(-LN(2)/2))/(LN(2)/2)*V78*Y78*VLOOKUP('Données projet'!$B$9,Paramètres!$A$1:$I$89,3,0)*0.475*44/12</f>
        <v>2.2378573339495687E-6</v>
      </c>
      <c r="AC78" s="24">
        <f t="shared" si="57"/>
        <v>8.5152894011126605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65.222652310056986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1.9895196601282805E-13</v>
      </c>
      <c r="AJ78" s="14">
        <f>AI78*VLOOKUP('Données projet'!$B$10,Paramètres!$A$1:$I$89,3,0)*VLOOKUP('Données projet'!$B$10,Paramètres!$A$1:$I$89,5,0)</f>
        <v>1.738044375088066E-13</v>
      </c>
      <c r="AK78" s="14">
        <f t="shared" si="89"/>
        <v>2.4483293633950478E-12</v>
      </c>
      <c r="AL78" s="22">
        <f t="shared" si="58"/>
        <v>4.566883036574213E-12</v>
      </c>
      <c r="AM78" s="62">
        <f t="shared" si="59"/>
        <v>275.81639180354682</v>
      </c>
      <c r="AN78" s="62">
        <f ca="1">AVERAGE(OFFSET($AM$3,0,0,'Données projet'!$E$10+1,1))-AVERAGE(OFFSET($H$3,0,0,'Données projet'!$E$10+1,1))</f>
        <v>335.71510570470264</v>
      </c>
      <c r="AO78" s="62">
        <f t="shared" si="90"/>
        <v>401.61823018046482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7.3463720150124896</v>
      </c>
      <c r="AW78" s="23">
        <f>EXP(-LN(2)/2)*AW77+(1-EXP(-LN(2)/2))/(LN(2)/2)*AQ78*AT78*VLOOKUP('Données projet'!$B$10,Paramètres!$A$1:$I$89,3,0)*0.475*44/12</f>
        <v>3.079502995930582E-6</v>
      </c>
      <c r="AX78" s="23">
        <f t="shared" si="60"/>
        <v>7.3463750945154853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65.222652310056986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312</v>
      </c>
      <c r="BB78" s="13">
        <f>VLOOKUP(A78,'Données projet'!$A$87:$I$107,9,0)</f>
        <v>7.6</v>
      </c>
      <c r="BC78" s="13">
        <f t="array" ref="BC78">INDEX(BB:BB,MIN(IF(ISNUMBER(BB78:BB274),ROW(BB78:BB274),"")))</f>
        <v>7.6</v>
      </c>
      <c r="BD78" s="13">
        <f>IF('Données projet'!$A$88&gt;35,BD77+BC78-BL77,IF(A78&lt;'Données projet'!$A$88,$BA$205^A78,IF(A78='Données projet'!$A$88,'Données projet'!$B$88,BD77+BC78-BL77)))</f>
        <v>312.00000000000006</v>
      </c>
      <c r="BE78" s="14">
        <f>BD78*VLOOKUP('Données projet'!$B$11,Paramètres!$A$1:$I$89,3,0)*VLOOKUP('Données projet'!$B$11,Paramètres!$A$1:$I$89,5,0)</f>
        <v>282.29760000000005</v>
      </c>
      <c r="BF78" s="14">
        <f t="shared" si="91"/>
        <v>67.452326629470178</v>
      </c>
      <c r="BG78" s="22">
        <f t="shared" si="61"/>
        <v>609.14778887966054</v>
      </c>
      <c r="BH78" s="62">
        <f t="shared" si="62"/>
        <v>884.96418068320281</v>
      </c>
      <c r="BI78" s="62">
        <f ca="1">AVERAGE(OFFSET($BH$3,0,0,'Données projet'!$E$11+1,1))-AVERAGE(OFFSET($H$3,0,0,'Données projet'!$E$11+1,1))</f>
        <v>462.677457131175</v>
      </c>
      <c r="BJ78" s="62">
        <f t="shared" si="92"/>
        <v>291.78368401945909</v>
      </c>
      <c r="BK78" s="16">
        <f>IF(ISNA(VLOOKUP(A78,'Données projet'!$A$87:$I$107,3,0)),0,VLOOKUP(A78,'Données projet'!$A$87:$I$107,3,0))</f>
        <v>12</v>
      </c>
      <c r="BL78" s="16">
        <f>IF(ISNA(VLOOKUP(A78,'Données projet'!$A$87:$I$107,4,0)),0,VLOOKUP(A78,'Données projet'!$A$87:$I$107,4,0))</f>
        <v>28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2.6220305386682221</v>
      </c>
      <c r="BR78" s="23">
        <f>EXP(-LN(2)/2)*BR77+(1-EXP(-LN(2)/2))/(LN(2)/2)*BL78*BO78*VLOOKUP('Données projet'!$B$11,Paramètres!$A$1:$I$89,3,0)*0.475*44/12</f>
        <v>2.513600053102962E-6</v>
      </c>
      <c r="BS78" s="24">
        <f t="shared" si="63"/>
        <v>2.6220330522682751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65.222652310056986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-5.6843418860808015E-14</v>
      </c>
      <c r="BZ78" s="14">
        <f>BY78*VLOOKUP('Données projet'!$B$12,Paramètres!$A$1:$I$89,3,0)*VLOOKUP('Données projet'!$B$12,Paramètres!$A$1:$I$89,5,0)</f>
        <v>-3.1036506698001178E-14</v>
      </c>
      <c r="CA78" s="14" t="e">
        <f t="shared" si="93"/>
        <v>#NUM!</v>
      </c>
      <c r="CB78" s="22" t="e">
        <f t="shared" si="64"/>
        <v>#NUM!</v>
      </c>
      <c r="CC78" s="62" t="e">
        <f t="shared" si="65"/>
        <v>#NUM!</v>
      </c>
      <c r="CD78" s="62">
        <f ca="1">AVERAGE(OFFSET($CC$3,0,0,'Données projet'!$E$12+1,1))-AVERAGE(OFFSET($H$3,0,0,'Données projet'!$E$12+1,1))</f>
        <v>302.37244372118971</v>
      </c>
      <c r="CE78" s="62">
        <f t="shared" si="94"/>
        <v>439.56450354660171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3.0915863366589327</v>
      </c>
      <c r="CL78" s="23">
        <f>EXP(-LN(2)/25)*CL77+(1-EXP(-LN(2)/25))/(LN(2)/25)*Calculateur!CG78*Calculateur!CI78*VLOOKUP('Données projet'!$B$12,Paramètres!$A$1:$I$89,3,0)*0.475*44/12</f>
        <v>4.8541125573571442</v>
      </c>
      <c r="CM78" s="23">
        <f>EXP(-LN(2)/2)*CM77+(1-EXP(-LN(2)/2))/(LN(2)/2)*CG78*CJ78*VLOOKUP('Données projet'!$B$12,Paramètres!$A$1:$I$89,3,0)*0.475*44/12</f>
        <v>2.7060103616379791E-6</v>
      </c>
      <c r="CN78" s="24">
        <f t="shared" si="66"/>
        <v>7.9457016000264389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65.222652310056986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230</v>
      </c>
      <c r="CR78" s="13">
        <f>VLOOKUP(A78,'Données projet'!$A$139:$I$159,9,0)</f>
        <v>4</v>
      </c>
      <c r="CS78" s="13">
        <f t="array" ref="CS78">INDEX(CR:CR,MIN(IF(ISNUMBER(CR78:CR274),ROW(CR78:CR274),"")))</f>
        <v>4</v>
      </c>
      <c r="CT78" s="13">
        <f>IF('Données projet'!$A$140&gt;35,CT77+CS78-DB77,IF(A78&lt;'Données projet'!$A$140,$CQ$205^A78,IF(A78='Données projet'!$A$140,'Données projet'!$B$140,CT77+CS78-DB77)))</f>
        <v>229.99999999999994</v>
      </c>
      <c r="CU78" s="18">
        <f>CT78*VLOOKUP('Données projet'!$B$13,Paramètres!$A$1:$I$89,3,0)*VLOOKUP('Données projet'!$B$13,Paramètres!$A$1:$I$89,5,0)</f>
        <v>168.63599999999994</v>
      </c>
      <c r="CV78" s="14">
        <f t="shared" si="95"/>
        <v>42.784389877117853</v>
      </c>
      <c r="CW78" s="22">
        <f t="shared" si="67"/>
        <v>368.22384570264688</v>
      </c>
      <c r="CX78" s="62">
        <f t="shared" si="68"/>
        <v>644.04023750618921</v>
      </c>
      <c r="CY78" s="62">
        <f ca="1">AVERAGE(OFFSET($CX$3,0,0,'Données projet'!$E$13+1,1))-AVERAGE(OFFSET($H$3,0,0,'Données projet'!$E$13+1,1))</f>
        <v>300.12722359176314</v>
      </c>
      <c r="CZ78" s="62">
        <f t="shared" si="96"/>
        <v>313.35115626175946</v>
      </c>
      <c r="DA78" s="16">
        <f>IF(ISNA(VLOOKUP(A78,'Données projet'!$A$139:$I$159,3,0)),0,VLOOKUP(A78,'Données projet'!$A$139:$I$159,3,0))</f>
        <v>12</v>
      </c>
      <c r="DB78" s="16">
        <f>IF(ISNA(VLOOKUP(A78,'Données projet'!$A$139:$I$159,4,0)),0,VLOOKUP(A78,'Données projet'!$A$139:$I$159,4,0))</f>
        <v>15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3.4499424663358425</v>
      </c>
      <c r="DH78" s="23">
        <f>EXP(-LN(2)/2)*DH77+(1-EXP(-LN(2)/2))/(LN(2)/2)*DB78*DE78*VLOOKUP('Données projet'!$B$13,Paramètres!$A$1:$I$89,3,0)*0.475*44/12</f>
        <v>2.5390288435343544E-6</v>
      </c>
      <c r="DI78" s="24">
        <f t="shared" si="69"/>
        <v>3.4499450053646861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65.222652310056986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65.222652310056986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65.222652310056986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65.222652310056986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65.222652310056986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3.55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13.016666666666666</v>
      </c>
      <c r="H79" s="70">
        <f t="shared" si="56"/>
        <v>204.6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65.305528611928111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-2.2737367544323206E-13</v>
      </c>
      <c r="O79" s="14">
        <f>N79*VLOOKUP('Données projet'!$B$9,Paramètres!$A$1:$I$89,3,0)*VLOOKUP('Données projet'!$B$9,Paramètres!$A$1:$I$89,5,0)</f>
        <v>-1.2710188457276673E-13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455.44531340185631</v>
      </c>
      <c r="T79" s="62">
        <f t="shared" si="88"/>
        <v>560.14861617544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4.3447047809968424</v>
      </c>
      <c r="AA79" s="23">
        <f>EXP(-LN(2)/25)*AA78+(1-EXP(-LN(2)/25))/(LN(2)/25)*Calculateur!V79*Calculateur!X79*VLOOKUP('Données projet'!$B$9,Paramètres!$A$1:$I$89,3,0)*0.475*44/12</f>
        <v>3.97201281443779</v>
      </c>
      <c r="AB79" s="23">
        <f>EXP(-LN(2)/2)*AB78+(1-EXP(-LN(2)/2))/(LN(2)/2)*V79*Y79*VLOOKUP('Données projet'!$B$9,Paramètres!$A$1:$I$89,3,0)*0.475*44/12</f>
        <v>1.5824040961637883E-6</v>
      </c>
      <c r="AC79" s="24">
        <f t="shared" si="57"/>
        <v>8.3167191778387277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65.305528611928111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1.9895196601282805E-13</v>
      </c>
      <c r="AJ79" s="14">
        <f>AI79*VLOOKUP('Données projet'!$B$10,Paramètres!$A$1:$I$89,3,0)*VLOOKUP('Données projet'!$B$10,Paramètres!$A$1:$I$89,5,0)</f>
        <v>1.738044375088066E-13</v>
      </c>
      <c r="AK79" s="14">
        <f t="shared" si="89"/>
        <v>2.4483293633950478E-12</v>
      </c>
      <c r="AL79" s="22">
        <f t="shared" si="58"/>
        <v>4.566883036574213E-12</v>
      </c>
      <c r="AM79" s="62">
        <f t="shared" si="59"/>
        <v>276.12027157707428</v>
      </c>
      <c r="AN79" s="62">
        <f ca="1">AVERAGE(OFFSET($AM$3,0,0,'Données projet'!$E$10+1,1))-AVERAGE(OFFSET($H$3,0,0,'Données projet'!$E$10+1,1))</f>
        <v>335.71510570470264</v>
      </c>
      <c r="AO79" s="62">
        <f t="shared" si="90"/>
        <v>401.61823018046482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7.1454850859330588</v>
      </c>
      <c r="AW79" s="23">
        <f>EXP(-LN(2)/2)*AW78+(1-EXP(-LN(2)/2))/(LN(2)/2)*AQ79*AT79*VLOOKUP('Données projet'!$B$10,Paramètres!$A$1:$I$89,3,0)*0.475*44/12</f>
        <v>2.1775374511068036E-6</v>
      </c>
      <c r="AX79" s="23">
        <f t="shared" si="60"/>
        <v>7.1454872634705096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65.305528611928111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7.2</v>
      </c>
      <c r="BD79" s="13">
        <f>IF('Données projet'!$A$88&gt;35,BD78+BC79-BL78,IF(A79&lt;'Données projet'!$A$88,$BA$205^A79,IF(A79='Données projet'!$A$88,'Données projet'!$B$88,BD78+BC79-BL78)))</f>
        <v>291.20000000000005</v>
      </c>
      <c r="BE79" s="14">
        <f>BD79*VLOOKUP('Données projet'!$B$11,Paramètres!$A$1:$I$89,3,0)*VLOOKUP('Données projet'!$B$11,Paramètres!$A$1:$I$89,5,0)</f>
        <v>263.47776000000005</v>
      </c>
      <c r="BF79" s="14">
        <f t="shared" si="91"/>
        <v>63.46312159763346</v>
      </c>
      <c r="BG79" s="22">
        <f t="shared" si="61"/>
        <v>569.42203544921165</v>
      </c>
      <c r="BH79" s="62">
        <f t="shared" si="62"/>
        <v>845.54230702628138</v>
      </c>
      <c r="BI79" s="62">
        <f ca="1">AVERAGE(OFFSET($BH$3,0,0,'Données projet'!$E$11+1,1))-AVERAGE(OFFSET($H$3,0,0,'Données projet'!$E$11+1,1))</f>
        <v>462.677457131175</v>
      </c>
      <c r="BJ79" s="62">
        <f t="shared" si="92"/>
        <v>291.78368401945909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2.5503309757017463</v>
      </c>
      <c r="BR79" s="23">
        <f>EXP(-LN(2)/2)*BR78+(1-EXP(-LN(2)/2))/(LN(2)/2)*BL79*BO79*VLOOKUP('Données projet'!$B$11,Paramètres!$A$1:$I$89,3,0)*0.475*44/12</f>
        <v>1.7773836427399704E-6</v>
      </c>
      <c r="BS79" s="24">
        <f t="shared" si="63"/>
        <v>2.5503327530853892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65.305528611928111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-5.6843418860808015E-14</v>
      </c>
      <c r="BZ79" s="14">
        <f>BY79*VLOOKUP('Données projet'!$B$12,Paramètres!$A$1:$I$89,3,0)*VLOOKUP('Données projet'!$B$12,Paramètres!$A$1:$I$89,5,0)</f>
        <v>-3.1036506698001178E-14</v>
      </c>
      <c r="CA79" s="14" t="e">
        <f t="shared" si="93"/>
        <v>#NUM!</v>
      </c>
      <c r="CB79" s="22" t="e">
        <f t="shared" si="64"/>
        <v>#NUM!</v>
      </c>
      <c r="CC79" s="62" t="e">
        <f t="shared" si="65"/>
        <v>#NUM!</v>
      </c>
      <c r="CD79" s="62">
        <f ca="1">AVERAGE(OFFSET($CC$3,0,0,'Données projet'!$E$12+1,1))-AVERAGE(OFFSET($H$3,0,0,'Données projet'!$E$12+1,1))</f>
        <v>302.37244372118971</v>
      </c>
      <c r="CE79" s="62">
        <f t="shared" si="94"/>
        <v>439.56450354660171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3.0309622142785209</v>
      </c>
      <c r="CL79" s="23">
        <f>EXP(-LN(2)/25)*CL78+(1-EXP(-LN(2)/25))/(LN(2)/25)*Calculateur!CG79*Calculateur!CI79*VLOOKUP('Données projet'!$B$12,Paramètres!$A$1:$I$89,3,0)*0.475*44/12</f>
        <v>4.721376594209528</v>
      </c>
      <c r="CM79" s="23">
        <f>EXP(-LN(2)/2)*CM78+(1-EXP(-LN(2)/2))/(LN(2)/2)*CG79*CJ79*VLOOKUP('Données projet'!$B$12,Paramètres!$A$1:$I$89,3,0)*0.475*44/12</f>
        <v>1.9134382766752768E-6</v>
      </c>
      <c r="CN79" s="24">
        <f t="shared" si="66"/>
        <v>7.7523407219263252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65.305528611928111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3.4</v>
      </c>
      <c r="CT79" s="13">
        <f>IF('Données projet'!$A$140&gt;35,CT78+CS79-DB78,IF(A79&lt;'Données projet'!$A$140,$CQ$205^A79,IF(A79='Données projet'!$A$140,'Données projet'!$B$140,CT78+CS79-DB78)))</f>
        <v>218.39999999999995</v>
      </c>
      <c r="CU79" s="18">
        <f>CT79*VLOOKUP('Données projet'!$B$13,Paramètres!$A$1:$I$89,3,0)*VLOOKUP('Données projet'!$B$13,Paramètres!$A$1:$I$89,5,0)</f>
        <v>160.13087999999996</v>
      </c>
      <c r="CV79" s="14">
        <f t="shared" si="95"/>
        <v>40.872034351060186</v>
      </c>
      <c r="CW79" s="22">
        <f t="shared" si="67"/>
        <v>350.08007582809643</v>
      </c>
      <c r="CX79" s="62">
        <f t="shared" si="68"/>
        <v>626.20034740516621</v>
      </c>
      <c r="CY79" s="62">
        <f ca="1">AVERAGE(OFFSET($CX$3,0,0,'Données projet'!$E$13+1,1))-AVERAGE(OFFSET($H$3,0,0,'Données projet'!$E$13+1,1))</f>
        <v>300.12722359176314</v>
      </c>
      <c r="CZ79" s="62">
        <f t="shared" si="96"/>
        <v>313.35115626175946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3.3556036081692997</v>
      </c>
      <c r="DH79" s="23">
        <f>EXP(-LN(2)/2)*DH78+(1-EXP(-LN(2)/2))/(LN(2)/2)*DB79*DE79*VLOOKUP('Données projet'!$B$13,Paramètres!$A$1:$I$89,3,0)*0.475*44/12</f>
        <v>1.7953645128913796E-6</v>
      </c>
      <c r="DI79" s="24">
        <f t="shared" si="69"/>
        <v>3.3556054035338128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65.305528611928111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65.305528611928111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65.305528611928111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65.305528611928111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65.305528611928111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3.55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13.016666666666666</v>
      </c>
      <c r="H80" s="70">
        <f t="shared" si="56"/>
        <v>204.6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65.386967195245447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-2.2737367544323206E-13</v>
      </c>
      <c r="O80" s="14">
        <f>N80*VLOOKUP('Données projet'!$B$9,Paramètres!$A$1:$I$89,3,0)*VLOOKUP('Données projet'!$B$9,Paramètres!$A$1:$I$89,5,0)</f>
        <v>-1.2710188457276673E-13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455.44531340185631</v>
      </c>
      <c r="T80" s="62">
        <f t="shared" si="88"/>
        <v>560.14861617544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4.2595077702497441</v>
      </c>
      <c r="AA80" s="23">
        <f>EXP(-LN(2)/25)*AA79+(1-EXP(-LN(2)/25))/(LN(2)/25)*Calculateur!V80*Calculateur!X80*VLOOKUP('Données projet'!$B$9,Paramètres!$A$1:$I$89,3,0)*0.475*44/12</f>
        <v>3.863397915147913</v>
      </c>
      <c r="AB80" s="23">
        <f>EXP(-LN(2)/2)*AB79+(1-EXP(-LN(2)/2))/(LN(2)/2)*V80*Y80*VLOOKUP('Données projet'!$B$9,Paramètres!$A$1:$I$89,3,0)*0.475*44/12</f>
        <v>1.1189286669747844E-6</v>
      </c>
      <c r="AC80" s="24">
        <f t="shared" si="57"/>
        <v>8.1229068043263251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65.386967195245447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1.9895196601282805E-13</v>
      </c>
      <c r="AJ80" s="14">
        <f>AI80*VLOOKUP('Données projet'!$B$10,Paramètres!$A$1:$I$89,3,0)*VLOOKUP('Données projet'!$B$10,Paramètres!$A$1:$I$89,5,0)</f>
        <v>1.738044375088066E-13</v>
      </c>
      <c r="AK80" s="14">
        <f t="shared" si="89"/>
        <v>2.4483293633950478E-12</v>
      </c>
      <c r="AL80" s="22">
        <f t="shared" si="58"/>
        <v>4.566883036574213E-12</v>
      </c>
      <c r="AM80" s="62">
        <f t="shared" si="59"/>
        <v>276.41887971590455</v>
      </c>
      <c r="AN80" s="62">
        <f ca="1">AVERAGE(OFFSET($AM$3,0,0,'Données projet'!$E$10+1,1))-AVERAGE(OFFSET($H$3,0,0,'Données projet'!$E$10+1,1))</f>
        <v>335.71510570470264</v>
      </c>
      <c r="AO80" s="62">
        <f t="shared" si="90"/>
        <v>401.61823018046482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6.9500914204934894</v>
      </c>
      <c r="AW80" s="23">
        <f>EXP(-LN(2)/2)*AW79+(1-EXP(-LN(2)/2))/(LN(2)/2)*AQ80*AT80*VLOOKUP('Données projet'!$B$10,Paramètres!$A$1:$I$89,3,0)*0.475*44/12</f>
        <v>1.539751497965291E-6</v>
      </c>
      <c r="AX80" s="23">
        <f t="shared" si="60"/>
        <v>6.9500929602449872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65.386967195245447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7.2</v>
      </c>
      <c r="BD80" s="13">
        <f>IF('Données projet'!$A$88&gt;35,BD79+BC80-BL79,IF(A80&lt;'Données projet'!$A$88,$BA$205^A80,IF(A80='Données projet'!$A$88,'Données projet'!$B$88,BD79+BC80-BL79)))</f>
        <v>298.40000000000003</v>
      </c>
      <c r="BE80" s="14">
        <f>BD80*VLOOKUP('Données projet'!$B$11,Paramètres!$A$1:$I$89,3,0)*VLOOKUP('Données projet'!$B$11,Paramètres!$A$1:$I$89,5,0)</f>
        <v>269.99232000000001</v>
      </c>
      <c r="BF80" s="14">
        <f t="shared" si="91"/>
        <v>64.847639395310296</v>
      </c>
      <c r="BG80" s="22">
        <f t="shared" si="61"/>
        <v>583.17959594683214</v>
      </c>
      <c r="BH80" s="62">
        <f t="shared" si="62"/>
        <v>859.5984756627322</v>
      </c>
      <c r="BI80" s="62">
        <f ca="1">AVERAGE(OFFSET($BH$3,0,0,'Données projet'!$E$11+1,1))-AVERAGE(OFFSET($H$3,0,0,'Données projet'!$E$11+1,1))</f>
        <v>462.677457131175</v>
      </c>
      <c r="BJ80" s="62">
        <f t="shared" si="92"/>
        <v>291.78368401945909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2.4805920410551048</v>
      </c>
      <c r="BR80" s="23">
        <f>EXP(-LN(2)/2)*BR79+(1-EXP(-LN(2)/2))/(LN(2)/2)*BL80*BO80*VLOOKUP('Données projet'!$B$11,Paramètres!$A$1:$I$89,3,0)*0.475*44/12</f>
        <v>1.256800026551481E-6</v>
      </c>
      <c r="BS80" s="24">
        <f t="shared" si="63"/>
        <v>2.4805932978551315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65.386967195245447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-5.6843418860808015E-14</v>
      </c>
      <c r="BZ80" s="14">
        <f>BY80*VLOOKUP('Données projet'!$B$12,Paramètres!$A$1:$I$89,3,0)*VLOOKUP('Données projet'!$B$12,Paramètres!$A$1:$I$89,5,0)</f>
        <v>-3.1036506698001178E-14</v>
      </c>
      <c r="CA80" s="14" t="e">
        <f t="shared" si="93"/>
        <v>#NUM!</v>
      </c>
      <c r="CB80" s="22" t="e">
        <f t="shared" si="64"/>
        <v>#NUM!</v>
      </c>
      <c r="CC80" s="62" t="e">
        <f t="shared" si="65"/>
        <v>#NUM!</v>
      </c>
      <c r="CD80" s="62">
        <f ca="1">AVERAGE(OFFSET($CC$3,0,0,'Données projet'!$E$12+1,1))-AVERAGE(OFFSET($H$3,0,0,'Données projet'!$E$12+1,1))</f>
        <v>302.37244372118971</v>
      </c>
      <c r="CE80" s="62">
        <f t="shared" si="94"/>
        <v>439.56450354660171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2.9715268939609252</v>
      </c>
      <c r="CL80" s="23">
        <f>EXP(-LN(2)/25)*CL79+(1-EXP(-LN(2)/25))/(LN(2)/25)*Calculateur!CG80*Calculateur!CI80*VLOOKUP('Données projet'!$B$12,Paramètres!$A$1:$I$89,3,0)*0.475*44/12</f>
        <v>4.5922703029544643</v>
      </c>
      <c r="CM80" s="23">
        <f>EXP(-LN(2)/2)*CM79+(1-EXP(-LN(2)/2))/(LN(2)/2)*CG80*CJ80*VLOOKUP('Données projet'!$B$12,Paramètres!$A$1:$I$89,3,0)*0.475*44/12</f>
        <v>1.3530051808189895E-6</v>
      </c>
      <c r="CN80" s="24">
        <f t="shared" si="66"/>
        <v>7.5637985499205707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65.386967195245447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3.4</v>
      </c>
      <c r="CT80" s="13">
        <f>IF('Données projet'!$A$140&gt;35,CT79+CS80-DB79,IF(A80&lt;'Données projet'!$A$140,$CQ$205^A80,IF(A80='Données projet'!$A$140,'Données projet'!$B$140,CT79+CS80-DB79)))</f>
        <v>221.79999999999995</v>
      </c>
      <c r="CU80" s="18">
        <f>CT80*VLOOKUP('Données projet'!$B$13,Paramètres!$A$1:$I$89,3,0)*VLOOKUP('Données projet'!$B$13,Paramètres!$A$1:$I$89,5,0)</f>
        <v>162.62375999999995</v>
      </c>
      <c r="CV80" s="14">
        <f t="shared" si="95"/>
        <v>41.433750409415111</v>
      </c>
      <c r="CW80" s="22">
        <f t="shared" si="67"/>
        <v>355.40016396306447</v>
      </c>
      <c r="CX80" s="62">
        <f t="shared" si="68"/>
        <v>631.81904367896448</v>
      </c>
      <c r="CY80" s="62">
        <f ca="1">AVERAGE(OFFSET($CX$3,0,0,'Données projet'!$E$13+1,1))-AVERAGE(OFFSET($H$3,0,0,'Données projet'!$E$13+1,1))</f>
        <v>300.12722359176314</v>
      </c>
      <c r="CZ80" s="62">
        <f t="shared" si="96"/>
        <v>313.35115626175946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3.2638444510403857</v>
      </c>
      <c r="DH80" s="23">
        <f>EXP(-LN(2)/2)*DH79+(1-EXP(-LN(2)/2))/(LN(2)/2)*DB80*DE80*VLOOKUP('Données projet'!$B$13,Paramètres!$A$1:$I$89,3,0)*0.475*44/12</f>
        <v>1.2695144217671772E-6</v>
      </c>
      <c r="DI80" s="24">
        <f t="shared" si="69"/>
        <v>3.2638457205548073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65.386967195245447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65.386967195245447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65.386967195245447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65.386967195245447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65.386967195245447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3.55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13.016666666666666</v>
      </c>
      <c r="H81" s="70">
        <f t="shared" si="56"/>
        <v>204.6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65.46699300121162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-2.2737367544323206E-13</v>
      </c>
      <c r="O81" s="14">
        <f>N81*VLOOKUP('Données projet'!$B$9,Paramètres!$A$1:$I$89,3,0)*VLOOKUP('Données projet'!$B$9,Paramètres!$A$1:$I$89,5,0)</f>
        <v>-1.2710188457276673E-13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455.44531340185631</v>
      </c>
      <c r="T81" s="62">
        <f t="shared" si="88"/>
        <v>560.14861617544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4.175981420918351</v>
      </c>
      <c r="AA81" s="23">
        <f>EXP(-LN(2)/25)*AA80+(1-EXP(-LN(2)/25))/(LN(2)/25)*Calculateur!V81*Calculateur!X81*VLOOKUP('Données projet'!$B$9,Paramètres!$A$1:$I$89,3,0)*0.475*44/12</f>
        <v>3.7577530959909269</v>
      </c>
      <c r="AB81" s="23">
        <f>EXP(-LN(2)/2)*AB80+(1-EXP(-LN(2)/2))/(LN(2)/2)*V81*Y81*VLOOKUP('Données projet'!$B$9,Paramètres!$A$1:$I$89,3,0)*0.475*44/12</f>
        <v>7.9120204808189417E-7</v>
      </c>
      <c r="AC81" s="24">
        <f t="shared" si="57"/>
        <v>7.9337353081113253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65.46699300121162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1.9895196601282805E-13</v>
      </c>
      <c r="AJ81" s="14">
        <f>AI81*VLOOKUP('Données projet'!$B$10,Paramètres!$A$1:$I$89,3,0)*VLOOKUP('Données projet'!$B$10,Paramètres!$A$1:$I$89,5,0)</f>
        <v>1.738044375088066E-13</v>
      </c>
      <c r="AK81" s="14">
        <f t="shared" si="89"/>
        <v>2.4483293633950478E-12</v>
      </c>
      <c r="AL81" s="22">
        <f t="shared" si="58"/>
        <v>4.566883036574213E-12</v>
      </c>
      <c r="AM81" s="62">
        <f t="shared" si="59"/>
        <v>276.71230767111382</v>
      </c>
      <c r="AN81" s="62">
        <f ca="1">AVERAGE(OFFSET($AM$3,0,0,'Données projet'!$E$10+1,1))-AVERAGE(OFFSET($H$3,0,0,'Données projet'!$E$10+1,1))</f>
        <v>335.71510570470264</v>
      </c>
      <c r="AO81" s="62">
        <f t="shared" si="90"/>
        <v>401.61823018046482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6.7600408051106715</v>
      </c>
      <c r="AW81" s="23">
        <f>EXP(-LN(2)/2)*AW80+(1-EXP(-LN(2)/2))/(LN(2)/2)*AQ81*AT81*VLOOKUP('Données projet'!$B$10,Paramètres!$A$1:$I$89,3,0)*0.475*44/12</f>
        <v>1.0887687255534018E-6</v>
      </c>
      <c r="AX81" s="23">
        <f t="shared" si="60"/>
        <v>6.7600418938793974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65.46699300121162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7.2</v>
      </c>
      <c r="BD81" s="13">
        <f>IF('Données projet'!$A$88&gt;35,BD80+BC81-BL80,IF(A81&lt;'Données projet'!$A$88,$BA$205^A81,IF(A81='Données projet'!$A$88,'Données projet'!$B$88,BD80+BC81-BL80)))</f>
        <v>305.60000000000002</v>
      </c>
      <c r="BE81" s="14">
        <f>BD81*VLOOKUP('Données projet'!$B$11,Paramètres!$A$1:$I$89,3,0)*VLOOKUP('Données projet'!$B$11,Paramètres!$A$1:$I$89,5,0)</f>
        <v>276.50687999999997</v>
      </c>
      <c r="BF81" s="14">
        <f t="shared" si="91"/>
        <v>66.228273722513677</v>
      </c>
      <c r="BG81" s="22">
        <f t="shared" si="61"/>
        <v>596.93039273337797</v>
      </c>
      <c r="BH81" s="62">
        <f t="shared" si="62"/>
        <v>873.64270040448719</v>
      </c>
      <c r="BI81" s="62">
        <f ca="1">AVERAGE(OFFSET($BH$3,0,0,'Données projet'!$E$11+1,1))-AVERAGE(OFFSET($H$3,0,0,'Données projet'!$E$11+1,1))</f>
        <v>462.677457131175</v>
      </c>
      <c r="BJ81" s="62">
        <f t="shared" si="92"/>
        <v>291.78368401945909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2.412760121243787</v>
      </c>
      <c r="BR81" s="23">
        <f>EXP(-LN(2)/2)*BR80+(1-EXP(-LN(2)/2))/(LN(2)/2)*BL81*BO81*VLOOKUP('Données projet'!$B$11,Paramètres!$A$1:$I$89,3,0)*0.475*44/12</f>
        <v>8.886918213699852E-7</v>
      </c>
      <c r="BS81" s="24">
        <f t="shared" si="63"/>
        <v>2.4127610099356085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65.46699300121162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-5.6843418860808015E-14</v>
      </c>
      <c r="BZ81" s="14">
        <f>BY81*VLOOKUP('Données projet'!$B$12,Paramètres!$A$1:$I$89,3,0)*VLOOKUP('Données projet'!$B$12,Paramètres!$A$1:$I$89,5,0)</f>
        <v>-3.1036506698001178E-14</v>
      </c>
      <c r="CA81" s="14" t="e">
        <f t="shared" si="93"/>
        <v>#NUM!</v>
      </c>
      <c r="CB81" s="22" t="e">
        <f t="shared" si="64"/>
        <v>#NUM!</v>
      </c>
      <c r="CC81" s="62" t="e">
        <f t="shared" si="65"/>
        <v>#NUM!</v>
      </c>
      <c r="CD81" s="62">
        <f ca="1">AVERAGE(OFFSET($CC$3,0,0,'Données projet'!$E$12+1,1))-AVERAGE(OFFSET($H$3,0,0,'Données projet'!$E$12+1,1))</f>
        <v>302.37244372118971</v>
      </c>
      <c r="CE81" s="62">
        <f t="shared" si="94"/>
        <v>439.56450354660171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2.9132570640227917</v>
      </c>
      <c r="CL81" s="23">
        <f>EXP(-LN(2)/25)*CL80+(1-EXP(-LN(2)/25))/(LN(2)/25)*Calculateur!CG81*Calculateur!CI81*VLOOKUP('Données projet'!$B$12,Paramètres!$A$1:$I$89,3,0)*0.475*44/12</f>
        <v>4.4666944300231748</v>
      </c>
      <c r="CM81" s="23">
        <f>EXP(-LN(2)/2)*CM80+(1-EXP(-LN(2)/2))/(LN(2)/2)*CG81*CJ81*VLOOKUP('Données projet'!$B$12,Paramètres!$A$1:$I$89,3,0)*0.475*44/12</f>
        <v>9.567191383376384E-7</v>
      </c>
      <c r="CN81" s="24">
        <f t="shared" si="66"/>
        <v>7.3799524507651055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65.46699300121162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3.4</v>
      </c>
      <c r="CT81" s="13">
        <f>IF('Données projet'!$A$140&gt;35,CT80+CS81-DB80,IF(A81&lt;'Données projet'!$A$140,$CQ$205^A81,IF(A81='Données projet'!$A$140,'Données projet'!$B$140,CT80+CS81-DB80)))</f>
        <v>225.19999999999996</v>
      </c>
      <c r="CU81" s="18">
        <f>CT81*VLOOKUP('Données projet'!$B$13,Paramètres!$A$1:$I$89,3,0)*VLOOKUP('Données projet'!$B$13,Paramètres!$A$1:$I$89,5,0)</f>
        <v>165.11663999999996</v>
      </c>
      <c r="CV81" s="14">
        <f t="shared" si="95"/>
        <v>41.994465044270093</v>
      </c>
      <c r="CW81" s="22">
        <f t="shared" si="67"/>
        <v>360.71850795210366</v>
      </c>
      <c r="CX81" s="62">
        <f t="shared" si="68"/>
        <v>637.43081562321299</v>
      </c>
      <c r="CY81" s="62">
        <f ca="1">AVERAGE(OFFSET($CX$3,0,0,'Données projet'!$E$13+1,1))-AVERAGE(OFFSET($H$3,0,0,'Données projet'!$E$13+1,1))</f>
        <v>300.12722359176314</v>
      </c>
      <c r="CZ81" s="62">
        <f t="shared" si="96"/>
        <v>313.35115626175946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3.1745944528885661</v>
      </c>
      <c r="DH81" s="23">
        <f>EXP(-LN(2)/2)*DH80+(1-EXP(-LN(2)/2))/(LN(2)/2)*DB81*DE81*VLOOKUP('Données projet'!$B$13,Paramètres!$A$1:$I$89,3,0)*0.475*44/12</f>
        <v>8.9768225644568979E-7</v>
      </c>
      <c r="DI81" s="24">
        <f t="shared" si="69"/>
        <v>3.1745953505708226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65.46699300121162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65.46699300121162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65.46699300121162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65.46699300121162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65.46699300121162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3.55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13.016666666666666</v>
      </c>
      <c r="H82" s="70">
        <f t="shared" si="56"/>
        <v>204.6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65.545630538355169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-2.2737367544323206E-13</v>
      </c>
      <c r="O82" s="14">
        <f>N82*VLOOKUP('Données projet'!$B$9,Paramètres!$A$1:$I$89,3,0)*VLOOKUP('Données projet'!$B$9,Paramètres!$A$1:$I$89,5,0)</f>
        <v>-1.2710188457276673E-13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455.44531340185631</v>
      </c>
      <c r="T82" s="62">
        <f t="shared" si="88"/>
        <v>560.14861617544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4.0940929723513042</v>
      </c>
      <c r="AA82" s="23">
        <f>EXP(-LN(2)/25)*AA81+(1-EXP(-LN(2)/25))/(LN(2)/25)*Calculateur!V82*Calculateur!X82*VLOOKUP('Données projet'!$B$9,Paramètres!$A$1:$I$89,3,0)*0.475*44/12</f>
        <v>3.6549971399694083</v>
      </c>
      <c r="AB82" s="23">
        <f>EXP(-LN(2)/2)*AB81+(1-EXP(-LN(2)/2))/(LN(2)/2)*V82*Y82*VLOOKUP('Données projet'!$B$9,Paramètres!$A$1:$I$89,3,0)*0.475*44/12</f>
        <v>5.5946433348739218E-7</v>
      </c>
      <c r="AC82" s="24">
        <f t="shared" si="57"/>
        <v>7.7490906717850461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65.545630538355169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1.9895196601282805E-13</v>
      </c>
      <c r="AJ82" s="14">
        <f>AI82*VLOOKUP('Données projet'!$B$10,Paramètres!$A$1:$I$89,3,0)*VLOOKUP('Données projet'!$B$10,Paramètres!$A$1:$I$89,5,0)</f>
        <v>1.738044375088066E-13</v>
      </c>
      <c r="AK82" s="14">
        <f t="shared" si="89"/>
        <v>2.4483293633950478E-12</v>
      </c>
      <c r="AL82" s="22">
        <f t="shared" si="58"/>
        <v>4.566883036574213E-12</v>
      </c>
      <c r="AM82" s="62">
        <f t="shared" si="59"/>
        <v>277.0006453073068</v>
      </c>
      <c r="AN82" s="62">
        <f ca="1">AVERAGE(OFFSET($AM$3,0,0,'Données projet'!$E$10+1,1))-AVERAGE(OFFSET($H$3,0,0,'Données projet'!$E$10+1,1))</f>
        <v>335.71510570470264</v>
      </c>
      <c r="AO82" s="62">
        <f t="shared" si="90"/>
        <v>401.61823018046482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6.5751871337998242</v>
      </c>
      <c r="AW82" s="23">
        <f>EXP(-LN(2)/2)*AW81+(1-EXP(-LN(2)/2))/(LN(2)/2)*AQ82*AT82*VLOOKUP('Données projet'!$B$10,Paramètres!$A$1:$I$89,3,0)*0.475*44/12</f>
        <v>7.6987574898264551E-7</v>
      </c>
      <c r="AX82" s="23">
        <f t="shared" si="60"/>
        <v>6.5751879036755732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65.545630538355169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7.2</v>
      </c>
      <c r="BD82" s="13">
        <f>IF('Données projet'!$A$88&gt;35,BD81+BC82-BL81,IF(A82&lt;'Données projet'!$A$88,$BA$205^A82,IF(A82='Données projet'!$A$88,'Données projet'!$B$88,BD81+BC82-BL81)))</f>
        <v>312.8</v>
      </c>
      <c r="BE82" s="14">
        <f>BD82*VLOOKUP('Données projet'!$B$11,Paramètres!$A$1:$I$89,3,0)*VLOOKUP('Données projet'!$B$11,Paramètres!$A$1:$I$89,5,0)</f>
        <v>283.02144000000004</v>
      </c>
      <c r="BF82" s="14">
        <f t="shared" si="91"/>
        <v>67.605126603830598</v>
      </c>
      <c r="BG82" s="22">
        <f t="shared" si="61"/>
        <v>610.67460350167164</v>
      </c>
      <c r="BH82" s="62">
        <f t="shared" si="62"/>
        <v>887.67524880897395</v>
      </c>
      <c r="BI82" s="62">
        <f ca="1">AVERAGE(OFFSET($BH$3,0,0,'Données projet'!$E$11+1,1))-AVERAGE(OFFSET($H$3,0,0,'Données projet'!$E$11+1,1))</f>
        <v>462.677457131175</v>
      </c>
      <c r="BJ82" s="62">
        <f t="shared" si="92"/>
        <v>291.78368401945909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2.3467830688468352</v>
      </c>
      <c r="BR82" s="23">
        <f>EXP(-LN(2)/2)*BR81+(1-EXP(-LN(2)/2))/(LN(2)/2)*BL82*BO82*VLOOKUP('Données projet'!$B$11,Paramètres!$A$1:$I$89,3,0)*0.475*44/12</f>
        <v>6.2840001327574049E-7</v>
      </c>
      <c r="BS82" s="24">
        <f t="shared" si="63"/>
        <v>2.3467836972468485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65.545630538355169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-5.6843418860808015E-14</v>
      </c>
      <c r="BZ82" s="14">
        <f>BY82*VLOOKUP('Données projet'!$B$12,Paramètres!$A$1:$I$89,3,0)*VLOOKUP('Données projet'!$B$12,Paramètres!$A$1:$I$89,5,0)</f>
        <v>-3.1036506698001178E-14</v>
      </c>
      <c r="CA82" s="14" t="e">
        <f t="shared" si="93"/>
        <v>#NUM!</v>
      </c>
      <c r="CB82" s="22" t="e">
        <f t="shared" si="64"/>
        <v>#NUM!</v>
      </c>
      <c r="CC82" s="62" t="e">
        <f t="shared" si="65"/>
        <v>#NUM!</v>
      </c>
      <c r="CD82" s="62">
        <f ca="1">AVERAGE(OFFSET($CC$3,0,0,'Données projet'!$E$12+1,1))-AVERAGE(OFFSET($H$3,0,0,'Données projet'!$E$12+1,1))</f>
        <v>302.37244372118971</v>
      </c>
      <c r="CE82" s="62">
        <f t="shared" si="94"/>
        <v>439.56450354660171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2.8561298699086586</v>
      </c>
      <c r="CL82" s="23">
        <f>EXP(-LN(2)/25)*CL81+(1-EXP(-LN(2)/25))/(LN(2)/25)*Calculateur!CG82*Calculateur!CI82*VLOOKUP('Données projet'!$B$12,Paramètres!$A$1:$I$89,3,0)*0.475*44/12</f>
        <v>4.3445524359409395</v>
      </c>
      <c r="CM82" s="23">
        <f>EXP(-LN(2)/2)*CM81+(1-EXP(-LN(2)/2))/(LN(2)/2)*CG82*CJ82*VLOOKUP('Données projet'!$B$12,Paramètres!$A$1:$I$89,3,0)*0.475*44/12</f>
        <v>6.7650259040949477E-7</v>
      </c>
      <c r="CN82" s="24">
        <f t="shared" si="66"/>
        <v>7.2006829823521894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65.545630538355169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3.4</v>
      </c>
      <c r="CT82" s="13">
        <f>IF('Données projet'!$A$140&gt;35,CT81+CS82-DB81,IF(A82&lt;'Données projet'!$A$140,$CQ$205^A82,IF(A82='Données projet'!$A$140,'Données projet'!$B$140,CT81+CS82-DB81)))</f>
        <v>228.59999999999997</v>
      </c>
      <c r="CU82" s="18">
        <f>CT82*VLOOKUP('Données projet'!$B$13,Paramètres!$A$1:$I$89,3,0)*VLOOKUP('Données projet'!$B$13,Paramètres!$A$1:$I$89,5,0)</f>
        <v>167.60951999999997</v>
      </c>
      <c r="CV82" s="14">
        <f t="shared" si="95"/>
        <v>42.554195121147778</v>
      </c>
      <c r="CW82" s="22">
        <f t="shared" si="67"/>
        <v>366.0351371693323</v>
      </c>
      <c r="CX82" s="62">
        <f t="shared" si="68"/>
        <v>643.03578247663449</v>
      </c>
      <c r="CY82" s="62">
        <f ca="1">AVERAGE(OFFSET($CX$3,0,0,'Données projet'!$E$13+1,1))-AVERAGE(OFFSET($H$3,0,0,'Données projet'!$E$13+1,1))</f>
        <v>300.12722359176314</v>
      </c>
      <c r="CZ82" s="62">
        <f t="shared" si="96"/>
        <v>313.35115626175946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3.0877850006296614</v>
      </c>
      <c r="DH82" s="23">
        <f>EXP(-LN(2)/2)*DH81+(1-EXP(-LN(2)/2))/(LN(2)/2)*DB82*DE82*VLOOKUP('Données projet'!$B$13,Paramètres!$A$1:$I$89,3,0)*0.475*44/12</f>
        <v>6.347572108835886E-7</v>
      </c>
      <c r="DI82" s="24">
        <f t="shared" si="69"/>
        <v>3.0877856353868722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65.545630538355169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65.545630538355169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65.545630538355169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65.545630538355169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65.545630538355169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3.55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13.016666666666666</v>
      </c>
      <c r="H83" s="70">
        <f t="shared" si="56"/>
        <v>204.6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65.622903890036483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-2.2737367544323206E-13</v>
      </c>
      <c r="O83" s="14">
        <f>N83*VLOOKUP('Données projet'!$B$9,Paramètres!$A$1:$I$89,3,0)*VLOOKUP('Données projet'!$B$9,Paramètres!$A$1:$I$89,5,0)</f>
        <v>-1.2710188457276673E-13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455.44531340185631</v>
      </c>
      <c r="T83" s="62">
        <f t="shared" si="88"/>
        <v>560.14861617544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4.0138103063136352</v>
      </c>
      <c r="AA83" s="23">
        <f>EXP(-LN(2)/25)*AA82+(1-EXP(-LN(2)/25))/(LN(2)/25)*Calculateur!V83*Calculateur!X83*VLOOKUP('Données projet'!$B$9,Paramètres!$A$1:$I$89,3,0)*0.475*44/12</f>
        <v>3.555051050968999</v>
      </c>
      <c r="AB83" s="23">
        <f>EXP(-LN(2)/2)*AB82+(1-EXP(-LN(2)/2))/(LN(2)/2)*V83*Y83*VLOOKUP('Données projet'!$B$9,Paramètres!$A$1:$I$89,3,0)*0.475*44/12</f>
        <v>3.9560102404094709E-7</v>
      </c>
      <c r="AC83" s="24">
        <f t="shared" si="57"/>
        <v>7.5688617528836577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65.622903890036483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1.9895196601282805E-13</v>
      </c>
      <c r="AJ83" s="14">
        <f>AI83*VLOOKUP('Données projet'!$B$10,Paramètres!$A$1:$I$89,3,0)*VLOOKUP('Données projet'!$B$10,Paramètres!$A$1:$I$89,5,0)</f>
        <v>1.738044375088066E-13</v>
      </c>
      <c r="AK83" s="14">
        <f t="shared" si="89"/>
        <v>2.4483293633950478E-12</v>
      </c>
      <c r="AL83" s="22">
        <f t="shared" si="58"/>
        <v>4.566883036574213E-12</v>
      </c>
      <c r="AM83" s="62">
        <f t="shared" si="59"/>
        <v>277.28398093013828</v>
      </c>
      <c r="AN83" s="62">
        <f ca="1">AVERAGE(OFFSET($AM$3,0,0,'Données projet'!$E$10+1,1))-AVERAGE(OFFSET($H$3,0,0,'Données projet'!$E$10+1,1))</f>
        <v>335.71510570470264</v>
      </c>
      <c r="AO83" s="62">
        <f t="shared" si="90"/>
        <v>401.61823018046482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6.3953882958520047</v>
      </c>
      <c r="AW83" s="23">
        <f>EXP(-LN(2)/2)*AW82+(1-EXP(-LN(2)/2))/(LN(2)/2)*AQ83*AT83*VLOOKUP('Données projet'!$B$10,Paramètres!$A$1:$I$89,3,0)*0.475*44/12</f>
        <v>5.4438436277670089E-7</v>
      </c>
      <c r="AX83" s="23">
        <f t="shared" si="60"/>
        <v>6.3953888402363672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65.622903890036483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320</v>
      </c>
      <c r="BB83" s="13">
        <f>VLOOKUP(A83,'Données projet'!$A$87:$I$107,9,0)</f>
        <v>7.2</v>
      </c>
      <c r="BC83" s="13">
        <f t="array" ref="BC83">INDEX(BB:BB,MIN(IF(ISNUMBER(BB83:BB279),ROW(BB83:BB279),"")))</f>
        <v>7.2</v>
      </c>
      <c r="BD83" s="13">
        <f>IF('Données projet'!$A$88&gt;35,BD82+BC83-BL82,IF(A83&lt;'Données projet'!$A$88,$BA$205^A83,IF(A83='Données projet'!$A$88,'Données projet'!$B$88,BD82+BC83-BL82)))</f>
        <v>320</v>
      </c>
      <c r="BE83" s="14">
        <f>BD83*VLOOKUP('Données projet'!$B$11,Paramètres!$A$1:$I$89,3,0)*VLOOKUP('Données projet'!$B$11,Paramètres!$A$1:$I$89,5,0)</f>
        <v>289.536</v>
      </c>
      <c r="BF83" s="14">
        <f t="shared" si="91"/>
        <v>68.97829509904436</v>
      </c>
      <c r="BG83" s="22">
        <f t="shared" si="61"/>
        <v>624.41239729750225</v>
      </c>
      <c r="BH83" s="62">
        <f t="shared" si="62"/>
        <v>901.69637822763593</v>
      </c>
      <c r="BI83" s="62">
        <f ca="1">AVERAGE(OFFSET($BH$3,0,0,'Données projet'!$E$11+1,1))-AVERAGE(OFFSET($H$3,0,0,'Données projet'!$E$11+1,1))</f>
        <v>462.677457131175</v>
      </c>
      <c r="BJ83" s="62">
        <f t="shared" si="92"/>
        <v>291.78368401945909</v>
      </c>
      <c r="BK83" s="16">
        <f>IF(ISNA(VLOOKUP(A83,'Données projet'!$A$87:$I$107,3,0)),0,VLOOKUP(A83,'Données projet'!$A$87:$I$107,3,0))</f>
        <v>13</v>
      </c>
      <c r="BL83" s="23">
        <f>IF(ISNA(VLOOKUP(A83,'Données projet'!$A$87:$I$107,4,0)),0,VLOOKUP(A83,'Données projet'!$A$87:$I$107,4,0))</f>
        <v>28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2.2826101624172606</v>
      </c>
      <c r="BR83" s="23">
        <f>EXP(-LN(2)/2)*BR82+(1-EXP(-LN(2)/2))/(LN(2)/2)*BL83*BO83*VLOOKUP('Données projet'!$B$11,Paramètres!$A$1:$I$89,3,0)*0.475*44/12</f>
        <v>4.443459106849926E-7</v>
      </c>
      <c r="BS83" s="24">
        <f t="shared" si="63"/>
        <v>2.2826106067631713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65.622903890036483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-5.6843418860808015E-14</v>
      </c>
      <c r="BZ83" s="14">
        <f>BY83*VLOOKUP('Données projet'!$B$12,Paramètres!$A$1:$I$89,3,0)*VLOOKUP('Données projet'!$B$12,Paramètres!$A$1:$I$89,5,0)</f>
        <v>-3.1036506698001178E-14</v>
      </c>
      <c r="CA83" s="14" t="e">
        <f t="shared" si="93"/>
        <v>#NUM!</v>
      </c>
      <c r="CB83" s="22" t="e">
        <f t="shared" si="64"/>
        <v>#NUM!</v>
      </c>
      <c r="CC83" s="62" t="e">
        <f t="shared" si="65"/>
        <v>#NUM!</v>
      </c>
      <c r="CD83" s="62">
        <f ca="1">AVERAGE(OFFSET($CC$3,0,0,'Données projet'!$E$12+1,1))-AVERAGE(OFFSET($H$3,0,0,'Données projet'!$E$12+1,1))</f>
        <v>302.37244372118971</v>
      </c>
      <c r="CE83" s="62">
        <f t="shared" si="94"/>
        <v>439.56450354660171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2.8001229052269556</v>
      </c>
      <c r="CL83" s="23">
        <f>EXP(-LN(2)/25)*CL82+(1-EXP(-LN(2)/25))/(LN(2)/25)*Calculateur!CG83*Calculateur!CI83*VLOOKUP('Données projet'!$B$12,Paramètres!$A$1:$I$89,3,0)*0.475*44/12</f>
        <v>4.2257504211100514</v>
      </c>
      <c r="CM83" s="23">
        <f>EXP(-LN(2)/2)*CM82+(1-EXP(-LN(2)/2))/(LN(2)/2)*CG83*CJ83*VLOOKUP('Données projet'!$B$12,Paramètres!$A$1:$I$89,3,0)*0.475*44/12</f>
        <v>4.783595691688192E-7</v>
      </c>
      <c r="CN83" s="24">
        <f t="shared" si="66"/>
        <v>7.0258738046965759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65.622903890036483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232</v>
      </c>
      <c r="CR83" s="13">
        <f>VLOOKUP(A83,'Données projet'!$A$139:$I$159,9,0)</f>
        <v>3.4</v>
      </c>
      <c r="CS83" s="13">
        <f t="array" ref="CS83">INDEX(CR:CR,MIN(IF(ISNUMBER(CR83:CR279),ROW(CR83:CR279),"")))</f>
        <v>3.4</v>
      </c>
      <c r="CT83" s="13">
        <f>IF('Données projet'!$A$140&gt;35,CT82+CS83-DB82,IF(A83&lt;'Données projet'!$A$140,$CQ$205^A83,IF(A83='Données projet'!$A$140,'Données projet'!$B$140,CT82+CS83-DB82)))</f>
        <v>231.99999999999997</v>
      </c>
      <c r="CU83" s="18">
        <f>CT83*VLOOKUP('Données projet'!$B$13,Paramètres!$A$1:$I$89,3,0)*VLOOKUP('Données projet'!$B$13,Paramètres!$A$1:$I$89,5,0)</f>
        <v>170.10239999999996</v>
      </c>
      <c r="CV83" s="14">
        <f t="shared" si="95"/>
        <v>43.112956975087329</v>
      </c>
      <c r="CW83" s="22">
        <f t="shared" si="67"/>
        <v>371.3500800649436</v>
      </c>
      <c r="CX83" s="62">
        <f t="shared" si="68"/>
        <v>648.63406099507733</v>
      </c>
      <c r="CY83" s="62">
        <f ca="1">AVERAGE(OFFSET($CX$3,0,0,'Données projet'!$E$13+1,1))-AVERAGE(OFFSET($H$3,0,0,'Données projet'!$E$13+1,1))</f>
        <v>300.12722359176314</v>
      </c>
      <c r="CZ83" s="62">
        <f t="shared" si="96"/>
        <v>313.35115626175946</v>
      </c>
      <c r="DA83" s="16">
        <f>IF(ISNA(VLOOKUP(A83,'Données projet'!$A$139:$I$159,3,0)),0,VLOOKUP(A83,'Données projet'!$A$139:$I$159,3,0))</f>
        <v>13</v>
      </c>
      <c r="DB83" s="16">
        <f>IF(ISNA(VLOOKUP(A83,'Données projet'!$A$139:$I$159,4,0)),0,VLOOKUP(A83,'Données projet'!$A$139:$I$159,4,0))</f>
        <v>13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3.0033493574078873</v>
      </c>
      <c r="DH83" s="23">
        <f>EXP(-LN(2)/2)*DH82+(1-EXP(-LN(2)/2))/(LN(2)/2)*DB83*DE83*VLOOKUP('Données projet'!$B$13,Paramètres!$A$1:$I$89,3,0)*0.475*44/12</f>
        <v>4.488411282228449E-7</v>
      </c>
      <c r="DI83" s="24">
        <f t="shared" si="69"/>
        <v>3.0033498062490156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65.622903890036483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65.622903890036483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65.622903890036483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65.622903890036483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65.622903890036483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3.55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13.016666666666666</v>
      </c>
      <c r="H84" s="70">
        <f t="shared" si="56"/>
        <v>204.6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65.698836721823454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-2.2737367544323206E-13</v>
      </c>
      <c r="O84" s="14">
        <f>N84*VLOOKUP('Données projet'!$B$9,Paramètres!$A$1:$I$89,3,0)*VLOOKUP('Données projet'!$B$9,Paramètres!$A$1:$I$89,5,0)</f>
        <v>-1.2710188457276673E-13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455.44531340185631</v>
      </c>
      <c r="T84" s="62">
        <f t="shared" si="88"/>
        <v>560.14861617544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3.9351019343893738</v>
      </c>
      <c r="AA84" s="23">
        <f>EXP(-LN(2)/25)*AA83+(1-EXP(-LN(2)/25))/(LN(2)/25)*Calculateur!V84*Calculateur!X84*VLOOKUP('Données projet'!$B$9,Paramètres!$A$1:$I$89,3,0)*0.475*44/12</f>
        <v>3.4578379930282419</v>
      </c>
      <c r="AB84" s="23">
        <f>EXP(-LN(2)/2)*AB83+(1-EXP(-LN(2)/2))/(LN(2)/2)*V84*Y84*VLOOKUP('Données projet'!$B$9,Paramètres!$A$1:$I$89,3,0)*0.475*44/12</f>
        <v>2.7973216674369609E-7</v>
      </c>
      <c r="AC84" s="24">
        <f t="shared" si="57"/>
        <v>7.3929402071497821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65.698836721823454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1.9895196601282805E-13</v>
      </c>
      <c r="AJ84" s="14">
        <f>AI84*VLOOKUP('Données projet'!$B$10,Paramètres!$A$1:$I$89,3,0)*VLOOKUP('Données projet'!$B$10,Paramètres!$A$1:$I$89,5,0)</f>
        <v>1.738044375088066E-13</v>
      </c>
      <c r="AK84" s="14">
        <f t="shared" si="89"/>
        <v>2.4483293633950478E-12</v>
      </c>
      <c r="AL84" s="22">
        <f t="shared" si="58"/>
        <v>4.566883036574213E-12</v>
      </c>
      <c r="AM84" s="62">
        <f t="shared" si="59"/>
        <v>277.56240131335721</v>
      </c>
      <c r="AN84" s="62">
        <f ca="1">AVERAGE(OFFSET($AM$3,0,0,'Données projet'!$E$10+1,1))-AVERAGE(OFFSET($H$3,0,0,'Données projet'!$E$10+1,1))</f>
        <v>335.71510570470264</v>
      </c>
      <c r="AO84" s="62">
        <f t="shared" si="90"/>
        <v>401.61823018046482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6.220506066583078</v>
      </c>
      <c r="AW84" s="23">
        <f>EXP(-LN(2)/2)*AW83+(1-EXP(-LN(2)/2))/(LN(2)/2)*AQ84*AT84*VLOOKUP('Données projet'!$B$10,Paramètres!$A$1:$I$89,3,0)*0.475*44/12</f>
        <v>3.8493787449132275E-7</v>
      </c>
      <c r="AX84" s="23">
        <f t="shared" si="60"/>
        <v>6.2205064515209525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65.698836721823454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6.8</v>
      </c>
      <c r="BD84" s="13">
        <f>IF('Données projet'!$A$88&gt;35,BD83+BC84-BL83,IF(A84&lt;'Données projet'!$A$88,$BA$205^A84,IF(A84='Données projet'!$A$88,'Données projet'!$B$88,BD83+BC84-BL83)))</f>
        <v>298.8</v>
      </c>
      <c r="BE84" s="14">
        <f>BD84*VLOOKUP('Données projet'!$B$11,Paramètres!$A$1:$I$89,3,0)*VLOOKUP('Données projet'!$B$11,Paramètres!$A$1:$I$89,5,0)</f>
        <v>270.35424</v>
      </c>
      <c r="BF84" s="14">
        <f t="shared" si="91"/>
        <v>64.924442218534367</v>
      </c>
      <c r="BG84" s="22">
        <f t="shared" si="61"/>
        <v>583.94370486394735</v>
      </c>
      <c r="BH84" s="62">
        <f t="shared" si="62"/>
        <v>861.50610617730001</v>
      </c>
      <c r="BI84" s="62">
        <f ca="1">AVERAGE(OFFSET($BH$3,0,0,'Données projet'!$E$11+1,1))-AVERAGE(OFFSET($H$3,0,0,'Données projet'!$E$11+1,1))</f>
        <v>462.677457131175</v>
      </c>
      <c r="BJ84" s="62">
        <f t="shared" si="92"/>
        <v>291.78368401945909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2.2201920674887092</v>
      </c>
      <c r="BR84" s="23">
        <f>EXP(-LN(2)/2)*BR83+(1-EXP(-LN(2)/2))/(LN(2)/2)*BL84*BO84*VLOOKUP('Données projet'!$B$11,Paramètres!$A$1:$I$89,3,0)*0.475*44/12</f>
        <v>3.1420000663787025E-7</v>
      </c>
      <c r="BS84" s="24">
        <f t="shared" si="63"/>
        <v>2.2201923816887157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65.698836721823454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-5.6843418860808015E-14</v>
      </c>
      <c r="BZ84" s="14">
        <f>BY84*VLOOKUP('Données projet'!$B$12,Paramètres!$A$1:$I$89,3,0)*VLOOKUP('Données projet'!$B$12,Paramètres!$A$1:$I$89,5,0)</f>
        <v>-3.1036506698001178E-14</v>
      </c>
      <c r="CA84" s="14" t="e">
        <f t="shared" si="93"/>
        <v>#NUM!</v>
      </c>
      <c r="CB84" s="22" t="e">
        <f t="shared" si="64"/>
        <v>#NUM!</v>
      </c>
      <c r="CC84" s="62" t="e">
        <f t="shared" si="65"/>
        <v>#NUM!</v>
      </c>
      <c r="CD84" s="62">
        <f ca="1">AVERAGE(OFFSET($CC$3,0,0,'Données projet'!$E$12+1,1))-AVERAGE(OFFSET($H$3,0,0,'Données projet'!$E$12+1,1))</f>
        <v>302.37244372118971</v>
      </c>
      <c r="CE84" s="62">
        <f t="shared" si="94"/>
        <v>439.56450354660171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2.7452142029617854</v>
      </c>
      <c r="CL84" s="23">
        <f>EXP(-LN(2)/25)*CL83+(1-EXP(-LN(2)/25))/(LN(2)/25)*Calculateur!CG84*Calculateur!CI84*VLOOKUP('Données projet'!$B$12,Paramètres!$A$1:$I$89,3,0)*0.475*44/12</f>
        <v>4.1101970536222403</v>
      </c>
      <c r="CM84" s="23">
        <f>EXP(-LN(2)/2)*CM83+(1-EXP(-LN(2)/2))/(LN(2)/2)*CG84*CJ84*VLOOKUP('Données projet'!$B$12,Paramètres!$A$1:$I$89,3,0)*0.475*44/12</f>
        <v>3.3825129520474739E-7</v>
      </c>
      <c r="CN84" s="24">
        <f t="shared" si="66"/>
        <v>6.8554115948353207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65.698836721823454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3</v>
      </c>
      <c r="CT84" s="13">
        <f>IF('Données projet'!$A$140&gt;35,CT83+CS84-DB83,IF(A84&lt;'Données projet'!$A$140,$CQ$205^A84,IF(A84='Données projet'!$A$140,'Données projet'!$B$140,CT83+CS84-DB83)))</f>
        <v>221.99999999999997</v>
      </c>
      <c r="CU84" s="18">
        <f>CT84*VLOOKUP('Données projet'!$B$13,Paramètres!$A$1:$I$89,3,0)*VLOOKUP('Données projet'!$B$13,Paramètres!$A$1:$I$89,5,0)</f>
        <v>162.77039999999997</v>
      </c>
      <c r="CV84" s="14">
        <f t="shared" si="95"/>
        <v>41.466761176934256</v>
      </c>
      <c r="CW84" s="22">
        <f t="shared" si="67"/>
        <v>355.71305571649373</v>
      </c>
      <c r="CX84" s="62">
        <f t="shared" si="68"/>
        <v>633.27545702984639</v>
      </c>
      <c r="CY84" s="62">
        <f ca="1">AVERAGE(OFFSET($CX$3,0,0,'Données projet'!$E$13+1,1))-AVERAGE(OFFSET($H$3,0,0,'Données projet'!$E$13+1,1))</f>
        <v>300.12722359176314</v>
      </c>
      <c r="CZ84" s="62">
        <f t="shared" si="96"/>
        <v>313.35115626175946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2.9212226112902901</v>
      </c>
      <c r="DH84" s="23">
        <f>EXP(-LN(2)/2)*DH83+(1-EXP(-LN(2)/2))/(LN(2)/2)*DB84*DE84*VLOOKUP('Données projet'!$B$13,Paramètres!$A$1:$I$89,3,0)*0.475*44/12</f>
        <v>3.173786054417943E-7</v>
      </c>
      <c r="DI84" s="24">
        <f t="shared" si="69"/>
        <v>2.9212229286688958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65.698836721823454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65.698836721823454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65.698836721823454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65.698836721823454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65.698836721823454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3.55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13.016666666666666</v>
      </c>
      <c r="H85" s="70">
        <f t="shared" si="56"/>
        <v>204.6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65.773452288739293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-2.2737367544323206E-13</v>
      </c>
      <c r="O85" s="14">
        <f>N85*VLOOKUP('Données projet'!$B$9,Paramètres!$A$1:$I$89,3,0)*VLOOKUP('Données projet'!$B$9,Paramètres!$A$1:$I$89,5,0)</f>
        <v>-1.2710188457276673E-13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455.44531340185631</v>
      </c>
      <c r="T85" s="62">
        <f t="shared" si="88"/>
        <v>560.14861617544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3.8579369856311807</v>
      </c>
      <c r="AA85" s="23">
        <f>EXP(-LN(2)/25)*AA84+(1-EXP(-LN(2)/25))/(LN(2)/25)*Calculateur!V85*Calculateur!X85*VLOOKUP('Données projet'!$B$9,Paramètres!$A$1:$I$89,3,0)*0.475*44/12</f>
        <v>3.3632832312690875</v>
      </c>
      <c r="AB85" s="23">
        <f>EXP(-LN(2)/2)*AB84+(1-EXP(-LN(2)/2))/(LN(2)/2)*V85*Y85*VLOOKUP('Données projet'!$B$9,Paramètres!$A$1:$I$89,3,0)*0.475*44/12</f>
        <v>1.9780051202047354E-7</v>
      </c>
      <c r="AC85" s="24">
        <f t="shared" si="57"/>
        <v>7.2212204147007801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65.773452288739293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1.9895196601282805E-13</v>
      </c>
      <c r="AJ85" s="14">
        <f>AI85*VLOOKUP('Données projet'!$B$10,Paramètres!$A$1:$I$89,3,0)*VLOOKUP('Données projet'!$B$10,Paramètres!$A$1:$I$89,5,0)</f>
        <v>1.738044375088066E-13</v>
      </c>
      <c r="AK85" s="14">
        <f t="shared" si="89"/>
        <v>2.4483293633950478E-12</v>
      </c>
      <c r="AL85" s="22">
        <f t="shared" si="58"/>
        <v>4.566883036574213E-12</v>
      </c>
      <c r="AM85" s="62">
        <f t="shared" si="59"/>
        <v>277.83599172538197</v>
      </c>
      <c r="AN85" s="62">
        <f ca="1">AVERAGE(OFFSET($AM$3,0,0,'Données projet'!$E$10+1,1))-AVERAGE(OFFSET($H$3,0,0,'Données projet'!$E$10+1,1))</f>
        <v>335.71510570470264</v>
      </c>
      <c r="AO85" s="62">
        <f t="shared" si="90"/>
        <v>401.61823018046482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6.0504060010701668</v>
      </c>
      <c r="AW85" s="23">
        <f>EXP(-LN(2)/2)*AW84+(1-EXP(-LN(2)/2))/(LN(2)/2)*AQ85*AT85*VLOOKUP('Données projet'!$B$10,Paramètres!$A$1:$I$89,3,0)*0.475*44/12</f>
        <v>2.7219218138835045E-7</v>
      </c>
      <c r="AX85" s="23">
        <f t="shared" si="60"/>
        <v>6.0504062732623485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65.773452288739293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6.8</v>
      </c>
      <c r="BD85" s="13">
        <f>IF('Données projet'!$A$88&gt;35,BD84+BC85-BL84,IF(A85&lt;'Données projet'!$A$88,$BA$205^A85,IF(A85='Données projet'!$A$88,'Données projet'!$B$88,BD84+BC85-BL84)))</f>
        <v>305.60000000000002</v>
      </c>
      <c r="BE85" s="14">
        <f>BD85*VLOOKUP('Données projet'!$B$11,Paramètres!$A$1:$I$89,3,0)*VLOOKUP('Données projet'!$B$11,Paramètres!$A$1:$I$89,5,0)</f>
        <v>276.50687999999997</v>
      </c>
      <c r="BF85" s="14">
        <f t="shared" si="91"/>
        <v>66.228273722513677</v>
      </c>
      <c r="BG85" s="22">
        <f t="shared" si="61"/>
        <v>596.93039273337797</v>
      </c>
      <c r="BH85" s="62">
        <f t="shared" si="62"/>
        <v>874.7663844587554</v>
      </c>
      <c r="BI85" s="62">
        <f ca="1">AVERAGE(OFFSET($BH$3,0,0,'Données projet'!$E$11+1,1))-AVERAGE(OFFSET($H$3,0,0,'Données projet'!$E$11+1,1))</f>
        <v>462.677457131175</v>
      </c>
      <c r="BJ85" s="62">
        <f t="shared" si="92"/>
        <v>291.78368401945909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2.1594807986484041</v>
      </c>
      <c r="BR85" s="23">
        <f>EXP(-LN(2)/2)*BR84+(1-EXP(-LN(2)/2))/(LN(2)/2)*BL85*BO85*VLOOKUP('Données projet'!$B$11,Paramètres!$A$1:$I$89,3,0)*0.475*44/12</f>
        <v>2.221729553424963E-7</v>
      </c>
      <c r="BS85" s="24">
        <f t="shared" si="63"/>
        <v>2.1594810208213593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65.773452288739293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-5.6843418860808015E-14</v>
      </c>
      <c r="BZ85" s="14">
        <f>BY85*VLOOKUP('Données projet'!$B$12,Paramètres!$A$1:$I$89,3,0)*VLOOKUP('Données projet'!$B$12,Paramètres!$A$1:$I$89,5,0)</f>
        <v>-3.1036506698001178E-14</v>
      </c>
      <c r="CA85" s="14" t="e">
        <f t="shared" si="93"/>
        <v>#NUM!</v>
      </c>
      <c r="CB85" s="22" t="e">
        <f t="shared" si="64"/>
        <v>#NUM!</v>
      </c>
      <c r="CC85" s="62" t="e">
        <f t="shared" si="65"/>
        <v>#NUM!</v>
      </c>
      <c r="CD85" s="62">
        <f ca="1">AVERAGE(OFFSET($CC$3,0,0,'Données projet'!$E$12+1,1))-AVERAGE(OFFSET($H$3,0,0,'Données projet'!$E$12+1,1))</f>
        <v>302.37244372118971</v>
      </c>
      <c r="CE85" s="62">
        <f t="shared" si="94"/>
        <v>439.56450354660171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2.691382226857034</v>
      </c>
      <c r="CL85" s="23">
        <f>EXP(-LN(2)/25)*CL84+(1-EXP(-LN(2)/25))/(LN(2)/25)*Calculateur!CG85*Calculateur!CI85*VLOOKUP('Données projet'!$B$12,Paramètres!$A$1:$I$89,3,0)*0.475*44/12</f>
        <v>3.9978034990450713</v>
      </c>
      <c r="CM85" s="23">
        <f>EXP(-LN(2)/2)*CM84+(1-EXP(-LN(2)/2))/(LN(2)/2)*CG85*CJ85*VLOOKUP('Données projet'!$B$12,Paramètres!$A$1:$I$89,3,0)*0.475*44/12</f>
        <v>2.391797845844096E-7</v>
      </c>
      <c r="CN85" s="24">
        <f t="shared" si="66"/>
        <v>6.6891859650818892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65.773452288739293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3</v>
      </c>
      <c r="CT85" s="13">
        <f>IF('Données projet'!$A$140&gt;35,CT84+CS85-DB84,IF(A85&lt;'Données projet'!$A$140,$CQ$205^A85,IF(A85='Données projet'!$A$140,'Données projet'!$B$140,CT84+CS85-DB84)))</f>
        <v>224.99999999999997</v>
      </c>
      <c r="CU85" s="18">
        <f>CT85*VLOOKUP('Données projet'!$B$13,Paramètres!$A$1:$I$89,3,0)*VLOOKUP('Données projet'!$B$13,Paramètres!$A$1:$I$89,5,0)</f>
        <v>164.96999999999997</v>
      </c>
      <c r="CV85" s="14">
        <f t="shared" si="95"/>
        <v>41.961509246867301</v>
      </c>
      <c r="CW85" s="22">
        <f t="shared" si="67"/>
        <v>360.40571193829379</v>
      </c>
      <c r="CX85" s="62">
        <f t="shared" si="68"/>
        <v>638.24170366367116</v>
      </c>
      <c r="CY85" s="62">
        <f ca="1">AVERAGE(OFFSET($CX$3,0,0,'Données projet'!$E$13+1,1))-AVERAGE(OFFSET($H$3,0,0,'Données projet'!$E$13+1,1))</f>
        <v>300.12722359176314</v>
      </c>
      <c r="CZ85" s="62">
        <f t="shared" si="96"/>
        <v>313.35115626175946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2.8413416253641364</v>
      </c>
      <c r="DH85" s="23">
        <f>EXP(-LN(2)/2)*DH84+(1-EXP(-LN(2)/2))/(LN(2)/2)*DB85*DE85*VLOOKUP('Données projet'!$B$13,Paramètres!$A$1:$I$89,3,0)*0.475*44/12</f>
        <v>2.2442056411142245E-7</v>
      </c>
      <c r="DI85" s="24">
        <f t="shared" si="69"/>
        <v>2.8413418497847003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65.773452288739293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65.773452288739293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65.773452288739293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65.773452288739293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65.773452288739293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3.55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13.016666666666666</v>
      </c>
      <c r="H86" s="70">
        <f t="shared" si="56"/>
        <v>204.6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65.846773442384574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-2.2737367544323206E-13</v>
      </c>
      <c r="O86" s="14">
        <f>N86*VLOOKUP('Données projet'!$B$9,Paramètres!$A$1:$I$89,3,0)*VLOOKUP('Données projet'!$B$9,Paramètres!$A$1:$I$89,5,0)</f>
        <v>-1.2710188457276673E-13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455.44531340185631</v>
      </c>
      <c r="T86" s="62">
        <f t="shared" si="88"/>
        <v>560.14861617544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3.782285194452164</v>
      </c>
      <c r="AA86" s="23">
        <f>EXP(-LN(2)/25)*AA85+(1-EXP(-LN(2)/25))/(LN(2)/25)*Calculateur!V86*Calculateur!X86*VLOOKUP('Données projet'!$B$9,Paramètres!$A$1:$I$89,3,0)*0.475*44/12</f>
        <v>3.2713140744426559</v>
      </c>
      <c r="AB86" s="23">
        <f>EXP(-LN(2)/2)*AB85+(1-EXP(-LN(2)/2))/(LN(2)/2)*V86*Y86*VLOOKUP('Données projet'!$B$9,Paramètres!$A$1:$I$89,3,0)*0.475*44/12</f>
        <v>1.3986608337184805E-7</v>
      </c>
      <c r="AC86" s="24">
        <f t="shared" si="57"/>
        <v>7.0535994087609026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65.846773442384574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1.9895196601282805E-13</v>
      </c>
      <c r="AJ86" s="14">
        <f>AI86*VLOOKUP('Données projet'!$B$10,Paramètres!$A$1:$I$89,3,0)*VLOOKUP('Données projet'!$B$10,Paramètres!$A$1:$I$89,5,0)</f>
        <v>1.738044375088066E-13</v>
      </c>
      <c r="AK86" s="14">
        <f t="shared" si="89"/>
        <v>2.4483293633950478E-12</v>
      </c>
      <c r="AL86" s="22">
        <f t="shared" si="58"/>
        <v>4.566883036574213E-12</v>
      </c>
      <c r="AM86" s="62">
        <f t="shared" si="59"/>
        <v>278.10483595541467</v>
      </c>
      <c r="AN86" s="62">
        <f ca="1">AVERAGE(OFFSET($AM$3,0,0,'Données projet'!$E$10+1,1))-AVERAGE(OFFSET($H$3,0,0,'Données projet'!$E$10+1,1))</f>
        <v>335.71510570470264</v>
      </c>
      <c r="AO86" s="62">
        <f t="shared" si="90"/>
        <v>401.61823018046482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5.8849573307938803</v>
      </c>
      <c r="AW86" s="23">
        <f>EXP(-LN(2)/2)*AW85+(1-EXP(-LN(2)/2))/(LN(2)/2)*AQ86*AT86*VLOOKUP('Données projet'!$B$10,Paramètres!$A$1:$I$89,3,0)*0.475*44/12</f>
        <v>1.9246893724566138E-7</v>
      </c>
      <c r="AX86" s="23">
        <f t="shared" si="60"/>
        <v>5.884957523262818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65.846773442384574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6.8</v>
      </c>
      <c r="BD86" s="13">
        <f>IF('Données projet'!$A$88&gt;35,BD85+BC86-BL85,IF(A86&lt;'Données projet'!$A$88,$BA$205^A86,IF(A86='Données projet'!$A$88,'Données projet'!$B$88,BD85+BC86-BL85)))</f>
        <v>312.40000000000003</v>
      </c>
      <c r="BE86" s="14">
        <f>BD86*VLOOKUP('Données projet'!$B$11,Paramètres!$A$1:$I$89,3,0)*VLOOKUP('Données projet'!$B$11,Paramètres!$A$1:$I$89,5,0)</f>
        <v>282.65952000000004</v>
      </c>
      <c r="BF86" s="14">
        <f t="shared" si="91"/>
        <v>67.528732309967324</v>
      </c>
      <c r="BG86" s="22">
        <f t="shared" si="61"/>
        <v>609.91120610652649</v>
      </c>
      <c r="BH86" s="62">
        <f t="shared" si="62"/>
        <v>888.01604206193656</v>
      </c>
      <c r="BI86" s="62">
        <f ca="1">AVERAGE(OFFSET($BH$3,0,0,'Données projet'!$E$11+1,1))-AVERAGE(OFFSET($H$3,0,0,'Données projet'!$E$11+1,1))</f>
        <v>462.677457131175</v>
      </c>
      <c r="BJ86" s="62">
        <f t="shared" si="92"/>
        <v>291.78368401945909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2.1004296826472038</v>
      </c>
      <c r="BR86" s="23">
        <f>EXP(-LN(2)/2)*BR85+(1-EXP(-LN(2)/2))/(LN(2)/2)*BL86*BO86*VLOOKUP('Données projet'!$B$11,Paramètres!$A$1:$I$89,3,0)*0.475*44/12</f>
        <v>1.5710000331893512E-7</v>
      </c>
      <c r="BS86" s="24">
        <f t="shared" si="63"/>
        <v>2.100429839747207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65.846773442384574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-5.6843418860808015E-14</v>
      </c>
      <c r="BZ86" s="14">
        <f>BY86*VLOOKUP('Données projet'!$B$12,Paramètres!$A$1:$I$89,3,0)*VLOOKUP('Données projet'!$B$12,Paramètres!$A$1:$I$89,5,0)</f>
        <v>-3.1036506698001178E-14</v>
      </c>
      <c r="CA86" s="14" t="e">
        <f t="shared" si="93"/>
        <v>#NUM!</v>
      </c>
      <c r="CB86" s="22" t="e">
        <f t="shared" si="64"/>
        <v>#NUM!</v>
      </c>
      <c r="CC86" s="62" t="e">
        <f t="shared" si="65"/>
        <v>#NUM!</v>
      </c>
      <c r="CD86" s="62">
        <f ca="1">AVERAGE(OFFSET($CC$3,0,0,'Données projet'!$E$12+1,1))-AVERAGE(OFFSET($H$3,0,0,'Données projet'!$E$12+1,1))</f>
        <v>302.37244372118971</v>
      </c>
      <c r="CE86" s="62">
        <f t="shared" si="94"/>
        <v>439.56450354660171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2.6386058629694333</v>
      </c>
      <c r="CL86" s="23">
        <f>EXP(-LN(2)/25)*CL85+(1-EXP(-LN(2)/25))/(LN(2)/25)*Calculateur!CG86*Calculateur!CI86*VLOOKUP('Données projet'!$B$12,Paramètres!$A$1:$I$89,3,0)*0.475*44/12</f>
        <v>3.8884833521283348</v>
      </c>
      <c r="CM86" s="23">
        <f>EXP(-LN(2)/2)*CM85+(1-EXP(-LN(2)/2))/(LN(2)/2)*CG86*CJ86*VLOOKUP('Données projet'!$B$12,Paramètres!$A$1:$I$89,3,0)*0.475*44/12</f>
        <v>1.6912564760237369E-7</v>
      </c>
      <c r="CN86" s="24">
        <f t="shared" si="66"/>
        <v>6.5270893842234159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65.846773442384574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3</v>
      </c>
      <c r="CT86" s="13">
        <f>IF('Données projet'!$A$140&gt;35,CT85+CS86-DB85,IF(A86&lt;'Données projet'!$A$140,$CQ$205^A86,IF(A86='Données projet'!$A$140,'Données projet'!$B$140,CT85+CS86-DB85)))</f>
        <v>227.99999999999997</v>
      </c>
      <c r="CU86" s="18">
        <f>CT86*VLOOKUP('Données projet'!$B$13,Paramètres!$A$1:$I$89,3,0)*VLOOKUP('Données projet'!$B$13,Paramètres!$A$1:$I$89,5,0)</f>
        <v>167.16959999999997</v>
      </c>
      <c r="CV86" s="14">
        <f t="shared" si="95"/>
        <v>42.455490039298851</v>
      </c>
      <c r="CW86" s="22">
        <f t="shared" si="67"/>
        <v>365.09703181844543</v>
      </c>
      <c r="CX86" s="62">
        <f t="shared" si="68"/>
        <v>643.20186777385561</v>
      </c>
      <c r="CY86" s="62">
        <f ca="1">AVERAGE(OFFSET($CX$3,0,0,'Données projet'!$E$13+1,1))-AVERAGE(OFFSET($H$3,0,0,'Données projet'!$E$13+1,1))</f>
        <v>300.12722359176314</v>
      </c>
      <c r="CZ86" s="62">
        <f t="shared" si="96"/>
        <v>313.35115626175946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2.7636449891988919</v>
      </c>
      <c r="DH86" s="23">
        <f>EXP(-LN(2)/2)*DH85+(1-EXP(-LN(2)/2))/(LN(2)/2)*DB86*DE86*VLOOKUP('Données projet'!$B$13,Paramètres!$A$1:$I$89,3,0)*0.475*44/12</f>
        <v>1.5868930272089715E-7</v>
      </c>
      <c r="DI86" s="24">
        <f t="shared" si="69"/>
        <v>2.7636451478881945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65.846773442384574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65.846773442384574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65.846773442384574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65.846773442384574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65.846773442384574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3.55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13.016666666666666</v>
      </c>
      <c r="H87" s="70">
        <f t="shared" si="56"/>
        <v>204.6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65.918822637935648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-2.2737367544323206E-13</v>
      </c>
      <c r="O87" s="14">
        <f>N87*VLOOKUP('Données projet'!$B$9,Paramètres!$A$1:$I$89,3,0)*VLOOKUP('Données projet'!$B$9,Paramètres!$A$1:$I$89,5,0)</f>
        <v>-1.2710188457276673E-13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455.44531340185631</v>
      </c>
      <c r="T87" s="62">
        <f t="shared" si="88"/>
        <v>560.14861617544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3.7081168887551317</v>
      </c>
      <c r="AA87" s="23">
        <f>EXP(-LN(2)/25)*AA86+(1-EXP(-LN(2)/25))/(LN(2)/25)*Calculateur!V87*Calculateur!X87*VLOOKUP('Données projet'!$B$9,Paramètres!$A$1:$I$89,3,0)*0.475*44/12</f>
        <v>3.1818598190460912</v>
      </c>
      <c r="AB87" s="23">
        <f>EXP(-LN(2)/2)*AB86+(1-EXP(-LN(2)/2))/(LN(2)/2)*V87*Y87*VLOOKUP('Données projet'!$B$9,Paramètres!$A$1:$I$89,3,0)*0.475*44/12</f>
        <v>9.8900256010236771E-8</v>
      </c>
      <c r="AC87" s="24">
        <f t="shared" si="57"/>
        <v>6.8899768067014788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65.918822637935648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1.9895196601282805E-13</v>
      </c>
      <c r="AJ87" s="14">
        <f>AI87*VLOOKUP('Données projet'!$B$10,Paramètres!$A$1:$I$89,3,0)*VLOOKUP('Données projet'!$B$10,Paramètres!$A$1:$I$89,5,0)</f>
        <v>1.738044375088066E-13</v>
      </c>
      <c r="AK87" s="14">
        <f t="shared" si="89"/>
        <v>2.4483293633950478E-12</v>
      </c>
      <c r="AL87" s="22">
        <f t="shared" si="58"/>
        <v>4.566883036574213E-12</v>
      </c>
      <c r="AM87" s="62">
        <f t="shared" si="59"/>
        <v>278.36901633910196</v>
      </c>
      <c r="AN87" s="62">
        <f ca="1">AVERAGE(OFFSET($AM$3,0,0,'Données projet'!$E$10+1,1))-AVERAGE(OFFSET($H$3,0,0,'Données projet'!$E$10+1,1))</f>
        <v>335.71510570470264</v>
      </c>
      <c r="AO87" s="62">
        <f t="shared" si="90"/>
        <v>401.61823018046482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5.7240328631068662</v>
      </c>
      <c r="AW87" s="23">
        <f>EXP(-LN(2)/2)*AW86+(1-EXP(-LN(2)/2))/(LN(2)/2)*AQ87*AT87*VLOOKUP('Données projet'!$B$10,Paramètres!$A$1:$I$89,3,0)*0.475*44/12</f>
        <v>1.3609609069417522E-7</v>
      </c>
      <c r="AX87" s="23">
        <f t="shared" si="60"/>
        <v>5.7240329992029571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65.918822637935648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6.8</v>
      </c>
      <c r="BD87" s="13">
        <f>IF('Données projet'!$A$88&gt;35,BD86+BC87-BL86,IF(A87&lt;'Données projet'!$A$88,$BA$205^A87,IF(A87='Données projet'!$A$88,'Données projet'!$B$88,BD86+BC87-BL86)))</f>
        <v>319.20000000000005</v>
      </c>
      <c r="BE87" s="14">
        <f>BD87*VLOOKUP('Données projet'!$B$11,Paramètres!$A$1:$I$89,3,0)*VLOOKUP('Données projet'!$B$11,Paramètres!$A$1:$I$89,5,0)</f>
        <v>288.81216000000006</v>
      </c>
      <c r="BF87" s="14">
        <f t="shared" si="91"/>
        <v>68.825899854238159</v>
      </c>
      <c r="BG87" s="22">
        <f t="shared" si="61"/>
        <v>622.88628757946492</v>
      </c>
      <c r="BH87" s="62">
        <f t="shared" si="62"/>
        <v>901.25530391856228</v>
      </c>
      <c r="BI87" s="62">
        <f ca="1">AVERAGE(OFFSET($BH$3,0,0,'Données projet'!$E$11+1,1))-AVERAGE(OFFSET($H$3,0,0,'Données projet'!$E$11+1,1))</f>
        <v>462.677457131175</v>
      </c>
      <c r="BJ87" s="62">
        <f t="shared" si="92"/>
        <v>291.78368401945909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2.0429933225184196</v>
      </c>
      <c r="BR87" s="23">
        <f>EXP(-LN(2)/2)*BR86+(1-EXP(-LN(2)/2))/(LN(2)/2)*BL87*BO87*VLOOKUP('Données projet'!$B$11,Paramètres!$A$1:$I$89,3,0)*0.475*44/12</f>
        <v>1.1108647767124815E-7</v>
      </c>
      <c r="BS87" s="24">
        <f t="shared" si="63"/>
        <v>2.0429934336048974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65.918822637935648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-5.6843418860808015E-14</v>
      </c>
      <c r="BZ87" s="14">
        <f>BY87*VLOOKUP('Données projet'!$B$12,Paramètres!$A$1:$I$89,3,0)*VLOOKUP('Données projet'!$B$12,Paramètres!$A$1:$I$89,5,0)</f>
        <v>-3.1036506698001178E-14</v>
      </c>
      <c r="CA87" s="14" t="e">
        <f t="shared" si="93"/>
        <v>#NUM!</v>
      </c>
      <c r="CB87" s="22" t="e">
        <f t="shared" si="64"/>
        <v>#NUM!</v>
      </c>
      <c r="CC87" s="62" t="e">
        <f t="shared" si="65"/>
        <v>#NUM!</v>
      </c>
      <c r="CD87" s="62">
        <f ca="1">AVERAGE(OFFSET($CC$3,0,0,'Données projet'!$E$12+1,1))-AVERAGE(OFFSET($H$3,0,0,'Données projet'!$E$12+1,1))</f>
        <v>302.37244372118971</v>
      </c>
      <c r="CE87" s="62">
        <f t="shared" si="94"/>
        <v>439.56450354660171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2.586864411387265</v>
      </c>
      <c r="CL87" s="23">
        <f>EXP(-LN(2)/25)*CL86+(1-EXP(-LN(2)/25))/(LN(2)/25)*Calculateur!CG87*Calculateur!CI87*VLOOKUP('Données projet'!$B$12,Paramètres!$A$1:$I$89,3,0)*0.475*44/12</f>
        <v>3.7821525703779333</v>
      </c>
      <c r="CM87" s="23">
        <f>EXP(-LN(2)/2)*CM86+(1-EXP(-LN(2)/2))/(LN(2)/2)*CG87*CJ87*VLOOKUP('Données projet'!$B$12,Paramètres!$A$1:$I$89,3,0)*0.475*44/12</f>
        <v>1.195898922922048E-7</v>
      </c>
      <c r="CN87" s="24">
        <f t="shared" si="66"/>
        <v>6.3690171013550909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65.918822637935648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3</v>
      </c>
      <c r="CT87" s="13">
        <f>IF('Données projet'!$A$140&gt;35,CT86+CS87-DB86,IF(A87&lt;'Données projet'!$A$140,$CQ$205^A87,IF(A87='Données projet'!$A$140,'Données projet'!$B$140,CT86+CS87-DB86)))</f>
        <v>230.99999999999997</v>
      </c>
      <c r="CU87" s="18">
        <f>CT87*VLOOKUP('Données projet'!$B$13,Paramètres!$A$1:$I$89,3,0)*VLOOKUP('Données projet'!$B$13,Paramètres!$A$1:$I$89,5,0)</f>
        <v>169.36919999999998</v>
      </c>
      <c r="CV87" s="14">
        <f t="shared" si="95"/>
        <v>42.948714817158674</v>
      </c>
      <c r="CW87" s="22">
        <f t="shared" si="67"/>
        <v>369.78703497321794</v>
      </c>
      <c r="CX87" s="62">
        <f t="shared" si="68"/>
        <v>648.15605131231541</v>
      </c>
      <c r="CY87" s="62">
        <f ca="1">AVERAGE(OFFSET($CX$3,0,0,'Données projet'!$E$13+1,1))-AVERAGE(OFFSET($H$3,0,0,'Données projet'!$E$13+1,1))</f>
        <v>300.12722359176314</v>
      </c>
      <c r="CZ87" s="62">
        <f t="shared" si="96"/>
        <v>313.35115626175946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2.6880729716354748</v>
      </c>
      <c r="DH87" s="23">
        <f>EXP(-LN(2)/2)*DH86+(1-EXP(-LN(2)/2))/(LN(2)/2)*DB87*DE87*VLOOKUP('Données projet'!$B$13,Paramètres!$A$1:$I$89,3,0)*0.475*44/12</f>
        <v>1.1221028205571122E-7</v>
      </c>
      <c r="DI87" s="24">
        <f t="shared" si="69"/>
        <v>2.6880730838457567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65.918822637935648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65.918822637935648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65.918822637935648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65.918822637935648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65.918822637935648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3.55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13.016666666666666</v>
      </c>
      <c r="H88" s="70">
        <f t="shared" si="56"/>
        <v>204.6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65.989621941021781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-2.2737367544323206E-13</v>
      </c>
      <c r="O88" s="14">
        <f>N88*VLOOKUP('Données projet'!$B$9,Paramètres!$A$1:$I$89,3,0)*VLOOKUP('Données projet'!$B$9,Paramètres!$A$1:$I$89,5,0)</f>
        <v>-1.2710188457276673E-13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455.44531340185631</v>
      </c>
      <c r="T88" s="62">
        <f t="shared" si="88"/>
        <v>560.14861617544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3.6354029782946187</v>
      </c>
      <c r="AA88" s="23">
        <f>EXP(-LN(2)/25)*AA87+(1-EXP(-LN(2)/25))/(LN(2)/25)*Calculateur!V88*Calculateur!X88*VLOOKUP('Données projet'!$B$9,Paramètres!$A$1:$I$89,3,0)*0.475*44/12</f>
        <v>3.0948516949675402</v>
      </c>
      <c r="AB88" s="23">
        <f>EXP(-LN(2)/2)*AB87+(1-EXP(-LN(2)/2))/(LN(2)/2)*V88*Y88*VLOOKUP('Données projet'!$B$9,Paramètres!$A$1:$I$89,3,0)*0.475*44/12</f>
        <v>6.9933041685924023E-8</v>
      </c>
      <c r="AC88" s="24">
        <f t="shared" si="57"/>
        <v>6.7302547431952009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65.989621941021781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1.9895196601282805E-13</v>
      </c>
      <c r="AJ88" s="14">
        <f>AI88*VLOOKUP('Données projet'!$B$10,Paramètres!$A$1:$I$89,3,0)*VLOOKUP('Données projet'!$B$10,Paramètres!$A$1:$I$89,5,0)</f>
        <v>1.738044375088066E-13</v>
      </c>
      <c r="AK88" s="14">
        <f t="shared" si="89"/>
        <v>2.4483293633950478E-12</v>
      </c>
      <c r="AL88" s="22">
        <f t="shared" si="58"/>
        <v>4.566883036574213E-12</v>
      </c>
      <c r="AM88" s="62">
        <f t="shared" si="59"/>
        <v>278.62861378375106</v>
      </c>
      <c r="AN88" s="62">
        <f ca="1">AVERAGE(OFFSET($AM$3,0,0,'Données projet'!$E$10+1,1))-AVERAGE(OFFSET($H$3,0,0,'Données projet'!$E$10+1,1))</f>
        <v>335.71510570470264</v>
      </c>
      <c r="AO88" s="62">
        <f t="shared" si="90"/>
        <v>401.61823018046482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5.5675088834514028</v>
      </c>
      <c r="AW88" s="23">
        <f>EXP(-LN(2)/2)*AW87+(1-EXP(-LN(2)/2))/(LN(2)/2)*AQ88*AT88*VLOOKUP('Données projet'!$B$10,Paramètres!$A$1:$I$89,3,0)*0.475*44/12</f>
        <v>9.6234468622830688E-8</v>
      </c>
      <c r="AX88" s="23">
        <f t="shared" si="60"/>
        <v>5.5675089796858712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65.989621941021781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>
        <f>VLOOKUP(A88,'Données projet'!$A$87:$I$107,2,0)</f>
        <v>326</v>
      </c>
      <c r="BB88" s="13">
        <f>VLOOKUP(A88,'Données projet'!$A$87:$I$107,9,0)</f>
        <v>6.8</v>
      </c>
      <c r="BC88" s="13">
        <f t="array" ref="BC88">INDEX(BB:BB,MIN(IF(ISNUMBER(BB88:BB284),ROW(BB88:BB284),"")))</f>
        <v>6.8</v>
      </c>
      <c r="BD88" s="13">
        <f>IF('Données projet'!$A$88&gt;35,BD87+BC88-BL87,IF(A88&lt;'Données projet'!$A$88,$BA$205^A88,IF(A88='Données projet'!$A$88,'Données projet'!$B$88,BD87+BC88-BL87)))</f>
        <v>326.00000000000006</v>
      </c>
      <c r="BE88" s="14">
        <f>BD88*VLOOKUP('Données projet'!$B$11,Paramètres!$A$1:$I$89,3,0)*VLOOKUP('Données projet'!$B$11,Paramètres!$A$1:$I$89,5,0)</f>
        <v>294.96480000000003</v>
      </c>
      <c r="BF88" s="14">
        <f t="shared" si="91"/>
        <v>70.119854541045001</v>
      </c>
      <c r="BG88" s="22">
        <f t="shared" si="61"/>
        <v>635.85577332565333</v>
      </c>
      <c r="BH88" s="62">
        <f t="shared" si="62"/>
        <v>914.4843871093999</v>
      </c>
      <c r="BI88" s="62">
        <f ca="1">AVERAGE(OFFSET($BH$3,0,0,'Données projet'!$E$11+1,1))-AVERAGE(OFFSET($H$3,0,0,'Données projet'!$E$11+1,1))</f>
        <v>462.677457131175</v>
      </c>
      <c r="BJ88" s="62">
        <f t="shared" si="92"/>
        <v>291.78368401945909</v>
      </c>
      <c r="BK88" s="16">
        <f>IF(ISNA(VLOOKUP(A88,'Données projet'!$A$87:$I$107,3,0)),0,VLOOKUP(A88,'Données projet'!$A$87:$I$107,3,0))</f>
        <v>14</v>
      </c>
      <c r="BL88" s="16">
        <f>IF(ISNA(VLOOKUP(A88,'Données projet'!$A$87:$I$107,4,0)),0,VLOOKUP(A88,'Données projet'!$A$87:$I$107,4,0))</f>
        <v>28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1.987127562677804</v>
      </c>
      <c r="BR88" s="23">
        <f>EXP(-LN(2)/2)*BR87+(1-EXP(-LN(2)/2))/(LN(2)/2)*BL88*BO88*VLOOKUP('Données projet'!$B$11,Paramètres!$A$1:$I$89,3,0)*0.475*44/12</f>
        <v>7.8550001659467562E-8</v>
      </c>
      <c r="BS88" s="24">
        <f t="shared" si="63"/>
        <v>1.9871276412278056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65.989621941021781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-5.6843418860808015E-14</v>
      </c>
      <c r="BZ88" s="14">
        <f>BY88*VLOOKUP('Données projet'!$B$12,Paramètres!$A$1:$I$89,3,0)*VLOOKUP('Données projet'!$B$12,Paramètres!$A$1:$I$89,5,0)</f>
        <v>-3.1036506698001178E-14</v>
      </c>
      <c r="CA88" s="14" t="e">
        <f t="shared" si="93"/>
        <v>#NUM!</v>
      </c>
      <c r="CB88" s="22" t="e">
        <f t="shared" si="64"/>
        <v>#NUM!</v>
      </c>
      <c r="CC88" s="62" t="e">
        <f t="shared" si="65"/>
        <v>#NUM!</v>
      </c>
      <c r="CD88" s="62">
        <f ca="1">AVERAGE(OFFSET($CC$3,0,0,'Données projet'!$E$12+1,1))-AVERAGE(OFFSET($H$3,0,0,'Données projet'!$E$12+1,1))</f>
        <v>302.37244372118971</v>
      </c>
      <c r="CE88" s="62">
        <f t="shared" si="94"/>
        <v>439.56450354660171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2.5361375781114539</v>
      </c>
      <c r="CL88" s="23">
        <f>EXP(-LN(2)/25)*CL87+(1-EXP(-LN(2)/25))/(LN(2)/25)*Calculateur!CG88*Calculateur!CI88*VLOOKUP('Données projet'!$B$12,Paramètres!$A$1:$I$89,3,0)*0.475*44/12</f>
        <v>3.6787294094461891</v>
      </c>
      <c r="CM88" s="23">
        <f>EXP(-LN(2)/2)*CM87+(1-EXP(-LN(2)/2))/(LN(2)/2)*CG88*CJ88*VLOOKUP('Données projet'!$B$12,Paramètres!$A$1:$I$89,3,0)*0.475*44/12</f>
        <v>8.4562823801186846E-8</v>
      </c>
      <c r="CN88" s="24">
        <f t="shared" si="66"/>
        <v>6.2148670721204669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65.989621941021781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>
        <f>VLOOKUP(A88,'Données projet'!$A$139:$I$159,2,0)</f>
        <v>234</v>
      </c>
      <c r="CR88" s="13">
        <f>VLOOKUP(A88,'Données projet'!$A$139:$I$159,9,0)</f>
        <v>3</v>
      </c>
      <c r="CS88" s="13">
        <f t="array" ref="CS88">INDEX(CR:CR,MIN(IF(ISNUMBER(CR88:CR284),ROW(CR88:CR284),"")))</f>
        <v>3</v>
      </c>
      <c r="CT88" s="13">
        <f>IF('Données projet'!$A$140&gt;35,CT87+CS88-DB87,IF(A88&lt;'Données projet'!$A$140,$CQ$205^A88,IF(A88='Données projet'!$A$140,'Données projet'!$B$140,CT87+CS88-DB87)))</f>
        <v>233.99999999999997</v>
      </c>
      <c r="CU88" s="18">
        <f>CT88*VLOOKUP('Données projet'!$B$13,Paramètres!$A$1:$I$89,3,0)*VLOOKUP('Données projet'!$B$13,Paramètres!$A$1:$I$89,5,0)</f>
        <v>171.56879999999998</v>
      </c>
      <c r="CV88" s="14">
        <f t="shared" si="95"/>
        <v>43.441194534014848</v>
      </c>
      <c r="CW88" s="22">
        <f t="shared" si="67"/>
        <v>374.47574048007579</v>
      </c>
      <c r="CX88" s="62">
        <f t="shared" si="68"/>
        <v>653.1043542638223</v>
      </c>
      <c r="CY88" s="62">
        <f ca="1">AVERAGE(OFFSET($CX$3,0,0,'Données projet'!$E$13+1,1))-AVERAGE(OFFSET($H$3,0,0,'Données projet'!$E$13+1,1))</f>
        <v>300.12722359176314</v>
      </c>
      <c r="CZ88" s="62">
        <f t="shared" si="96"/>
        <v>313.35115626175946</v>
      </c>
      <c r="DA88" s="16">
        <f>IF(ISNA(VLOOKUP(A88,'Données projet'!$A$139:$I$159,3,0)),0,VLOOKUP(A88,'Données projet'!$A$139:$I$159,3,0))</f>
        <v>14</v>
      </c>
      <c r="DB88" s="16">
        <f>IF(ISNA(VLOOKUP(A88,'Données projet'!$A$139:$I$159,4,0)),0,VLOOKUP(A88,'Données projet'!$A$139:$I$159,4,0))</f>
        <v>12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2.6145674748664889</v>
      </c>
      <c r="DH88" s="23">
        <f>EXP(-LN(2)/2)*DH87+(1-EXP(-LN(2)/2))/(LN(2)/2)*DB88*DE88*VLOOKUP('Données projet'!$B$13,Paramètres!$A$1:$I$89,3,0)*0.475*44/12</f>
        <v>7.9344651360448576E-8</v>
      </c>
      <c r="DI88" s="24">
        <f t="shared" si="69"/>
        <v>2.6145675542111402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65.989621941021781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65.989621941021781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65.989621941021781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65.989621941021781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65.989621941021781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3.55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13.016666666666666</v>
      </c>
      <c r="H89" s="70">
        <f t="shared" si="56"/>
        <v>204.6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66.059193034482902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-2.2737367544323206E-13</v>
      </c>
      <c r="O89" s="14">
        <f>N89*VLOOKUP('Données projet'!$B$9,Paramètres!$A$1:$I$89,3,0)*VLOOKUP('Données projet'!$B$9,Paramètres!$A$1:$I$89,5,0)</f>
        <v>-1.2710188457276673E-13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455.44531340185631</v>
      </c>
      <c r="T89" s="62">
        <f t="shared" si="88"/>
        <v>560.14861617544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3.5641149432671302</v>
      </c>
      <c r="AA89" s="23">
        <f>EXP(-LN(2)/25)*AA88+(1-EXP(-LN(2)/25))/(LN(2)/25)*Calculateur!V89*Calculateur!X89*VLOOKUP('Données projet'!$B$9,Paramètres!$A$1:$I$89,3,0)*0.475*44/12</f>
        <v>3.0102228126174757</v>
      </c>
      <c r="AB89" s="23">
        <f>EXP(-LN(2)/2)*AB88+(1-EXP(-LN(2)/2))/(LN(2)/2)*V89*Y89*VLOOKUP('Données projet'!$B$9,Paramètres!$A$1:$I$89,3,0)*0.475*44/12</f>
        <v>4.9450128005118386E-8</v>
      </c>
      <c r="AC89" s="24">
        <f t="shared" si="57"/>
        <v>6.5743378053347348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66.059193034482902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1.9895196601282805E-13</v>
      </c>
      <c r="AJ89" s="14">
        <f>AI89*VLOOKUP('Données projet'!$B$10,Paramètres!$A$1:$I$89,3,0)*VLOOKUP('Données projet'!$B$10,Paramètres!$A$1:$I$89,5,0)</f>
        <v>1.738044375088066E-13</v>
      </c>
      <c r="AK89" s="14">
        <f t="shared" si="89"/>
        <v>2.4483293633950478E-12</v>
      </c>
      <c r="AL89" s="22">
        <f t="shared" si="58"/>
        <v>4.566883036574213E-12</v>
      </c>
      <c r="AM89" s="62">
        <f t="shared" si="59"/>
        <v>278.8837077931085</v>
      </c>
      <c r="AN89" s="62">
        <f ca="1">AVERAGE(OFFSET($AM$3,0,0,'Données projet'!$E$10+1,1))-AVERAGE(OFFSET($H$3,0,0,'Données projet'!$E$10+1,1))</f>
        <v>335.71510570470264</v>
      </c>
      <c r="AO89" s="62">
        <f t="shared" si="90"/>
        <v>401.61823018046482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5.4152650602508565</v>
      </c>
      <c r="AW89" s="23">
        <f>EXP(-LN(2)/2)*AW88+(1-EXP(-LN(2)/2))/(LN(2)/2)*AQ89*AT89*VLOOKUP('Données projet'!$B$10,Paramètres!$A$1:$I$89,3,0)*0.475*44/12</f>
        <v>6.8048045347087612E-8</v>
      </c>
      <c r="AX89" s="23">
        <f t="shared" si="60"/>
        <v>5.4152651282989019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66.059193034482902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6.4</v>
      </c>
      <c r="BD89" s="13">
        <f>IF('Données projet'!$A$88&gt;35,BD88+BC89-BL88,IF(A89&lt;'Données projet'!$A$88,$BA$205^A89,IF(A89='Données projet'!$A$88,'Données projet'!$B$88,BD88+BC89-BL88)))</f>
        <v>304.40000000000003</v>
      </c>
      <c r="BE89" s="14">
        <f>BD89*VLOOKUP('Données projet'!$B$11,Paramètres!$A$1:$I$89,3,0)*VLOOKUP('Données projet'!$B$11,Paramètres!$A$1:$I$89,5,0)</f>
        <v>275.42112000000003</v>
      </c>
      <c r="BF89" s="14">
        <f t="shared" si="91"/>
        <v>65.998433293601067</v>
      </c>
      <c r="BG89" s="22">
        <f t="shared" si="61"/>
        <v>594.63905531968851</v>
      </c>
      <c r="BH89" s="62">
        <f t="shared" si="62"/>
        <v>873.52276311279252</v>
      </c>
      <c r="BI89" s="62">
        <f ca="1">AVERAGE(OFFSET($BH$3,0,0,'Données projet'!$E$11+1,1))-AVERAGE(OFFSET($H$3,0,0,'Données projet'!$E$11+1,1))</f>
        <v>462.677457131175</v>
      </c>
      <c r="BJ89" s="62">
        <f t="shared" si="92"/>
        <v>291.78368401945909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1.9327894549778826</v>
      </c>
      <c r="BR89" s="23">
        <f>EXP(-LN(2)/2)*BR88+(1-EXP(-LN(2)/2))/(LN(2)/2)*BL89*BO89*VLOOKUP('Données projet'!$B$11,Paramètres!$A$1:$I$89,3,0)*0.475*44/12</f>
        <v>5.5543238835624075E-8</v>
      </c>
      <c r="BS89" s="24">
        <f t="shared" si="63"/>
        <v>1.9327895105211215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66.059193034482902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-5.6843418860808015E-14</v>
      </c>
      <c r="BZ89" s="14">
        <f>BY89*VLOOKUP('Données projet'!$B$12,Paramètres!$A$1:$I$89,3,0)*VLOOKUP('Données projet'!$B$12,Paramètres!$A$1:$I$89,5,0)</f>
        <v>-3.1036506698001178E-14</v>
      </c>
      <c r="CA89" s="14" t="e">
        <f t="shared" si="93"/>
        <v>#NUM!</v>
      </c>
      <c r="CB89" s="22" t="e">
        <f t="shared" si="64"/>
        <v>#NUM!</v>
      </c>
      <c r="CC89" s="62" t="e">
        <f t="shared" si="65"/>
        <v>#NUM!</v>
      </c>
      <c r="CD89" s="62">
        <f ca="1">AVERAGE(OFFSET($CC$3,0,0,'Données projet'!$E$12+1,1))-AVERAGE(OFFSET($H$3,0,0,'Données projet'!$E$12+1,1))</f>
        <v>302.37244372118971</v>
      </c>
      <c r="CE89" s="62">
        <f t="shared" si="94"/>
        <v>439.56450354660171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2.4864054670958682</v>
      </c>
      <c r="CL89" s="23">
        <f>EXP(-LN(2)/25)*CL88+(1-EXP(-LN(2)/25))/(LN(2)/25)*Calculateur!CG89*Calculateur!CI89*VLOOKUP('Données projet'!$B$12,Paramètres!$A$1:$I$89,3,0)*0.475*44/12</f>
        <v>3.5781343602889111</v>
      </c>
      <c r="CM89" s="23">
        <f>EXP(-LN(2)/2)*CM88+(1-EXP(-LN(2)/2))/(LN(2)/2)*CG89*CJ89*VLOOKUP('Données projet'!$B$12,Paramètres!$A$1:$I$89,3,0)*0.475*44/12</f>
        <v>5.97949461461024E-8</v>
      </c>
      <c r="CN89" s="24">
        <f t="shared" si="66"/>
        <v>6.0645398871797251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66.059193034482902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2.8</v>
      </c>
      <c r="CT89" s="13">
        <f>IF('Données projet'!$A$140&gt;35,CT88+CS89-DB88,IF(A89&lt;'Données projet'!$A$140,$CQ$205^A89,IF(A89='Données projet'!$A$140,'Données projet'!$B$140,CT88+CS89-DB88)))</f>
        <v>224.79999999999998</v>
      </c>
      <c r="CU89" s="18">
        <f>CT89*VLOOKUP('Données projet'!$B$13,Paramètres!$A$1:$I$89,3,0)*VLOOKUP('Données projet'!$B$13,Paramètres!$A$1:$I$89,5,0)</f>
        <v>164.82335999999998</v>
      </c>
      <c r="CV89" s="14">
        <f t="shared" si="95"/>
        <v>41.928550039461143</v>
      </c>
      <c r="CW89" s="22">
        <f t="shared" si="67"/>
        <v>360.09290998539473</v>
      </c>
      <c r="CX89" s="62">
        <f t="shared" si="68"/>
        <v>638.97661777849862</v>
      </c>
      <c r="CY89" s="62">
        <f ca="1">AVERAGE(OFFSET($CX$3,0,0,'Données projet'!$E$13+1,1))-AVERAGE(OFFSET($H$3,0,0,'Données projet'!$E$13+1,1))</f>
        <v>300.12722359176314</v>
      </c>
      <c r="CZ89" s="62">
        <f t="shared" si="96"/>
        <v>313.35115626175946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2.543071989772137</v>
      </c>
      <c r="DH89" s="23">
        <f>EXP(-LN(2)/2)*DH88+(1-EXP(-LN(2)/2))/(LN(2)/2)*DB89*DE89*VLOOKUP('Données projet'!$B$13,Paramètres!$A$1:$I$89,3,0)*0.475*44/12</f>
        <v>5.6105141027855612E-8</v>
      </c>
      <c r="DI89" s="24">
        <f t="shared" si="69"/>
        <v>2.543072045877278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66.059193034482902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66.059193034482902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66.059193034482902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66.059193034482902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66.059193034482902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3.55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13.016666666666666</v>
      </c>
      <c r="H90" s="70">
        <f t="shared" si="56"/>
        <v>204.6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66.127557225010122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-2.2737367544323206E-13</v>
      </c>
      <c r="O90" s="14">
        <f>N90*VLOOKUP('Données projet'!$B$9,Paramètres!$A$1:$I$89,3,0)*VLOOKUP('Données projet'!$B$9,Paramètres!$A$1:$I$89,5,0)</f>
        <v>-1.2710188457276673E-13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455.44531340185631</v>
      </c>
      <c r="T90" s="62">
        <f t="shared" si="88"/>
        <v>560.14861617544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3.4942248231251227</v>
      </c>
      <c r="AA90" s="23">
        <f>EXP(-LN(2)/25)*AA89+(1-EXP(-LN(2)/25))/(LN(2)/25)*Calculateur!V90*Calculateur!X90*VLOOKUP('Données projet'!$B$9,Paramètres!$A$1:$I$89,3,0)*0.475*44/12</f>
        <v>2.9279081115057131</v>
      </c>
      <c r="AB90" s="23">
        <f>EXP(-LN(2)/2)*AB89+(1-EXP(-LN(2)/2))/(LN(2)/2)*V90*Y90*VLOOKUP('Données projet'!$B$9,Paramètres!$A$1:$I$89,3,0)*0.475*44/12</f>
        <v>3.4966520842962012E-8</v>
      </c>
      <c r="AC90" s="24">
        <f t="shared" si="57"/>
        <v>6.4221329695973575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66.127557225010122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1.9895196601282805E-13</v>
      </c>
      <c r="AJ90" s="14">
        <f>AI90*VLOOKUP('Données projet'!$B$10,Paramètres!$A$1:$I$89,3,0)*VLOOKUP('Données projet'!$B$10,Paramètres!$A$1:$I$89,5,0)</f>
        <v>1.738044375088066E-13</v>
      </c>
      <c r="AK90" s="14">
        <f t="shared" si="89"/>
        <v>2.4483293633950478E-12</v>
      </c>
      <c r="AL90" s="22">
        <f t="shared" si="58"/>
        <v>4.566883036574213E-12</v>
      </c>
      <c r="AM90" s="62">
        <f t="shared" si="59"/>
        <v>279.13437649170834</v>
      </c>
      <c r="AN90" s="62">
        <f ca="1">AVERAGE(OFFSET($AM$3,0,0,'Données projet'!$E$10+1,1))-AVERAGE(OFFSET($H$3,0,0,'Données projet'!$E$10+1,1))</f>
        <v>335.71510570470264</v>
      </c>
      <c r="AO90" s="62">
        <f t="shared" si="90"/>
        <v>401.61823018046482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5.267184352401884</v>
      </c>
      <c r="AW90" s="23">
        <f>EXP(-LN(2)/2)*AW89+(1-EXP(-LN(2)/2))/(LN(2)/2)*AQ90*AT90*VLOOKUP('Données projet'!$B$10,Paramètres!$A$1:$I$89,3,0)*0.475*44/12</f>
        <v>4.8117234311415344E-8</v>
      </c>
      <c r="AX90" s="23">
        <f t="shared" si="60"/>
        <v>5.2671844005191186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66.127557225010122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6.4</v>
      </c>
      <c r="BD90" s="13">
        <f>IF('Données projet'!$A$88&gt;35,BD89+BC90-BL89,IF(A90&lt;'Données projet'!$A$88,$BA$205^A90,IF(A90='Données projet'!$A$88,'Données projet'!$B$88,BD89+BC90-BL89)))</f>
        <v>310.8</v>
      </c>
      <c r="BE90" s="14">
        <f>BD90*VLOOKUP('Données projet'!$B$11,Paramètres!$A$1:$I$89,3,0)*VLOOKUP('Données projet'!$B$11,Paramètres!$A$1:$I$89,5,0)</f>
        <v>281.21184</v>
      </c>
      <c r="BF90" s="14">
        <f t="shared" si="91"/>
        <v>67.22304110496664</v>
      </c>
      <c r="BG90" s="22">
        <f t="shared" si="61"/>
        <v>606.85741792448357</v>
      </c>
      <c r="BH90" s="62">
        <f t="shared" si="62"/>
        <v>885.9917944161873</v>
      </c>
      <c r="BI90" s="62">
        <f ca="1">AVERAGE(OFFSET($BH$3,0,0,'Données projet'!$E$11+1,1))-AVERAGE(OFFSET($H$3,0,0,'Données projet'!$E$11+1,1))</f>
        <v>462.677457131175</v>
      </c>
      <c r="BJ90" s="62">
        <f t="shared" si="92"/>
        <v>291.78368401945909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1.8799372256905325</v>
      </c>
      <c r="BR90" s="23">
        <f>EXP(-LN(2)/2)*BR89+(1-EXP(-LN(2)/2))/(LN(2)/2)*BL90*BO90*VLOOKUP('Données projet'!$B$11,Paramètres!$A$1:$I$89,3,0)*0.475*44/12</f>
        <v>3.9275000829733781E-8</v>
      </c>
      <c r="BS90" s="24">
        <f t="shared" si="63"/>
        <v>1.8799372649655333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66.127557225010122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-5.6843418860808015E-14</v>
      </c>
      <c r="BZ90" s="14">
        <f>BY90*VLOOKUP('Données projet'!$B$12,Paramètres!$A$1:$I$89,3,0)*VLOOKUP('Données projet'!$B$12,Paramètres!$A$1:$I$89,5,0)</f>
        <v>-3.1036506698001178E-14</v>
      </c>
      <c r="CA90" s="14" t="e">
        <f t="shared" si="93"/>
        <v>#NUM!</v>
      </c>
      <c r="CB90" s="22" t="e">
        <f t="shared" si="64"/>
        <v>#NUM!</v>
      </c>
      <c r="CC90" s="62" t="e">
        <f t="shared" si="65"/>
        <v>#NUM!</v>
      </c>
      <c r="CD90" s="62">
        <f ca="1">AVERAGE(OFFSET($CC$3,0,0,'Données projet'!$E$12+1,1))-AVERAGE(OFFSET($H$3,0,0,'Données projet'!$E$12+1,1))</f>
        <v>302.37244372118971</v>
      </c>
      <c r="CE90" s="62">
        <f t="shared" si="94"/>
        <v>439.56450354660171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2.4376485724437056</v>
      </c>
      <c r="CL90" s="23">
        <f>EXP(-LN(2)/25)*CL89+(1-EXP(-LN(2)/25))/(LN(2)/25)*Calculateur!CG90*Calculateur!CI90*VLOOKUP('Données projet'!$B$12,Paramètres!$A$1:$I$89,3,0)*0.475*44/12</f>
        <v>3.4802900880409027</v>
      </c>
      <c r="CM90" s="23">
        <f>EXP(-LN(2)/2)*CM89+(1-EXP(-LN(2)/2))/(LN(2)/2)*CG90*CJ90*VLOOKUP('Données projet'!$B$12,Paramètres!$A$1:$I$89,3,0)*0.475*44/12</f>
        <v>4.2281411900593423E-8</v>
      </c>
      <c r="CN90" s="24">
        <f t="shared" si="66"/>
        <v>5.9179387027660209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66.127557225010122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2.8</v>
      </c>
      <c r="CT90" s="13">
        <f>IF('Données projet'!$A$140&gt;35,CT89+CS90-DB89,IF(A90&lt;'Données projet'!$A$140,$CQ$205^A90,IF(A90='Données projet'!$A$140,'Données projet'!$B$140,CT89+CS90-DB89)))</f>
        <v>227.6</v>
      </c>
      <c r="CU90" s="18">
        <f>CT90*VLOOKUP('Données projet'!$B$13,Paramètres!$A$1:$I$89,3,0)*VLOOKUP('Données projet'!$B$13,Paramètres!$A$1:$I$89,5,0)</f>
        <v>166.87631999999999</v>
      </c>
      <c r="CV90" s="14">
        <f t="shared" si="95"/>
        <v>42.389669857114647</v>
      </c>
      <c r="CW90" s="22">
        <f t="shared" si="67"/>
        <v>364.47159900114133</v>
      </c>
      <c r="CX90" s="62">
        <f t="shared" si="68"/>
        <v>643.60597549284512</v>
      </c>
      <c r="CY90" s="62">
        <f ca="1">AVERAGE(OFFSET($CX$3,0,0,'Données projet'!$E$13+1,1))-AVERAGE(OFFSET($H$3,0,0,'Données projet'!$E$13+1,1))</f>
        <v>300.12722359176314</v>
      </c>
      <c r="CZ90" s="62">
        <f t="shared" si="96"/>
        <v>313.35115626175946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2.4735315524774744</v>
      </c>
      <c r="DH90" s="23">
        <f>EXP(-LN(2)/2)*DH89+(1-EXP(-LN(2)/2))/(LN(2)/2)*DB90*DE90*VLOOKUP('Données projet'!$B$13,Paramètres!$A$1:$I$89,3,0)*0.475*44/12</f>
        <v>3.9672325680224288E-8</v>
      </c>
      <c r="DI90" s="24">
        <f t="shared" si="69"/>
        <v>2.4735315921498002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66.127557225010122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66.127557225010122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66.127557225010122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66.127557225010122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66.127557225010122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3.55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13.016666666666666</v>
      </c>
      <c r="H91" s="70">
        <f t="shared" si="56"/>
        <v>204.6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66.194735449671128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-2.2737367544323206E-13</v>
      </c>
      <c r="O91" s="14">
        <f>N91*VLOOKUP('Données projet'!$B$9,Paramètres!$A$1:$I$89,3,0)*VLOOKUP('Données projet'!$B$9,Paramètres!$A$1:$I$89,5,0)</f>
        <v>-1.2710188457276673E-13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455.44531340185631</v>
      </c>
      <c r="T91" s="62">
        <f t="shared" si="88"/>
        <v>560.14861617544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3.4257052056103361</v>
      </c>
      <c r="AA91" s="23">
        <f>EXP(-LN(2)/25)*AA90+(1-EXP(-LN(2)/25))/(LN(2)/25)*Calculateur!V91*Calculateur!X91*VLOOKUP('Données projet'!$B$9,Paramètres!$A$1:$I$89,3,0)*0.475*44/12</f>
        <v>2.8478443102245934</v>
      </c>
      <c r="AB91" s="23">
        <f>EXP(-LN(2)/2)*AB90+(1-EXP(-LN(2)/2))/(LN(2)/2)*V91*Y91*VLOOKUP('Données projet'!$B$9,Paramètres!$A$1:$I$89,3,0)*0.475*44/12</f>
        <v>2.4725064002559193E-8</v>
      </c>
      <c r="AC91" s="24">
        <f t="shared" si="57"/>
        <v>6.2735495405599933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66.194735449671128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1.9895196601282805E-13</v>
      </c>
      <c r="AJ91" s="14">
        <f>AI91*VLOOKUP('Données projet'!$B$10,Paramètres!$A$1:$I$89,3,0)*VLOOKUP('Données projet'!$B$10,Paramètres!$A$1:$I$89,5,0)</f>
        <v>1.738044375088066E-13</v>
      </c>
      <c r="AK91" s="14">
        <f t="shared" si="89"/>
        <v>2.4483293633950478E-12</v>
      </c>
      <c r="AL91" s="22">
        <f t="shared" si="58"/>
        <v>4.566883036574213E-12</v>
      </c>
      <c r="AM91" s="62">
        <f t="shared" si="59"/>
        <v>279.38069664879868</v>
      </c>
      <c r="AN91" s="62">
        <f ca="1">AVERAGE(OFFSET($AM$3,0,0,'Données projet'!$E$10+1,1))-AVERAGE(OFFSET($H$3,0,0,'Données projet'!$E$10+1,1))</f>
        <v>335.71510570470264</v>
      </c>
      <c r="AO91" s="62">
        <f t="shared" si="90"/>
        <v>401.61823018046482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5.1231529192962677</v>
      </c>
      <c r="AW91" s="23">
        <f>EXP(-LN(2)/2)*AW90+(1-EXP(-LN(2)/2))/(LN(2)/2)*AQ91*AT91*VLOOKUP('Données projet'!$B$10,Paramètres!$A$1:$I$89,3,0)*0.475*44/12</f>
        <v>3.4024022673543806E-8</v>
      </c>
      <c r="AX91" s="23">
        <f t="shared" si="60"/>
        <v>5.1231529533202904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66.194735449671128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6.4</v>
      </c>
      <c r="BD91" s="13">
        <f>IF('Données projet'!$A$88&gt;35,BD90+BC91-BL90,IF(A91&lt;'Données projet'!$A$88,$BA$205^A91,IF(A91='Données projet'!$A$88,'Données projet'!$B$88,BD90+BC91-BL90)))</f>
        <v>317.2</v>
      </c>
      <c r="BE91" s="14">
        <f>BD91*VLOOKUP('Données projet'!$B$11,Paramètres!$A$1:$I$89,3,0)*VLOOKUP('Données projet'!$B$11,Paramètres!$A$1:$I$89,5,0)</f>
        <v>287.00255999999996</v>
      </c>
      <c r="BF91" s="14">
        <f t="shared" si="91"/>
        <v>68.444716936118553</v>
      </c>
      <c r="BG91" s="22">
        <f t="shared" si="61"/>
        <v>619.07067399707296</v>
      </c>
      <c r="BH91" s="62">
        <f t="shared" si="62"/>
        <v>898.45137064586709</v>
      </c>
      <c r="BI91" s="62">
        <f ca="1">AVERAGE(OFFSET($BH$3,0,0,'Données projet'!$E$11+1,1))-AVERAGE(OFFSET($H$3,0,0,'Données projet'!$E$11+1,1))</f>
        <v>462.677457131175</v>
      </c>
      <c r="BJ91" s="62">
        <f t="shared" si="92"/>
        <v>291.78368401945909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1.8285302433924229</v>
      </c>
      <c r="BR91" s="23">
        <f>EXP(-LN(2)/2)*BR90+(1-EXP(-LN(2)/2))/(LN(2)/2)*BL91*BO91*VLOOKUP('Données projet'!$B$11,Paramètres!$A$1:$I$89,3,0)*0.475*44/12</f>
        <v>2.7771619417812037E-8</v>
      </c>
      <c r="BS91" s="24">
        <f t="shared" si="63"/>
        <v>1.8285302711640423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66.194735449671128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-5.6843418860808015E-14</v>
      </c>
      <c r="BZ91" s="14">
        <f>BY91*VLOOKUP('Données projet'!$B$12,Paramètres!$A$1:$I$89,3,0)*VLOOKUP('Données projet'!$B$12,Paramètres!$A$1:$I$89,5,0)</f>
        <v>-3.1036506698001178E-14</v>
      </c>
      <c r="CA91" s="14" t="e">
        <f t="shared" si="93"/>
        <v>#NUM!</v>
      </c>
      <c r="CB91" s="22" t="e">
        <f t="shared" si="64"/>
        <v>#NUM!</v>
      </c>
      <c r="CC91" s="62" t="e">
        <f t="shared" si="65"/>
        <v>#NUM!</v>
      </c>
      <c r="CD91" s="62">
        <f ca="1">AVERAGE(OFFSET($CC$3,0,0,'Données projet'!$E$12+1,1))-AVERAGE(OFFSET($H$3,0,0,'Données projet'!$E$12+1,1))</f>
        <v>302.37244372118971</v>
      </c>
      <c r="CE91" s="62">
        <f t="shared" si="94"/>
        <v>439.56450354660171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2.3898477707569024</v>
      </c>
      <c r="CL91" s="23">
        <f>EXP(-LN(2)/25)*CL90+(1-EXP(-LN(2)/25))/(LN(2)/25)*Calculateur!CG91*Calculateur!CI91*VLOOKUP('Données projet'!$B$12,Paramètres!$A$1:$I$89,3,0)*0.475*44/12</f>
        <v>3.3851213725629226</v>
      </c>
      <c r="CM91" s="23">
        <f>EXP(-LN(2)/2)*CM90+(1-EXP(-LN(2)/2))/(LN(2)/2)*CG91*CJ91*VLOOKUP('Données projet'!$B$12,Paramètres!$A$1:$I$89,3,0)*0.475*44/12</f>
        <v>2.98974730730512E-8</v>
      </c>
      <c r="CN91" s="24">
        <f t="shared" si="66"/>
        <v>5.7749691732172979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66.194735449671128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2.8</v>
      </c>
      <c r="CT91" s="13">
        <f>IF('Données projet'!$A$140&gt;35,CT90+CS91-DB90,IF(A91&lt;'Données projet'!$A$140,$CQ$205^A91,IF(A91='Données projet'!$A$140,'Données projet'!$B$140,CT90+CS91-DB90)))</f>
        <v>230.4</v>
      </c>
      <c r="CU91" s="18">
        <f>CT91*VLOOKUP('Données projet'!$B$13,Paramètres!$A$1:$I$89,3,0)*VLOOKUP('Données projet'!$B$13,Paramètres!$A$1:$I$89,5,0)</f>
        <v>168.92928000000001</v>
      </c>
      <c r="CV91" s="14">
        <f t="shared" si="95"/>
        <v>42.850129812627969</v>
      </c>
      <c r="CW91" s="22">
        <f t="shared" si="67"/>
        <v>368.8491387569938</v>
      </c>
      <c r="CX91" s="62">
        <f t="shared" si="68"/>
        <v>648.22983540578798</v>
      </c>
      <c r="CY91" s="62">
        <f ca="1">AVERAGE(OFFSET($CX$3,0,0,'Données projet'!$E$13+1,1))-AVERAGE(OFFSET($H$3,0,0,'Données projet'!$E$13+1,1))</f>
        <v>300.12722359176314</v>
      </c>
      <c r="CZ91" s="62">
        <f t="shared" si="96"/>
        <v>313.35115626175946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2.4058927020976069</v>
      </c>
      <c r="DH91" s="23">
        <f>EXP(-LN(2)/2)*DH90+(1-EXP(-LN(2)/2))/(LN(2)/2)*DB91*DE91*VLOOKUP('Données projet'!$B$13,Paramètres!$A$1:$I$89,3,0)*0.475*44/12</f>
        <v>2.8052570513927806E-8</v>
      </c>
      <c r="DI91" s="24">
        <f t="shared" si="69"/>
        <v>2.4058927301501773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66.194735449671128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66.194735449671128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66.194735449671128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66.194735449671128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66.194735449671128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3.55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13.016666666666666</v>
      </c>
      <c r="H92" s="70">
        <f t="shared" si="56"/>
        <v>204.6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66.260748282322297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-2.2737367544323206E-13</v>
      </c>
      <c r="O92" s="14">
        <f>N92*VLOOKUP('Données projet'!$B$9,Paramètres!$A$1:$I$89,3,0)*VLOOKUP('Données projet'!$B$9,Paramètres!$A$1:$I$89,5,0)</f>
        <v>-1.2710188457276673E-13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455.44531340185631</v>
      </c>
      <c r="T92" s="62">
        <f t="shared" si="88"/>
        <v>560.14861617544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3.3585292160021742</v>
      </c>
      <c r="AA92" s="23">
        <f>EXP(-LN(2)/25)*AA91+(1-EXP(-LN(2)/25))/(LN(2)/25)*Calculateur!V92*Calculateur!X92*VLOOKUP('Données projet'!$B$9,Paramètres!$A$1:$I$89,3,0)*0.475*44/12</f>
        <v>2.7699698577998784</v>
      </c>
      <c r="AB92" s="23">
        <f>EXP(-LN(2)/2)*AB91+(1-EXP(-LN(2)/2))/(LN(2)/2)*V92*Y92*VLOOKUP('Données projet'!$B$9,Paramètres!$A$1:$I$89,3,0)*0.475*44/12</f>
        <v>1.7483260421481006E-8</v>
      </c>
      <c r="AC92" s="24">
        <f t="shared" si="57"/>
        <v>6.1284990912853123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66.260748282322297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1.9895196601282805E-13</v>
      </c>
      <c r="AJ92" s="14">
        <f>AI92*VLOOKUP('Données projet'!$B$10,Paramètres!$A$1:$I$89,3,0)*VLOOKUP('Données projet'!$B$10,Paramètres!$A$1:$I$89,5,0)</f>
        <v>1.738044375088066E-13</v>
      </c>
      <c r="AK92" s="14">
        <f t="shared" si="89"/>
        <v>2.4483293633950478E-12</v>
      </c>
      <c r="AL92" s="22">
        <f t="shared" si="58"/>
        <v>4.566883036574213E-12</v>
      </c>
      <c r="AM92" s="62">
        <f t="shared" si="59"/>
        <v>279.62274370185298</v>
      </c>
      <c r="AN92" s="62">
        <f ca="1">AVERAGE(OFFSET($AM$3,0,0,'Données projet'!$E$10+1,1))-AVERAGE(OFFSET($H$3,0,0,'Données projet'!$E$10+1,1))</f>
        <v>335.71510570470264</v>
      </c>
      <c r="AO92" s="62">
        <f t="shared" si="90"/>
        <v>401.61823018046482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4.9830600333032082</v>
      </c>
      <c r="AW92" s="23">
        <f>EXP(-LN(2)/2)*AW91+(1-EXP(-LN(2)/2))/(LN(2)/2)*AQ92*AT92*VLOOKUP('Données projet'!$B$10,Paramètres!$A$1:$I$89,3,0)*0.475*44/12</f>
        <v>2.4058617155707672E-8</v>
      </c>
      <c r="AX92" s="23">
        <f t="shared" si="60"/>
        <v>4.9830600573618256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66.260748282322297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6.4</v>
      </c>
      <c r="BD92" s="13">
        <f>IF('Données projet'!$A$88&gt;35,BD91+BC92-BL91,IF(A92&lt;'Données projet'!$A$88,$BA$205^A92,IF(A92='Données projet'!$A$88,'Données projet'!$B$88,BD91+BC92-BL91)))</f>
        <v>323.59999999999997</v>
      </c>
      <c r="BE92" s="14">
        <f>BD92*VLOOKUP('Données projet'!$B$11,Paramètres!$A$1:$I$89,3,0)*VLOOKUP('Données projet'!$B$11,Paramètres!$A$1:$I$89,5,0)</f>
        <v>292.79327999999992</v>
      </c>
      <c r="BF92" s="14">
        <f t="shared" si="91"/>
        <v>69.663526761731433</v>
      </c>
      <c r="BG92" s="22">
        <f t="shared" si="61"/>
        <v>631.27893844334869</v>
      </c>
      <c r="BH92" s="62">
        <f t="shared" si="62"/>
        <v>910.90168214519713</v>
      </c>
      <c r="BI92" s="62">
        <f ca="1">AVERAGE(OFFSET($BH$3,0,0,'Données projet'!$E$11+1,1))-AVERAGE(OFFSET($H$3,0,0,'Données projet'!$E$11+1,1))</f>
        <v>462.677457131175</v>
      </c>
      <c r="BJ92" s="62">
        <f t="shared" si="92"/>
        <v>291.78368401945909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1.7785289877286308</v>
      </c>
      <c r="BR92" s="23">
        <f>EXP(-LN(2)/2)*BR91+(1-EXP(-LN(2)/2))/(LN(2)/2)*BL92*BO92*VLOOKUP('Données projet'!$B$11,Paramètres!$A$1:$I$89,3,0)*0.475*44/12</f>
        <v>1.963750041486689E-8</v>
      </c>
      <c r="BS92" s="24">
        <f t="shared" si="63"/>
        <v>1.7785290073661313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66.260748282322297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-5.6843418860808015E-14</v>
      </c>
      <c r="BZ92" s="14">
        <f>BY92*VLOOKUP('Données projet'!$B$12,Paramètres!$A$1:$I$89,3,0)*VLOOKUP('Données projet'!$B$12,Paramètres!$A$1:$I$89,5,0)</f>
        <v>-3.1036506698001178E-14</v>
      </c>
      <c r="CA92" s="14" t="e">
        <f t="shared" si="93"/>
        <v>#NUM!</v>
      </c>
      <c r="CB92" s="22" t="e">
        <f t="shared" si="64"/>
        <v>#NUM!</v>
      </c>
      <c r="CC92" s="62" t="e">
        <f t="shared" si="65"/>
        <v>#NUM!</v>
      </c>
      <c r="CD92" s="62">
        <f ca="1">AVERAGE(OFFSET($CC$3,0,0,'Données projet'!$E$12+1,1))-AVERAGE(OFFSET($H$3,0,0,'Données projet'!$E$12+1,1))</f>
        <v>302.37244372118971</v>
      </c>
      <c r="CE92" s="62">
        <f t="shared" si="94"/>
        <v>439.56450354660171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2.3429843136355673</v>
      </c>
      <c r="CL92" s="23">
        <f>EXP(-LN(2)/25)*CL91+(1-EXP(-LN(2)/25))/(LN(2)/25)*Calculateur!CG92*Calculateur!CI92*VLOOKUP('Données projet'!$B$12,Paramètres!$A$1:$I$89,3,0)*0.475*44/12</f>
        <v>3.2925550506143932</v>
      </c>
      <c r="CM92" s="23">
        <f>EXP(-LN(2)/2)*CM91+(1-EXP(-LN(2)/2))/(LN(2)/2)*CG92*CJ92*VLOOKUP('Données projet'!$B$12,Paramètres!$A$1:$I$89,3,0)*0.475*44/12</f>
        <v>2.1140705950296712E-8</v>
      </c>
      <c r="CN92" s="24">
        <f t="shared" si="66"/>
        <v>5.6355393853906666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66.260748282322297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2.8</v>
      </c>
      <c r="CT92" s="13">
        <f>IF('Données projet'!$A$140&gt;35,CT91+CS92-DB91,IF(A92&lt;'Données projet'!$A$140,$CQ$205^A92,IF(A92='Données projet'!$A$140,'Données projet'!$B$140,CT91+CS92-DB91)))</f>
        <v>233.20000000000002</v>
      </c>
      <c r="CU92" s="18">
        <f>CT92*VLOOKUP('Données projet'!$B$13,Paramètres!$A$1:$I$89,3,0)*VLOOKUP('Données projet'!$B$13,Paramètres!$A$1:$I$89,5,0)</f>
        <v>170.98224000000002</v>
      </c>
      <c r="CV92" s="14">
        <f t="shared" si="95"/>
        <v>43.309938852702729</v>
      </c>
      <c r="CW92" s="22">
        <f t="shared" si="67"/>
        <v>373.22554483512391</v>
      </c>
      <c r="CX92" s="62">
        <f t="shared" si="68"/>
        <v>652.8482885369724</v>
      </c>
      <c r="CY92" s="62">
        <f ca="1">AVERAGE(OFFSET($CX$3,0,0,'Données projet'!$E$13+1,1))-AVERAGE(OFFSET($H$3,0,0,'Données projet'!$E$13+1,1))</f>
        <v>300.12722359176314</v>
      </c>
      <c r="CZ92" s="62">
        <f t="shared" si="96"/>
        <v>313.35115626175946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2.3401034396383493</v>
      </c>
      <c r="DH92" s="23">
        <f>EXP(-LN(2)/2)*DH91+(1-EXP(-LN(2)/2))/(LN(2)/2)*DB92*DE92*VLOOKUP('Données projet'!$B$13,Paramètres!$A$1:$I$89,3,0)*0.475*44/12</f>
        <v>1.9836162840112144E-8</v>
      </c>
      <c r="DI92" s="24">
        <f t="shared" si="69"/>
        <v>2.3401034594745123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66.260748282322297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66.260748282322297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66.260748282322297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66.260748282322297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66.260748282322297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3.55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13.016666666666666</v>
      </c>
      <c r="H93" s="70">
        <f t="shared" si="56"/>
        <v>204.6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66.32561593990954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-2.2737367544323206E-13</v>
      </c>
      <c r="O93" s="14">
        <f>N93*VLOOKUP('Données projet'!$B$9,Paramètres!$A$1:$I$89,3,0)*VLOOKUP('Données projet'!$B$9,Paramètres!$A$1:$I$89,5,0)</f>
        <v>-1.2710188457276673E-13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455.44531340185631</v>
      </c>
      <c r="T93" s="62">
        <f t="shared" si="88"/>
        <v>560.14861617544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3.2926705065769206</v>
      </c>
      <c r="AA93" s="23">
        <f>EXP(-LN(2)/25)*AA92+(1-EXP(-LN(2)/25))/(LN(2)/25)*Calculateur!V93*Calculateur!X93*VLOOKUP('Données projet'!$B$9,Paramètres!$A$1:$I$89,3,0)*0.475*44/12</f>
        <v>2.6942248863719569</v>
      </c>
      <c r="AB93" s="23">
        <f>EXP(-LN(2)/2)*AB92+(1-EXP(-LN(2)/2))/(LN(2)/2)*V93*Y93*VLOOKUP('Données projet'!$B$9,Paramètres!$A$1:$I$89,3,0)*0.475*44/12</f>
        <v>1.2362532001279596E-8</v>
      </c>
      <c r="AC93" s="24">
        <f t="shared" si="57"/>
        <v>5.9868954053114098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66.32561593990954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1.9895196601282805E-13</v>
      </c>
      <c r="AJ93" s="14">
        <f>AI93*VLOOKUP('Données projet'!$B$10,Paramètres!$A$1:$I$89,3,0)*VLOOKUP('Données projet'!$B$10,Paramètres!$A$1:$I$89,5,0)</f>
        <v>1.738044375088066E-13</v>
      </c>
      <c r="AK93" s="14">
        <f t="shared" si="89"/>
        <v>2.4483293633950478E-12</v>
      </c>
      <c r="AL93" s="22">
        <f t="shared" si="58"/>
        <v>4.566883036574213E-12</v>
      </c>
      <c r="AM93" s="62">
        <f t="shared" si="59"/>
        <v>279.86059177967286</v>
      </c>
      <c r="AN93" s="62">
        <f ca="1">AVERAGE(OFFSET($AM$3,0,0,'Données projet'!$E$10+1,1))-AVERAGE(OFFSET($H$3,0,0,'Données projet'!$E$10+1,1))</f>
        <v>335.71510570470264</v>
      </c>
      <c r="AO93" s="62">
        <f t="shared" si="90"/>
        <v>401.61823018046482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4.8467979946447937</v>
      </c>
      <c r="AW93" s="23">
        <f>EXP(-LN(2)/2)*AW92+(1-EXP(-LN(2)/2))/(LN(2)/2)*AQ93*AT93*VLOOKUP('Données projet'!$B$10,Paramètres!$A$1:$I$89,3,0)*0.475*44/12</f>
        <v>1.7012011336771903E-8</v>
      </c>
      <c r="AX93" s="23">
        <f t="shared" si="60"/>
        <v>4.846798011656805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66.32561593990954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330</v>
      </c>
      <c r="BB93" s="13">
        <f>VLOOKUP(A93,'Données projet'!$A$87:$I$107,9,0)</f>
        <v>6.4</v>
      </c>
      <c r="BC93" s="13">
        <f t="array" ref="BC93">INDEX(BB:BB,MIN(IF(ISNUMBER(BB93:BB289),ROW(BB93:BB289),"")))</f>
        <v>6.4</v>
      </c>
      <c r="BD93" s="13">
        <f>IF('Données projet'!$A$88&gt;35,BD92+BC93-BL92,IF(A93&lt;'Données projet'!$A$88,$BA$205^A93,IF(A93='Données projet'!$A$88,'Données projet'!$B$88,BD92+BC93-BL92)))</f>
        <v>329.99999999999994</v>
      </c>
      <c r="BE93" s="14">
        <f>BD93*VLOOKUP('Données projet'!$B$11,Paramètres!$A$1:$I$89,3,0)*VLOOKUP('Données projet'!$B$11,Paramètres!$A$1:$I$89,5,0)</f>
        <v>298.58399999999995</v>
      </c>
      <c r="BF93" s="14">
        <f t="shared" si="91"/>
        <v>70.879533797607607</v>
      </c>
      <c r="BG93" s="22">
        <f t="shared" si="61"/>
        <v>643.48232136416652</v>
      </c>
      <c r="BH93" s="62">
        <f t="shared" si="62"/>
        <v>923.34291314383483</v>
      </c>
      <c r="BI93" s="62">
        <f ca="1">AVERAGE(OFFSET($BH$3,0,0,'Données projet'!$E$11+1,1))-AVERAGE(OFFSET($H$3,0,0,'Données projet'!$E$11+1,1))</f>
        <v>462.677457131175</v>
      </c>
      <c r="BJ93" s="62">
        <f t="shared" si="92"/>
        <v>291.78368401945909</v>
      </c>
      <c r="BK93" s="16">
        <f>IF(ISNA(VLOOKUP(A93,'Données projet'!$A$87:$I$107,3,0)),0,VLOOKUP(A93,'Données projet'!$A$87:$I$107,3,0))</f>
        <v>15</v>
      </c>
      <c r="BL93" s="16">
        <f>IF(ISNA(VLOOKUP(A93,'Données projet'!$A$87:$I$107,4,0)),0,VLOOKUP(A93,'Données projet'!$A$87:$I$107,4,0))</f>
        <v>28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1.7298950190304168</v>
      </c>
      <c r="BR93" s="23">
        <f>EXP(-LN(2)/2)*BR92+(1-EXP(-LN(2)/2))/(LN(2)/2)*BL93*BO93*VLOOKUP('Données projet'!$B$11,Paramètres!$A$1:$I$89,3,0)*0.475*44/12</f>
        <v>1.3885809708906019E-8</v>
      </c>
      <c r="BS93" s="24">
        <f t="shared" si="63"/>
        <v>1.7298950329162264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66.32561593990954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-5.6843418860808015E-14</v>
      </c>
      <c r="BZ93" s="14">
        <f>BY93*VLOOKUP('Données projet'!$B$12,Paramètres!$A$1:$I$89,3,0)*VLOOKUP('Données projet'!$B$12,Paramètres!$A$1:$I$89,5,0)</f>
        <v>-3.1036506698001178E-14</v>
      </c>
      <c r="CA93" s="14" t="e">
        <f t="shared" si="93"/>
        <v>#NUM!</v>
      </c>
      <c r="CB93" s="22" t="e">
        <f t="shared" si="64"/>
        <v>#NUM!</v>
      </c>
      <c r="CC93" s="62" t="e">
        <f t="shared" si="65"/>
        <v>#NUM!</v>
      </c>
      <c r="CD93" s="62">
        <f ca="1">AVERAGE(OFFSET($CC$3,0,0,'Données projet'!$E$12+1,1))-AVERAGE(OFFSET($H$3,0,0,'Données projet'!$E$12+1,1))</f>
        <v>302.37244372118971</v>
      </c>
      <c r="CE93" s="62">
        <f t="shared" si="94"/>
        <v>439.56450354660171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2.2970398203244953</v>
      </c>
      <c r="CL93" s="23">
        <f>EXP(-LN(2)/25)*CL92+(1-EXP(-LN(2)/25))/(LN(2)/25)*Calculateur!CG93*Calculateur!CI93*VLOOKUP('Données projet'!$B$12,Paramètres!$A$1:$I$89,3,0)*0.475*44/12</f>
        <v>3.2025199596073977</v>
      </c>
      <c r="CM93" s="23">
        <f>EXP(-LN(2)/2)*CM92+(1-EXP(-LN(2)/2))/(LN(2)/2)*CG93*CJ93*VLOOKUP('Données projet'!$B$12,Paramètres!$A$1:$I$89,3,0)*0.475*44/12</f>
        <v>1.49487365365256E-8</v>
      </c>
      <c r="CN93" s="24">
        <f t="shared" si="66"/>
        <v>5.4995597948806294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66.32561593990954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236</v>
      </c>
      <c r="CR93" s="13">
        <f>VLOOKUP(A93,'Données projet'!$A$139:$I$159,9,0)</f>
        <v>2.8</v>
      </c>
      <c r="CS93" s="13">
        <f t="array" ref="CS93">INDEX(CR:CR,MIN(IF(ISNUMBER(CR93:CR289),ROW(CR93:CR289),"")))</f>
        <v>2.8</v>
      </c>
      <c r="CT93" s="13">
        <f>IF('Données projet'!$A$140&gt;35,CT92+CS93-DB92,IF(A93&lt;'Données projet'!$A$140,$CQ$205^A93,IF(A93='Données projet'!$A$140,'Données projet'!$B$140,CT92+CS93-DB92)))</f>
        <v>236.00000000000003</v>
      </c>
      <c r="CU93" s="18">
        <f>CT93*VLOOKUP('Données projet'!$B$13,Paramètres!$A$1:$I$89,3,0)*VLOOKUP('Données projet'!$B$13,Paramètres!$A$1:$I$89,5,0)</f>
        <v>173.0352</v>
      </c>
      <c r="CV93" s="14">
        <f t="shared" si="95"/>
        <v>43.769105696835744</v>
      </c>
      <c r="CW93" s="22">
        <f t="shared" si="67"/>
        <v>377.60083242198886</v>
      </c>
      <c r="CX93" s="62">
        <f t="shared" si="68"/>
        <v>657.46142420165711</v>
      </c>
      <c r="CY93" s="62">
        <f ca="1">AVERAGE(OFFSET($CX$3,0,0,'Données projet'!$E$13+1,1))-AVERAGE(OFFSET($H$3,0,0,'Données projet'!$E$13+1,1))</f>
        <v>300.12722359176314</v>
      </c>
      <c r="CZ93" s="62">
        <f t="shared" si="96"/>
        <v>313.35115626175946</v>
      </c>
      <c r="DA93" s="16">
        <f>IF(ISNA(VLOOKUP(A93,'Données projet'!$A$139:$I$159,3,0)),0,VLOOKUP(A93,'Données projet'!$A$139:$I$159,3,0))</f>
        <v>15</v>
      </c>
      <c r="DB93" s="16">
        <f>IF(ISNA(VLOOKUP(A93,'Données projet'!$A$139:$I$159,4,0)),0,VLOOKUP(A93,'Données projet'!$A$139:$I$159,4,0))</f>
        <v>236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2.276113188020747</v>
      </c>
      <c r="DH93" s="23">
        <f>EXP(-LN(2)/2)*DH92+(1-EXP(-LN(2)/2))/(LN(2)/2)*DB93*DE93*VLOOKUP('Données projet'!$B$13,Paramètres!$A$1:$I$89,3,0)*0.475*44/12</f>
        <v>1.4026285256963903E-8</v>
      </c>
      <c r="DI93" s="24">
        <f t="shared" si="69"/>
        <v>2.2761132020470325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66.32561593990954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66.32561593990954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66.32561593990954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66.32561593990954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66.32561593990954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3.55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13.016666666666666</v>
      </c>
      <c r="H94" s="70">
        <f t="shared" si="56"/>
        <v>204.6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66.389358288659992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-2.2737367544323206E-13</v>
      </c>
      <c r="O94" s="14">
        <f>N94*VLOOKUP('Données projet'!$B$9,Paramètres!$A$1:$I$89,3,0)*VLOOKUP('Données projet'!$B$9,Paramètres!$A$1:$I$89,5,0)</f>
        <v>-1.2710188457276673E-13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455.44531340185631</v>
      </c>
      <c r="T94" s="62">
        <f t="shared" si="88"/>
        <v>560.14861617544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3.2281032462736499</v>
      </c>
      <c r="AA94" s="23">
        <f>EXP(-LN(2)/25)*AA93+(1-EXP(-LN(2)/25))/(LN(2)/25)*Calculateur!V94*Calculateur!X94*VLOOKUP('Données projet'!$B$9,Paramètres!$A$1:$I$89,3,0)*0.475*44/12</f>
        <v>2.6205511651709865</v>
      </c>
      <c r="AB94" s="23">
        <f>EXP(-LN(2)/2)*AB93+(1-EXP(-LN(2)/2))/(LN(2)/2)*V94*Y94*VLOOKUP('Données projet'!$B$9,Paramètres!$A$1:$I$89,3,0)*0.475*44/12</f>
        <v>8.7416302107405029E-9</v>
      </c>
      <c r="AC94" s="24">
        <f t="shared" si="57"/>
        <v>5.8486544201862669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66.389358288659992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1.9895196601282805E-13</v>
      </c>
      <c r="AJ94" s="14">
        <f>AI94*VLOOKUP('Données projet'!$B$10,Paramètres!$A$1:$I$89,3,0)*VLOOKUP('Données projet'!$B$10,Paramètres!$A$1:$I$89,5,0)</f>
        <v>1.738044375088066E-13</v>
      </c>
      <c r="AK94" s="14">
        <f t="shared" si="89"/>
        <v>2.4483293633950478E-12</v>
      </c>
      <c r="AL94" s="22">
        <f t="shared" si="58"/>
        <v>4.566883036574213E-12</v>
      </c>
      <c r="AM94" s="62">
        <f t="shared" si="59"/>
        <v>280.09431372509118</v>
      </c>
      <c r="AN94" s="62">
        <f ca="1">AVERAGE(OFFSET($AM$3,0,0,'Données projet'!$E$10+1,1))-AVERAGE(OFFSET($H$3,0,0,'Données projet'!$E$10+1,1))</f>
        <v>335.71510570470264</v>
      </c>
      <c r="AO94" s="62">
        <f t="shared" si="90"/>
        <v>401.61823018046482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4.7142620485992026</v>
      </c>
      <c r="AW94" s="23">
        <f>EXP(-LN(2)/2)*AW93+(1-EXP(-LN(2)/2))/(LN(2)/2)*AQ94*AT94*VLOOKUP('Données projet'!$B$10,Paramètres!$A$1:$I$89,3,0)*0.475*44/12</f>
        <v>1.2029308577853836E-8</v>
      </c>
      <c r="AX94" s="23">
        <f t="shared" si="60"/>
        <v>4.7142620606285108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66.389358288659992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6.2</v>
      </c>
      <c r="BD94" s="13">
        <f>IF('Données projet'!$A$88&gt;35,BD93+BC94-BL93,IF(A94&lt;'Données projet'!$A$88,$BA$205^A94,IF(A94='Données projet'!$A$88,'Données projet'!$B$88,BD93+BC94-BL93)))</f>
        <v>308.19999999999993</v>
      </c>
      <c r="BE94" s="14">
        <f>BD94*VLOOKUP('Données projet'!$B$11,Paramètres!$A$1:$I$89,3,0)*VLOOKUP('Données projet'!$B$11,Paramètres!$A$1:$I$89,5,0)</f>
        <v>278.85935999999992</v>
      </c>
      <c r="BF94" s="14">
        <f t="shared" si="91"/>
        <v>66.725901622172387</v>
      </c>
      <c r="BG94" s="22">
        <f t="shared" si="61"/>
        <v>601.8943306586167</v>
      </c>
      <c r="BH94" s="62">
        <f t="shared" si="62"/>
        <v>881.98864438370333</v>
      </c>
      <c r="BI94" s="62">
        <f ca="1">AVERAGE(OFFSET($BH$3,0,0,'Données projet'!$E$11+1,1))-AVERAGE(OFFSET($H$3,0,0,'Données projet'!$E$11+1,1))</f>
        <v>462.677457131175</v>
      </c>
      <c r="BJ94" s="62">
        <f t="shared" si="92"/>
        <v>291.78368401945909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1.6825909487638047</v>
      </c>
      <c r="BR94" s="23">
        <f>EXP(-LN(2)/2)*BR93+(1-EXP(-LN(2)/2))/(LN(2)/2)*BL94*BO94*VLOOKUP('Données projet'!$B$11,Paramètres!$A$1:$I$89,3,0)*0.475*44/12</f>
        <v>9.8187502074334452E-9</v>
      </c>
      <c r="BS94" s="24">
        <f t="shared" si="63"/>
        <v>1.6825909585825549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66.389358288659992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-5.6843418860808015E-14</v>
      </c>
      <c r="BZ94" s="14">
        <f>BY94*VLOOKUP('Données projet'!$B$12,Paramètres!$A$1:$I$89,3,0)*VLOOKUP('Données projet'!$B$12,Paramètres!$A$1:$I$89,5,0)</f>
        <v>-3.1036506698001178E-14</v>
      </c>
      <c r="CA94" s="14" t="e">
        <f t="shared" si="93"/>
        <v>#NUM!</v>
      </c>
      <c r="CB94" s="22" t="e">
        <f t="shared" si="64"/>
        <v>#NUM!</v>
      </c>
      <c r="CC94" s="62" t="e">
        <f t="shared" si="65"/>
        <v>#NUM!</v>
      </c>
      <c r="CD94" s="62">
        <f ca="1">AVERAGE(OFFSET($CC$3,0,0,'Données projet'!$E$12+1,1))-AVERAGE(OFFSET($H$3,0,0,'Données projet'!$E$12+1,1))</f>
        <v>302.37244372118971</v>
      </c>
      <c r="CE94" s="62">
        <f t="shared" si="94"/>
        <v>439.56450354660171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2.2519962705038794</v>
      </c>
      <c r="CL94" s="23">
        <f>EXP(-LN(2)/25)*CL93+(1-EXP(-LN(2)/25))/(LN(2)/25)*Calculateur!CG94*Calculateur!CI94*VLOOKUP('Données projet'!$B$12,Paramètres!$A$1:$I$89,3,0)*0.475*44/12</f>
        <v>3.1149468828987281</v>
      </c>
      <c r="CM94" s="23">
        <f>EXP(-LN(2)/2)*CM93+(1-EXP(-LN(2)/2))/(LN(2)/2)*CG94*CJ94*VLOOKUP('Données projet'!$B$12,Paramètres!$A$1:$I$89,3,0)*0.475*44/12</f>
        <v>1.0570352975148356E-8</v>
      </c>
      <c r="CN94" s="24">
        <f t="shared" si="66"/>
        <v>5.3669431639729597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66.389358288659992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2.8421709430404007E-14</v>
      </c>
      <c r="CU94" s="18">
        <f>CT94*VLOOKUP('Données projet'!$B$13,Paramètres!$A$1:$I$89,3,0)*VLOOKUP('Données projet'!$B$13,Paramètres!$A$1:$I$89,5,0)</f>
        <v>2.0838797354372217E-14</v>
      </c>
      <c r="CV94" s="14">
        <f t="shared" si="95"/>
        <v>3.7575774393093487E-13</v>
      </c>
      <c r="CW94" s="22">
        <f t="shared" si="67"/>
        <v>6.9073897607190981E-13</v>
      </c>
      <c r="CX94" s="62">
        <f t="shared" si="68"/>
        <v>280.09431372508732</v>
      </c>
      <c r="CY94" s="62">
        <f ca="1">AVERAGE(OFFSET($CX$3,0,0,'Données projet'!$E$13+1,1))-AVERAGE(OFFSET($H$3,0,0,'Données projet'!$E$13+1,1))</f>
        <v>300.12722359176314</v>
      </c>
      <c r="CZ94" s="62">
        <f t="shared" si="96"/>
        <v>313.35115626175946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2.2138727531987294</v>
      </c>
      <c r="DH94" s="23">
        <f>EXP(-LN(2)/2)*DH93+(1-EXP(-LN(2)/2))/(LN(2)/2)*DB94*DE94*VLOOKUP('Données projet'!$B$13,Paramètres!$A$1:$I$89,3,0)*0.475*44/12</f>
        <v>9.9180814200560719E-9</v>
      </c>
      <c r="DI94" s="24">
        <f t="shared" si="69"/>
        <v>2.2138727631168109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66.389358288659992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66.389358288659992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66.389358288659992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66.389358288659992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66.389358288659992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3.55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13.016666666666666</v>
      </c>
      <c r="H95" s="70">
        <f t="shared" si="56"/>
        <v>204.6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66.451994850166187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-2.2737367544323206E-13</v>
      </c>
      <c r="O95" s="14">
        <f>N95*VLOOKUP('Données projet'!$B$9,Paramètres!$A$1:$I$89,3,0)*VLOOKUP('Données projet'!$B$9,Paramètres!$A$1:$I$89,5,0)</f>
        <v>-1.2710188457276673E-13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455.44531340185631</v>
      </c>
      <c r="T95" s="62">
        <f t="shared" si="88"/>
        <v>560.14861617544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3.1648021105627864</v>
      </c>
      <c r="AA95" s="23">
        <f>EXP(-LN(2)/25)*AA94+(1-EXP(-LN(2)/25))/(LN(2)/25)*Calculateur!V95*Calculateur!X95*VLOOKUP('Données projet'!$B$9,Paramètres!$A$1:$I$89,3,0)*0.475*44/12</f>
        <v>2.5488920557505894</v>
      </c>
      <c r="AB95" s="23">
        <f>EXP(-LN(2)/2)*AB94+(1-EXP(-LN(2)/2))/(LN(2)/2)*V95*Y95*VLOOKUP('Données projet'!$B$9,Paramètres!$A$1:$I$89,3,0)*0.475*44/12</f>
        <v>6.1812660006397982E-9</v>
      </c>
      <c r="AC95" s="24">
        <f t="shared" si="57"/>
        <v>5.713694172494642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66.451994850166187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1.9895196601282805E-13</v>
      </c>
      <c r="AJ95" s="14">
        <f>AI95*VLOOKUP('Données projet'!$B$10,Paramètres!$A$1:$I$89,3,0)*VLOOKUP('Données projet'!$B$10,Paramètres!$A$1:$I$89,5,0)</f>
        <v>1.738044375088066E-13</v>
      </c>
      <c r="AK95" s="14">
        <f t="shared" si="89"/>
        <v>2.4483293633950478E-12</v>
      </c>
      <c r="AL95" s="22">
        <f t="shared" si="58"/>
        <v>4.566883036574213E-12</v>
      </c>
      <c r="AM95" s="62">
        <f t="shared" si="59"/>
        <v>280.32398111728054</v>
      </c>
      <c r="AN95" s="62">
        <f ca="1">AVERAGE(OFFSET($AM$3,0,0,'Données projet'!$E$10+1,1))-AVERAGE(OFFSET($H$3,0,0,'Données projet'!$E$10+1,1))</f>
        <v>335.71510570470264</v>
      </c>
      <c r="AO95" s="62">
        <f t="shared" si="90"/>
        <v>401.61823018046482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4.5853503049679905</v>
      </c>
      <c r="AW95" s="23">
        <f>EXP(-LN(2)/2)*AW94+(1-EXP(-LN(2)/2))/(LN(2)/2)*AQ95*AT95*VLOOKUP('Données projet'!$B$10,Paramètres!$A$1:$I$89,3,0)*0.475*44/12</f>
        <v>8.5060056683859514E-9</v>
      </c>
      <c r="AX95" s="23">
        <f t="shared" si="60"/>
        <v>4.5853503134739961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66.451994850166187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6.2</v>
      </c>
      <c r="BD95" s="13">
        <f>IF('Données projet'!$A$88&gt;35,BD94+BC95-BL94,IF(A95&lt;'Données projet'!$A$88,$BA$205^A95,IF(A95='Données projet'!$A$88,'Données projet'!$B$88,BD94+BC95-BL94)))</f>
        <v>314.39999999999992</v>
      </c>
      <c r="BE95" s="14">
        <f>BD95*VLOOKUP('Données projet'!$B$11,Paramètres!$A$1:$I$89,3,0)*VLOOKUP('Données projet'!$B$11,Paramètres!$A$1:$I$89,5,0)</f>
        <v>284.46911999999992</v>
      </c>
      <c r="BF95" s="14">
        <f t="shared" si="91"/>
        <v>67.91059023737904</v>
      </c>
      <c r="BG95" s="22">
        <f t="shared" si="61"/>
        <v>613.72799533010163</v>
      </c>
      <c r="BH95" s="62">
        <f t="shared" si="62"/>
        <v>894.05197644737768</v>
      </c>
      <c r="BI95" s="62">
        <f ca="1">AVERAGE(OFFSET($BH$3,0,0,'Données projet'!$E$11+1,1))-AVERAGE(OFFSET($H$3,0,0,'Données projet'!$E$11+1,1))</f>
        <v>462.677457131175</v>
      </c>
      <c r="BJ95" s="62">
        <f t="shared" si="92"/>
        <v>291.78368401945909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1.6365804107862461</v>
      </c>
      <c r="BR95" s="23">
        <f>EXP(-LN(2)/2)*BR94+(1-EXP(-LN(2)/2))/(LN(2)/2)*BL95*BO95*VLOOKUP('Données projet'!$B$11,Paramètres!$A$1:$I$89,3,0)*0.475*44/12</f>
        <v>6.9429048544530093E-9</v>
      </c>
      <c r="BS95" s="24">
        <f t="shared" si="63"/>
        <v>1.636580417729151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66.451994850166187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-5.6843418860808015E-14</v>
      </c>
      <c r="BZ95" s="14">
        <f>BY95*VLOOKUP('Données projet'!$B$12,Paramètres!$A$1:$I$89,3,0)*VLOOKUP('Données projet'!$B$12,Paramètres!$A$1:$I$89,5,0)</f>
        <v>-3.1036506698001178E-14</v>
      </c>
      <c r="CA95" s="14" t="e">
        <f t="shared" si="93"/>
        <v>#NUM!</v>
      </c>
      <c r="CB95" s="22" t="e">
        <f t="shared" si="64"/>
        <v>#NUM!</v>
      </c>
      <c r="CC95" s="62" t="e">
        <f t="shared" si="65"/>
        <v>#NUM!</v>
      </c>
      <c r="CD95" s="62">
        <f ca="1">AVERAGE(OFFSET($CC$3,0,0,'Données projet'!$E$12+1,1))-AVERAGE(OFFSET($H$3,0,0,'Données projet'!$E$12+1,1))</f>
        <v>302.37244372118971</v>
      </c>
      <c r="CE95" s="62">
        <f t="shared" si="94"/>
        <v>439.56450354660171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2.2078359972213932</v>
      </c>
      <c r="CL95" s="23">
        <f>EXP(-LN(2)/25)*CL94+(1-EXP(-LN(2)/25))/(LN(2)/25)*Calculateur!CG95*Calculateur!CI95*VLOOKUP('Données projet'!$B$12,Paramètres!$A$1:$I$89,3,0)*0.475*44/12</f>
        <v>3.0297684965779252</v>
      </c>
      <c r="CM95" s="23">
        <f>EXP(-LN(2)/2)*CM94+(1-EXP(-LN(2)/2))/(LN(2)/2)*CG95*CJ95*VLOOKUP('Données projet'!$B$12,Paramètres!$A$1:$I$89,3,0)*0.475*44/12</f>
        <v>7.4743682682628E-9</v>
      </c>
      <c r="CN95" s="24">
        <f t="shared" si="66"/>
        <v>5.2376045012736876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66.451994850166187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2.8421709430404007E-14</v>
      </c>
      <c r="CU95" s="18">
        <f>CT95*VLOOKUP('Données projet'!$B$13,Paramètres!$A$1:$I$89,3,0)*VLOOKUP('Données projet'!$B$13,Paramètres!$A$1:$I$89,5,0)</f>
        <v>2.0838797354372217E-14</v>
      </c>
      <c r="CV95" s="14">
        <f t="shared" si="95"/>
        <v>3.7575774393093487E-13</v>
      </c>
      <c r="CW95" s="22">
        <f t="shared" si="67"/>
        <v>6.9073897607190981E-13</v>
      </c>
      <c r="CX95" s="62">
        <f t="shared" si="68"/>
        <v>280.32398111727667</v>
      </c>
      <c r="CY95" s="62">
        <f ca="1">AVERAGE(OFFSET($CX$3,0,0,'Données projet'!$E$13+1,1))-AVERAGE(OFFSET($H$3,0,0,'Données projet'!$E$13+1,1))</f>
        <v>300.12722359176314</v>
      </c>
      <c r="CZ95" s="62">
        <f t="shared" si="96"/>
        <v>313.35115626175946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2.153334286340002</v>
      </c>
      <c r="DH95" s="23">
        <f>EXP(-LN(2)/2)*DH94+(1-EXP(-LN(2)/2))/(LN(2)/2)*DB95*DE95*VLOOKUP('Données projet'!$B$13,Paramètres!$A$1:$I$89,3,0)*0.475*44/12</f>
        <v>7.0131426284819515E-9</v>
      </c>
      <c r="DI95" s="24">
        <f t="shared" si="69"/>
        <v>2.1533342933531445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66.451994850166187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66.451994850166187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66.451994850166187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66.451994850166187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66.451994850166187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3.55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13.016666666666666</v>
      </c>
      <c r="H96" s="70">
        <f t="shared" si="56"/>
        <v>204.6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66.513544807364596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-2.2737367544323206E-13</v>
      </c>
      <c r="O96" s="14">
        <f>N96*VLOOKUP('Données projet'!$B$9,Paramètres!$A$1:$I$89,3,0)*VLOOKUP('Données projet'!$B$9,Paramètres!$A$1:$I$89,5,0)</f>
        <v>-1.2710188457276673E-13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455.44531340185631</v>
      </c>
      <c r="T96" s="62">
        <f t="shared" si="88"/>
        <v>560.14861617544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3.1027422715133324</v>
      </c>
      <c r="AA96" s="23">
        <f>EXP(-LN(2)/25)*AA95+(1-EXP(-LN(2)/25))/(LN(2)/25)*Calculateur!V96*Calculateur!X96*VLOOKUP('Données projet'!$B$9,Paramètres!$A$1:$I$89,3,0)*0.475*44/12</f>
        <v>2.4791924684456821</v>
      </c>
      <c r="AB96" s="23">
        <f>EXP(-LN(2)/2)*AB95+(1-EXP(-LN(2)/2))/(LN(2)/2)*V96*Y96*VLOOKUP('Données projet'!$B$9,Paramètres!$A$1:$I$89,3,0)*0.475*44/12</f>
        <v>4.3708151053702514E-9</v>
      </c>
      <c r="AC96" s="24">
        <f t="shared" si="57"/>
        <v>5.5819347443298293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66.513544807364596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1.9895196601282805E-13</v>
      </c>
      <c r="AJ96" s="14">
        <f>AI96*VLOOKUP('Données projet'!$B$10,Paramètres!$A$1:$I$89,3,0)*VLOOKUP('Données projet'!$B$10,Paramètres!$A$1:$I$89,5,0)</f>
        <v>1.738044375088066E-13</v>
      </c>
      <c r="AK96" s="14">
        <f t="shared" si="89"/>
        <v>2.4483293633950478E-12</v>
      </c>
      <c r="AL96" s="22">
        <f t="shared" si="58"/>
        <v>4.566883036574213E-12</v>
      </c>
      <c r="AM96" s="62">
        <f t="shared" si="59"/>
        <v>280.54966429367477</v>
      </c>
      <c r="AN96" s="62">
        <f ca="1">AVERAGE(OFFSET($AM$3,0,0,'Données projet'!$E$10+1,1))-AVERAGE(OFFSET($H$3,0,0,'Données projet'!$E$10+1,1))</f>
        <v>335.71510570470264</v>
      </c>
      <c r="AO96" s="62">
        <f t="shared" si="90"/>
        <v>401.61823018046482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4.4599636597455481</v>
      </c>
      <c r="AW96" s="23">
        <f>EXP(-LN(2)/2)*AW95+(1-EXP(-LN(2)/2))/(LN(2)/2)*AQ96*AT96*VLOOKUP('Données projet'!$B$10,Paramètres!$A$1:$I$89,3,0)*0.475*44/12</f>
        <v>6.014654288926918E-9</v>
      </c>
      <c r="AX96" s="23">
        <f t="shared" si="60"/>
        <v>4.4599636657602026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66.513544807364596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6.2</v>
      </c>
      <c r="BD96" s="13">
        <f>IF('Données projet'!$A$88&gt;35,BD95+BC96-BL95,IF(A96&lt;'Données projet'!$A$88,$BA$205^A96,IF(A96='Données projet'!$A$88,'Données projet'!$B$88,BD95+BC96-BL95)))</f>
        <v>320.59999999999991</v>
      </c>
      <c r="BE96" s="14">
        <f>BD96*VLOOKUP('Données projet'!$B$11,Paramètres!$A$1:$I$89,3,0)*VLOOKUP('Données projet'!$B$11,Paramètres!$A$1:$I$89,5,0)</f>
        <v>290.07887999999991</v>
      </c>
      <c r="BF96" s="14">
        <f t="shared" si="91"/>
        <v>69.092562427360406</v>
      </c>
      <c r="BG96" s="22">
        <f t="shared" si="61"/>
        <v>625.55692889431919</v>
      </c>
      <c r="BH96" s="62">
        <f t="shared" si="62"/>
        <v>906.10659318798935</v>
      </c>
      <c r="BI96" s="62">
        <f ca="1">AVERAGE(OFFSET($BH$3,0,0,'Données projet'!$E$11+1,1))-AVERAGE(OFFSET($H$3,0,0,'Données projet'!$E$11+1,1))</f>
        <v>462.677457131175</v>
      </c>
      <c r="BJ96" s="62">
        <f t="shared" si="92"/>
        <v>291.78368401945909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1.5918280333892727</v>
      </c>
      <c r="BR96" s="23">
        <f>EXP(-LN(2)/2)*BR95+(1-EXP(-LN(2)/2))/(LN(2)/2)*BL96*BO96*VLOOKUP('Données projet'!$B$11,Paramètres!$A$1:$I$89,3,0)*0.475*44/12</f>
        <v>4.9093751037167226E-9</v>
      </c>
      <c r="BS96" s="24">
        <f t="shared" si="63"/>
        <v>1.5918280382986478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66.513544807364596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-5.6843418860808015E-14</v>
      </c>
      <c r="BZ96" s="14">
        <f>BY96*VLOOKUP('Données projet'!$B$12,Paramètres!$A$1:$I$89,3,0)*VLOOKUP('Données projet'!$B$12,Paramètres!$A$1:$I$89,5,0)</f>
        <v>-3.1036506698001178E-14</v>
      </c>
      <c r="CA96" s="14" t="e">
        <f t="shared" si="93"/>
        <v>#NUM!</v>
      </c>
      <c r="CB96" s="22" t="e">
        <f t="shared" si="64"/>
        <v>#NUM!</v>
      </c>
      <c r="CC96" s="62" t="e">
        <f t="shared" si="65"/>
        <v>#NUM!</v>
      </c>
      <c r="CD96" s="62">
        <f ca="1">AVERAGE(OFFSET($CC$3,0,0,'Données projet'!$E$12+1,1))-AVERAGE(OFFSET($H$3,0,0,'Données projet'!$E$12+1,1))</f>
        <v>302.37244372118971</v>
      </c>
      <c r="CE96" s="62">
        <f t="shared" si="94"/>
        <v>439.56450354660171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2.1645416799628698</v>
      </c>
      <c r="CL96" s="23">
        <f>EXP(-LN(2)/25)*CL95+(1-EXP(-LN(2)/25))/(LN(2)/25)*Calculateur!CG96*Calculateur!CI96*VLOOKUP('Données projet'!$B$12,Paramètres!$A$1:$I$89,3,0)*0.475*44/12</f>
        <v>2.9469193177104014</v>
      </c>
      <c r="CM96" s="23">
        <f>EXP(-LN(2)/2)*CM95+(1-EXP(-LN(2)/2))/(LN(2)/2)*CG96*CJ96*VLOOKUP('Données projet'!$B$12,Paramètres!$A$1:$I$89,3,0)*0.475*44/12</f>
        <v>5.2851764875741779E-9</v>
      </c>
      <c r="CN96" s="24">
        <f t="shared" si="66"/>
        <v>5.111461002958448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66.513544807364596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2.8421709430404007E-14</v>
      </c>
      <c r="CU96" s="18">
        <f>CT96*VLOOKUP('Données projet'!$B$13,Paramètres!$A$1:$I$89,3,0)*VLOOKUP('Données projet'!$B$13,Paramètres!$A$1:$I$89,5,0)</f>
        <v>2.0838797354372217E-14</v>
      </c>
      <c r="CV96" s="14">
        <f t="shared" si="95"/>
        <v>3.7575774393093487E-13</v>
      </c>
      <c r="CW96" s="22">
        <f t="shared" si="67"/>
        <v>6.9073897607190981E-13</v>
      </c>
      <c r="CX96" s="62">
        <f t="shared" si="68"/>
        <v>280.5496642936709</v>
      </c>
      <c r="CY96" s="62">
        <f ca="1">AVERAGE(OFFSET($CX$3,0,0,'Données projet'!$E$13+1,1))-AVERAGE(OFFSET($H$3,0,0,'Données projet'!$E$13+1,1))</f>
        <v>300.12722359176314</v>
      </c>
      <c r="CZ96" s="62">
        <f t="shared" si="96"/>
        <v>313.35115626175946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2.0944512470411061</v>
      </c>
      <c r="DH96" s="23">
        <f>EXP(-LN(2)/2)*DH95+(1-EXP(-LN(2)/2))/(LN(2)/2)*DB96*DE96*VLOOKUP('Données projet'!$B$13,Paramètres!$A$1:$I$89,3,0)*0.475*44/12</f>
        <v>4.959040710028036E-9</v>
      </c>
      <c r="DI96" s="24">
        <f t="shared" si="69"/>
        <v>2.0944512520001468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66.513544807364596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66.513544807364596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66.513544807364596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66.513544807364596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66.513544807364596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3.55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13.016666666666666</v>
      </c>
      <c r="H97" s="70">
        <f t="shared" si="56"/>
        <v>204.6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66.574027010410731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-2.2737367544323206E-13</v>
      </c>
      <c r="O97" s="14">
        <f>N97*VLOOKUP('Données projet'!$B$9,Paramètres!$A$1:$I$89,3,0)*VLOOKUP('Données projet'!$B$9,Paramètres!$A$1:$I$89,5,0)</f>
        <v>-1.2710188457276673E-13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455.44531340185631</v>
      </c>
      <c r="T97" s="62">
        <f t="shared" si="88"/>
        <v>560.14861617544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3.0418993880548739</v>
      </c>
      <c r="AA97" s="23">
        <f>EXP(-LN(2)/25)*AA96+(1-EXP(-LN(2)/25))/(LN(2)/25)*Calculateur!V97*Calculateur!X97*VLOOKUP('Données projet'!$B$9,Paramètres!$A$1:$I$89,3,0)*0.475*44/12</f>
        <v>2.4113988200209691</v>
      </c>
      <c r="AB97" s="23">
        <f>EXP(-LN(2)/2)*AB96+(1-EXP(-LN(2)/2))/(LN(2)/2)*V97*Y97*VLOOKUP('Données projet'!$B$9,Paramètres!$A$1:$I$89,3,0)*0.475*44/12</f>
        <v>3.0906330003198991E-9</v>
      </c>
      <c r="AC97" s="24">
        <f t="shared" si="57"/>
        <v>5.4532982111664756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66.574027010410731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1.9895196601282805E-13</v>
      </c>
      <c r="AJ97" s="14">
        <f>AI97*VLOOKUP('Données projet'!$B$10,Paramètres!$A$1:$I$89,3,0)*VLOOKUP('Données projet'!$B$10,Paramètres!$A$1:$I$89,5,0)</f>
        <v>1.738044375088066E-13</v>
      </c>
      <c r="AK97" s="14">
        <f t="shared" si="89"/>
        <v>2.4483293633950478E-12</v>
      </c>
      <c r="AL97" s="22">
        <f t="shared" si="58"/>
        <v>4.566883036574213E-12</v>
      </c>
      <c r="AM97" s="62">
        <f t="shared" si="59"/>
        <v>280.77143237151057</v>
      </c>
      <c r="AN97" s="62">
        <f ca="1">AVERAGE(OFFSET($AM$3,0,0,'Données projet'!$E$10+1,1))-AVERAGE(OFFSET($H$3,0,0,'Données projet'!$E$10+1,1))</f>
        <v>335.71510570470264</v>
      </c>
      <c r="AO97" s="62">
        <f t="shared" si="90"/>
        <v>401.61823018046482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4.3380057189305106</v>
      </c>
      <c r="AW97" s="23">
        <f>EXP(-LN(2)/2)*AW96+(1-EXP(-LN(2)/2))/(LN(2)/2)*AQ97*AT97*VLOOKUP('Données projet'!$B$10,Paramètres!$A$1:$I$89,3,0)*0.475*44/12</f>
        <v>4.2530028341929757E-9</v>
      </c>
      <c r="AX97" s="23">
        <f t="shared" si="60"/>
        <v>4.338005723183513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66.574027010410731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6.2</v>
      </c>
      <c r="BD97" s="13">
        <f>IF('Données projet'!$A$88&gt;35,BD96+BC97-BL96,IF(A97&lt;'Données projet'!$A$88,$BA$205^A97,IF(A97='Données projet'!$A$88,'Données projet'!$B$88,BD96+BC97-BL96)))</f>
        <v>326.7999999999999</v>
      </c>
      <c r="BE97" s="14">
        <f>BD97*VLOOKUP('Données projet'!$B$11,Paramètres!$A$1:$I$89,3,0)*VLOOKUP('Données projet'!$B$11,Paramètres!$A$1:$I$89,5,0)</f>
        <v>295.68863999999991</v>
      </c>
      <c r="BF97" s="14">
        <f t="shared" si="91"/>
        <v>70.271876780519747</v>
      </c>
      <c r="BG97" s="22">
        <f t="shared" si="61"/>
        <v>637.3812333927383</v>
      </c>
      <c r="BH97" s="62">
        <f t="shared" si="62"/>
        <v>918.15266576424438</v>
      </c>
      <c r="BI97" s="62">
        <f ca="1">AVERAGE(OFFSET($BH$3,0,0,'Données projet'!$E$11+1,1))-AVERAGE(OFFSET($H$3,0,0,'Données projet'!$E$11+1,1))</f>
        <v>462.677457131175</v>
      </c>
      <c r="BJ97" s="62">
        <f t="shared" si="92"/>
        <v>291.78368401945909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1.548299412105645</v>
      </c>
      <c r="BR97" s="23">
        <f>EXP(-LN(2)/2)*BR96+(1-EXP(-LN(2)/2))/(LN(2)/2)*BL97*BO97*VLOOKUP('Données projet'!$B$11,Paramètres!$A$1:$I$89,3,0)*0.475*44/12</f>
        <v>3.4714524272265047E-9</v>
      </c>
      <c r="BS97" s="24">
        <f t="shared" si="63"/>
        <v>1.5482994155770975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66.574027010410731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-5.6843418860808015E-14</v>
      </c>
      <c r="BZ97" s="14">
        <f>BY97*VLOOKUP('Données projet'!$B$12,Paramètres!$A$1:$I$89,3,0)*VLOOKUP('Données projet'!$B$12,Paramètres!$A$1:$I$89,5,0)</f>
        <v>-3.1036506698001178E-14</v>
      </c>
      <c r="CA97" s="14" t="e">
        <f t="shared" si="93"/>
        <v>#NUM!</v>
      </c>
      <c r="CB97" s="22" t="e">
        <f t="shared" si="64"/>
        <v>#NUM!</v>
      </c>
      <c r="CC97" s="62" t="e">
        <f t="shared" si="65"/>
        <v>#NUM!</v>
      </c>
      <c r="CD97" s="62">
        <f ca="1">AVERAGE(OFFSET($CC$3,0,0,'Données projet'!$E$12+1,1))-AVERAGE(OFFSET($H$3,0,0,'Données projet'!$E$12+1,1))</f>
        <v>302.37244372118971</v>
      </c>
      <c r="CE97" s="62">
        <f t="shared" si="94"/>
        <v>439.56450354660171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2.12209633785886</v>
      </c>
      <c r="CL97" s="23">
        <f>EXP(-LN(2)/25)*CL96+(1-EXP(-LN(2)/25))/(LN(2)/25)*Calculateur!CG97*Calculateur!CI97*VLOOKUP('Données projet'!$B$12,Paramètres!$A$1:$I$89,3,0)*0.475*44/12</f>
        <v>2.8663356539958587</v>
      </c>
      <c r="CM97" s="23">
        <f>EXP(-LN(2)/2)*CM96+(1-EXP(-LN(2)/2))/(LN(2)/2)*CG97*CJ97*VLOOKUP('Données projet'!$B$12,Paramètres!$A$1:$I$89,3,0)*0.475*44/12</f>
        <v>3.7371841341314E-9</v>
      </c>
      <c r="CN97" s="24">
        <f t="shared" si="66"/>
        <v>4.9884319955919025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66.574027010410731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2.8421709430404007E-14</v>
      </c>
      <c r="CU97" s="18">
        <f>CT97*VLOOKUP('Données projet'!$B$13,Paramètres!$A$1:$I$89,3,0)*VLOOKUP('Données projet'!$B$13,Paramètres!$A$1:$I$89,5,0)</f>
        <v>2.0838797354372217E-14</v>
      </c>
      <c r="CV97" s="14">
        <f t="shared" si="95"/>
        <v>3.7575774393093487E-13</v>
      </c>
      <c r="CW97" s="22">
        <f t="shared" si="67"/>
        <v>6.9073897607190981E-13</v>
      </c>
      <c r="CX97" s="62">
        <f t="shared" si="68"/>
        <v>280.77143237150671</v>
      </c>
      <c r="CY97" s="62">
        <f ca="1">AVERAGE(OFFSET($CX$3,0,0,'Données projet'!$E$13+1,1))-AVERAGE(OFFSET($H$3,0,0,'Données projet'!$E$13+1,1))</f>
        <v>300.12722359176314</v>
      </c>
      <c r="CZ97" s="62">
        <f t="shared" si="96"/>
        <v>313.35115626175946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2.0371783675483628</v>
      </c>
      <c r="DH97" s="23">
        <f>EXP(-LN(2)/2)*DH96+(1-EXP(-LN(2)/2))/(LN(2)/2)*DB97*DE97*VLOOKUP('Données projet'!$B$13,Paramètres!$A$1:$I$89,3,0)*0.475*44/12</f>
        <v>3.5065713142409757E-9</v>
      </c>
      <c r="DI97" s="24">
        <f t="shared" si="69"/>
        <v>2.0371783710549343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66.574027010410731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66.574027010410731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66.574027010410731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66.574027010410731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66.574027010410731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3.55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13.016666666666666</v>
      </c>
      <c r="H98" s="70">
        <f t="shared" si="56"/>
        <v>204.6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66.633459982451939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-2.2737367544323206E-13</v>
      </c>
      <c r="O98" s="14">
        <f>N98*VLOOKUP('Données projet'!$B$9,Paramètres!$A$1:$I$89,3,0)*VLOOKUP('Données projet'!$B$9,Paramètres!$A$1:$I$89,5,0)</f>
        <v>-1.2710188457276673E-13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455.44531340185631</v>
      </c>
      <c r="T98" s="62">
        <f t="shared" si="88"/>
        <v>560.14861617544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2.9822495964305413</v>
      </c>
      <c r="AA98" s="23">
        <f>EXP(-LN(2)/25)*AA97+(1-EXP(-LN(2)/25))/(LN(2)/25)*Calculateur!V98*Calculateur!X98*VLOOKUP('Données projet'!$B$9,Paramètres!$A$1:$I$89,3,0)*0.475*44/12</f>
        <v>2.3454589924775431</v>
      </c>
      <c r="AB98" s="23">
        <f>EXP(-LN(2)/2)*AB97+(1-EXP(-LN(2)/2))/(LN(2)/2)*V98*Y98*VLOOKUP('Données projet'!$B$9,Paramètres!$A$1:$I$89,3,0)*0.475*44/12</f>
        <v>2.1854075526851257E-9</v>
      </c>
      <c r="AC98" s="24">
        <f t="shared" si="57"/>
        <v>5.3277085910934918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66.633459982451939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1.9895196601282805E-13</v>
      </c>
      <c r="AJ98" s="14">
        <f>AI98*VLOOKUP('Données projet'!$B$10,Paramètres!$A$1:$I$89,3,0)*VLOOKUP('Données projet'!$B$10,Paramètres!$A$1:$I$89,5,0)</f>
        <v>1.738044375088066E-13</v>
      </c>
      <c r="AK98" s="14">
        <f t="shared" si="89"/>
        <v>2.4483293633950478E-12</v>
      </c>
      <c r="AL98" s="22">
        <f t="shared" si="58"/>
        <v>4.566883036574213E-12</v>
      </c>
      <c r="AM98" s="62">
        <f t="shared" si="59"/>
        <v>280.98935326899499</v>
      </c>
      <c r="AN98" s="62">
        <f ca="1">AVERAGE(OFFSET($AM$3,0,0,'Données projet'!$E$10+1,1))-AVERAGE(OFFSET($H$3,0,0,'Données projet'!$E$10+1,1))</f>
        <v>335.71510570470264</v>
      </c>
      <c r="AO98" s="62">
        <f t="shared" si="90"/>
        <v>401.61823018046482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4.2193827244205497</v>
      </c>
      <c r="AW98" s="23">
        <f>EXP(-LN(2)/2)*AW97+(1-EXP(-LN(2)/2))/(LN(2)/2)*AQ98*AT98*VLOOKUP('Données projet'!$B$10,Paramètres!$A$1:$I$89,3,0)*0.475*44/12</f>
        <v>3.007327144463459E-9</v>
      </c>
      <c r="AX98" s="23">
        <f t="shared" si="60"/>
        <v>4.2193827274278766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66.633459982451939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>
        <f>VLOOKUP(A98,'Données projet'!$A$87:$I$107,2,0)</f>
        <v>333</v>
      </c>
      <c r="BB98" s="13">
        <f>VLOOKUP(A98,'Données projet'!$A$87:$I$107,9,0)</f>
        <v>6.2</v>
      </c>
      <c r="BC98" s="13">
        <f t="array" ref="BC98">INDEX(BB:BB,MIN(IF(ISNUMBER(BB98:BB294),ROW(BB98:BB294),"")))</f>
        <v>6.2</v>
      </c>
      <c r="BD98" s="13">
        <f>IF('Données projet'!$A$88&gt;35,BD97+BC98-BL97,IF(A98&lt;'Données projet'!$A$88,$BA$205^A98,IF(A98='Données projet'!$A$88,'Données projet'!$B$88,BD97+BC98-BL97)))</f>
        <v>332.99999999999989</v>
      </c>
      <c r="BE98" s="14">
        <f>BD98*VLOOKUP('Données projet'!$B$11,Paramètres!$A$1:$I$89,3,0)*VLOOKUP('Données projet'!$B$11,Paramètres!$A$1:$I$89,5,0)</f>
        <v>301.2983999999999</v>
      </c>
      <c r="BF98" s="14">
        <f t="shared" si="91"/>
        <v>71.448589534990518</v>
      </c>
      <c r="BG98" s="22">
        <f t="shared" si="61"/>
        <v>649.20100677344158</v>
      </c>
      <c r="BH98" s="62">
        <f t="shared" si="62"/>
        <v>930.19036004243208</v>
      </c>
      <c r="BI98" s="62">
        <f ca="1">AVERAGE(OFFSET($BH$3,0,0,'Données projet'!$E$11+1,1))-AVERAGE(OFFSET($H$3,0,0,'Données projet'!$E$11+1,1))</f>
        <v>462.677457131175</v>
      </c>
      <c r="BJ98" s="62">
        <f t="shared" si="92"/>
        <v>291.78368401945909</v>
      </c>
      <c r="BK98" s="16">
        <f>IF(ISNA(VLOOKUP(A98,'Données projet'!$A$87:$I$107,3,0)),0,VLOOKUP(A98,'Données projet'!$A$87:$I$107,3,0))</f>
        <v>16</v>
      </c>
      <c r="BL98" s="16">
        <f>IF(ISNA(VLOOKUP(A98,'Données projet'!$A$87:$I$107,4,0)),0,VLOOKUP(A98,'Données projet'!$A$87:$I$107,4,0))</f>
        <v>28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1.5059610832600887</v>
      </c>
      <c r="BR98" s="23">
        <f>EXP(-LN(2)/2)*BR97+(1-EXP(-LN(2)/2))/(LN(2)/2)*BL98*BO98*VLOOKUP('Données projet'!$B$11,Paramètres!$A$1:$I$89,3,0)*0.475*44/12</f>
        <v>2.4546875518583613E-9</v>
      </c>
      <c r="BS98" s="24">
        <f t="shared" si="63"/>
        <v>1.5059610857147763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66.633459982451939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-5.6843418860808015E-14</v>
      </c>
      <c r="BZ98" s="14">
        <f>BY98*VLOOKUP('Données projet'!$B$12,Paramètres!$A$1:$I$89,3,0)*VLOOKUP('Données projet'!$B$12,Paramètres!$A$1:$I$89,5,0)</f>
        <v>-3.1036506698001178E-14</v>
      </c>
      <c r="CA98" s="14" t="e">
        <f t="shared" si="93"/>
        <v>#NUM!</v>
      </c>
      <c r="CB98" s="22" t="e">
        <f t="shared" si="64"/>
        <v>#NUM!</v>
      </c>
      <c r="CC98" s="62" t="e">
        <f t="shared" si="65"/>
        <v>#NUM!</v>
      </c>
      <c r="CD98" s="62">
        <f ca="1">AVERAGE(OFFSET($CC$3,0,0,'Données projet'!$E$12+1,1))-AVERAGE(OFFSET($H$3,0,0,'Données projet'!$E$12+1,1))</f>
        <v>302.37244372118971</v>
      </c>
      <c r="CE98" s="62">
        <f t="shared" si="94"/>
        <v>439.56450354660171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2.0804833230244073</v>
      </c>
      <c r="CL98" s="23">
        <f>EXP(-LN(2)/25)*CL97+(1-EXP(-LN(2)/25))/(LN(2)/25)*Calculateur!CG98*Calculateur!CI98*VLOOKUP('Données projet'!$B$12,Paramètres!$A$1:$I$89,3,0)*0.475*44/12</f>
        <v>2.7879555548033008</v>
      </c>
      <c r="CM98" s="23">
        <f>EXP(-LN(2)/2)*CM97+(1-EXP(-LN(2)/2))/(LN(2)/2)*CG98*CJ98*VLOOKUP('Données projet'!$B$12,Paramètres!$A$1:$I$89,3,0)*0.475*44/12</f>
        <v>2.6425882437870889E-9</v>
      </c>
      <c r="CN98" s="24">
        <f t="shared" si="66"/>
        <v>4.8684388804702969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66.633459982451939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2.8421709430404007E-14</v>
      </c>
      <c r="CU98" s="18">
        <f>CT98*VLOOKUP('Données projet'!$B$13,Paramètres!$A$1:$I$89,3,0)*VLOOKUP('Données projet'!$B$13,Paramètres!$A$1:$I$89,5,0)</f>
        <v>2.0838797354372217E-14</v>
      </c>
      <c r="CV98" s="14">
        <f t="shared" si="95"/>
        <v>3.7575774393093487E-13</v>
      </c>
      <c r="CW98" s="22">
        <f t="shared" si="67"/>
        <v>6.9073897607190981E-13</v>
      </c>
      <c r="CX98" s="62">
        <f t="shared" si="68"/>
        <v>280.98935326899112</v>
      </c>
      <c r="CY98" s="62">
        <f ca="1">AVERAGE(OFFSET($CX$3,0,0,'Données projet'!$E$13+1,1))-AVERAGE(OFFSET($H$3,0,0,'Données projet'!$E$13+1,1))</f>
        <v>300.12722359176314</v>
      </c>
      <c r="CZ98" s="62">
        <f t="shared" si="96"/>
        <v>313.35115626175946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1.9814716179571985</v>
      </c>
      <c r="DH98" s="23">
        <f>EXP(-LN(2)/2)*DH97+(1-EXP(-LN(2)/2))/(LN(2)/2)*DB98*DE98*VLOOKUP('Données projet'!$B$13,Paramètres!$A$1:$I$89,3,0)*0.475*44/12</f>
        <v>2.479520355014018E-9</v>
      </c>
      <c r="DI98" s="24">
        <f t="shared" si="69"/>
        <v>1.9814716204367189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66.633459982451939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66.633459982451939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66.633459982451939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66.633459982451939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66.633459982451939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3.55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13.016666666666666</v>
      </c>
      <c r="H99" s="70">
        <f t="shared" si="56"/>
        <v>204.6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66.691861925300458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-2.2737367544323206E-13</v>
      </c>
      <c r="O99" s="14">
        <f>N99*VLOOKUP('Données projet'!$B$9,Paramètres!$A$1:$I$89,3,0)*VLOOKUP('Données projet'!$B$9,Paramètres!$A$1:$I$89,5,0)</f>
        <v>-1.2710188457276673E-13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455.44531340185631</v>
      </c>
      <c r="T99" s="62">
        <f t="shared" si="88"/>
        <v>560.14861617544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2.9237695008371816</v>
      </c>
      <c r="AA99" s="23">
        <f>EXP(-LN(2)/25)*AA98+(1-EXP(-LN(2)/25))/(LN(2)/25)*Calculateur!V99*Calculateur!X99*VLOOKUP('Données projet'!$B$9,Paramètres!$A$1:$I$89,3,0)*0.475*44/12</f>
        <v>2.2813222929859167</v>
      </c>
      <c r="AB99" s="23">
        <f>EXP(-LN(2)/2)*AB98+(1-EXP(-LN(2)/2))/(LN(2)/2)*V99*Y99*VLOOKUP('Données projet'!$B$9,Paramètres!$A$1:$I$89,3,0)*0.475*44/12</f>
        <v>1.5453165001599496E-9</v>
      </c>
      <c r="AC99" s="24">
        <f t="shared" si="57"/>
        <v>5.205091795368415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66.691861925300458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1.9895196601282805E-13</v>
      </c>
      <c r="AJ99" s="14">
        <f>AI99*VLOOKUP('Données projet'!$B$10,Paramètres!$A$1:$I$89,3,0)*VLOOKUP('Données projet'!$B$10,Paramètres!$A$1:$I$89,5,0)</f>
        <v>1.738044375088066E-13</v>
      </c>
      <c r="AK99" s="14">
        <f t="shared" si="89"/>
        <v>2.4483293633950478E-12</v>
      </c>
      <c r="AL99" s="22">
        <f t="shared" si="58"/>
        <v>4.566883036574213E-12</v>
      </c>
      <c r="AM99" s="62">
        <f t="shared" si="59"/>
        <v>281.20349372610622</v>
      </c>
      <c r="AN99" s="62">
        <f ca="1">AVERAGE(OFFSET($AM$3,0,0,'Données projet'!$E$10+1,1))-AVERAGE(OFFSET($H$3,0,0,'Données projet'!$E$10+1,1))</f>
        <v>335.71510570470264</v>
      </c>
      <c r="AO99" s="62">
        <f t="shared" si="90"/>
        <v>401.61823018046482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4.1040034819335762</v>
      </c>
      <c r="AW99" s="23">
        <f>EXP(-LN(2)/2)*AW98+(1-EXP(-LN(2)/2))/(LN(2)/2)*AQ99*AT99*VLOOKUP('Données projet'!$B$10,Paramètres!$A$1:$I$89,3,0)*0.475*44/12</f>
        <v>2.1265014170964879E-9</v>
      </c>
      <c r="AX99" s="23">
        <f t="shared" si="60"/>
        <v>4.1040034840600779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66.691861925300458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5.6</v>
      </c>
      <c r="BD99" s="13">
        <f>IF('Données projet'!$A$88&gt;35,BD98+BC99-BL98,IF(A99&lt;'Données projet'!$A$88,$BA$205^A99,IF(A99='Données projet'!$A$88,'Données projet'!$B$88,BD98+BC99-BL98)))</f>
        <v>310.59999999999991</v>
      </c>
      <c r="BE99" s="14">
        <f>BD99*VLOOKUP('Données projet'!$B$11,Paramètres!$A$1:$I$89,3,0)*VLOOKUP('Données projet'!$B$11,Paramètres!$A$1:$I$89,5,0)</f>
        <v>281.03087999999991</v>
      </c>
      <c r="BF99" s="14">
        <f t="shared" si="91"/>
        <v>67.184816842275467</v>
      </c>
      <c r="BG99" s="22">
        <f t="shared" si="61"/>
        <v>606.4756720002963</v>
      </c>
      <c r="BH99" s="62">
        <f t="shared" si="62"/>
        <v>887.67916572639797</v>
      </c>
      <c r="BI99" s="62">
        <f ca="1">AVERAGE(OFFSET($BH$3,0,0,'Données projet'!$E$11+1,1))-AVERAGE(OFFSET($H$3,0,0,'Données projet'!$E$11+1,1))</f>
        <v>462.677457131175</v>
      </c>
      <c r="BJ99" s="62">
        <f t="shared" si="92"/>
        <v>291.78368401945909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1.4647804982432902</v>
      </c>
      <c r="BR99" s="23">
        <f>EXP(-LN(2)/2)*BR98+(1-EXP(-LN(2)/2))/(LN(2)/2)*BL99*BO99*VLOOKUP('Données projet'!$B$11,Paramètres!$A$1:$I$89,3,0)*0.475*44/12</f>
        <v>1.7357262136132523E-9</v>
      </c>
      <c r="BS99" s="24">
        <f t="shared" si="63"/>
        <v>1.4647804999790164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66.691861925300458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-5.6843418860808015E-14</v>
      </c>
      <c r="BZ99" s="14">
        <f>BY99*VLOOKUP('Données projet'!$B$12,Paramètres!$A$1:$I$89,3,0)*VLOOKUP('Données projet'!$B$12,Paramètres!$A$1:$I$89,5,0)</f>
        <v>-3.1036506698001178E-14</v>
      </c>
      <c r="CA99" s="14" t="e">
        <f t="shared" si="93"/>
        <v>#NUM!</v>
      </c>
      <c r="CB99" s="22" t="e">
        <f t="shared" si="64"/>
        <v>#NUM!</v>
      </c>
      <c r="CC99" s="62" t="e">
        <f t="shared" si="65"/>
        <v>#NUM!</v>
      </c>
      <c r="CD99" s="62">
        <f ca="1">AVERAGE(OFFSET($CC$3,0,0,'Données projet'!$E$12+1,1))-AVERAGE(OFFSET($H$3,0,0,'Données projet'!$E$12+1,1))</f>
        <v>302.37244372118971</v>
      </c>
      <c r="CE99" s="62">
        <f t="shared" si="94"/>
        <v>439.56450354660171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2.0396863140294252</v>
      </c>
      <c r="CL99" s="23">
        <f>EXP(-LN(2)/25)*CL98+(1-EXP(-LN(2)/25))/(LN(2)/25)*Calculateur!CG99*Calculateur!CI99*VLOOKUP('Données projet'!$B$12,Paramètres!$A$1:$I$89,3,0)*0.475*44/12</f>
        <v>2.7117187635449937</v>
      </c>
      <c r="CM99" s="23">
        <f>EXP(-LN(2)/2)*CM98+(1-EXP(-LN(2)/2))/(LN(2)/2)*CG99*CJ99*VLOOKUP('Données projet'!$B$12,Paramètres!$A$1:$I$89,3,0)*0.475*44/12</f>
        <v>1.8685920670657E-9</v>
      </c>
      <c r="CN99" s="24">
        <f t="shared" si="66"/>
        <v>4.7514050794430114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66.691861925300458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2.8421709430404007E-14</v>
      </c>
      <c r="CU99" s="18">
        <f>CT99*VLOOKUP('Données projet'!$B$13,Paramètres!$A$1:$I$89,3,0)*VLOOKUP('Données projet'!$B$13,Paramètres!$A$1:$I$89,5,0)</f>
        <v>2.0838797354372217E-14</v>
      </c>
      <c r="CV99" s="14">
        <f t="shared" si="95"/>
        <v>3.7575774393093487E-13</v>
      </c>
      <c r="CW99" s="22">
        <f t="shared" si="67"/>
        <v>6.9073897607190981E-13</v>
      </c>
      <c r="CX99" s="62">
        <f t="shared" si="68"/>
        <v>281.20349372610235</v>
      </c>
      <c r="CY99" s="62">
        <f ca="1">AVERAGE(OFFSET($CX$3,0,0,'Données projet'!$E$13+1,1))-AVERAGE(OFFSET($H$3,0,0,'Données projet'!$E$13+1,1))</f>
        <v>300.12722359176314</v>
      </c>
      <c r="CZ99" s="62">
        <f t="shared" si="96"/>
        <v>313.35115626175946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1.9272881723630952</v>
      </c>
      <c r="DH99" s="23">
        <f>EXP(-LN(2)/2)*DH98+(1-EXP(-LN(2)/2))/(LN(2)/2)*DB99*DE99*VLOOKUP('Données projet'!$B$13,Paramètres!$A$1:$I$89,3,0)*0.475*44/12</f>
        <v>1.7532856571204879E-9</v>
      </c>
      <c r="DI99" s="24">
        <f t="shared" si="69"/>
        <v>1.927288174116381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66.691861925300458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66.691861925300458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66.691861925300458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66.691861925300458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66.691861925300458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3.55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13.016666666666666</v>
      </c>
      <c r="H100" s="70">
        <f t="shared" si="56"/>
        <v>204.6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66.749250725007755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-2.2737367544323206E-13</v>
      </c>
      <c r="O100" s="14">
        <f>N100*VLOOKUP('Données projet'!$B$9,Paramètres!$A$1:$I$89,3,0)*VLOOKUP('Données projet'!$B$9,Paramètres!$A$1:$I$89,5,0)</f>
        <v>-1.2710188457276673E-13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455.44531340185631</v>
      </c>
      <c r="T100" s="62">
        <f t="shared" si="88"/>
        <v>560.14861617544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2.8664361642490714</v>
      </c>
      <c r="AA100" s="23">
        <f>EXP(-LN(2)/25)*AA99+(1-EXP(-LN(2)/25))/(LN(2)/25)*Calculateur!V100*Calculateur!X100*VLOOKUP('Données projet'!$B$9,Paramètres!$A$1:$I$89,3,0)*0.475*44/12</f>
        <v>2.2189394149146913</v>
      </c>
      <c r="AB100" s="23">
        <f>EXP(-LN(2)/2)*AB99+(1-EXP(-LN(2)/2))/(LN(2)/2)*V100*Y100*VLOOKUP('Données projet'!$B$9,Paramètres!$A$1:$I$89,3,0)*0.475*44/12</f>
        <v>1.0927037763425629E-9</v>
      </c>
      <c r="AC100" s="24">
        <f t="shared" si="57"/>
        <v>5.0853755802564669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66.749250725007755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1.9895196601282805E-13</v>
      </c>
      <c r="AJ100" s="14">
        <f>AI100*VLOOKUP('Données projet'!$B$10,Paramètres!$A$1:$I$89,3,0)*VLOOKUP('Données projet'!$B$10,Paramètres!$A$1:$I$89,5,0)</f>
        <v>1.738044375088066E-13</v>
      </c>
      <c r="AK100" s="14">
        <f t="shared" si="89"/>
        <v>2.4483293633950478E-12</v>
      </c>
      <c r="AL100" s="22">
        <f t="shared" si="58"/>
        <v>4.566883036574213E-12</v>
      </c>
      <c r="AM100" s="62">
        <f t="shared" si="59"/>
        <v>281.41391932503296</v>
      </c>
      <c r="AN100" s="62">
        <f ca="1">AVERAGE(OFFSET($AM$3,0,0,'Données projet'!$E$10+1,1))-AVERAGE(OFFSET($H$3,0,0,'Données projet'!$E$10+1,1))</f>
        <v>335.71510570470264</v>
      </c>
      <c r="AO100" s="62">
        <f t="shared" si="90"/>
        <v>401.61823018046482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3.9917792908999394</v>
      </c>
      <c r="AW100" s="23">
        <f>EXP(-LN(2)/2)*AW99+(1-EXP(-LN(2)/2))/(LN(2)/2)*AQ100*AT100*VLOOKUP('Données projet'!$B$10,Paramètres!$A$1:$I$89,3,0)*0.475*44/12</f>
        <v>1.5036635722317295E-9</v>
      </c>
      <c r="AX100" s="23">
        <f t="shared" si="60"/>
        <v>3.9917792924036029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66.749250725007755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5.6</v>
      </c>
      <c r="BD100" s="13">
        <f>IF('Données projet'!$A$88&gt;35,BD99+BC100-BL99,IF(A100&lt;'Données projet'!$A$88,$BA$205^A100,IF(A100='Données projet'!$A$88,'Données projet'!$B$88,BD99+BC100-BL99)))</f>
        <v>316.19999999999993</v>
      </c>
      <c r="BE100" s="14">
        <f>BD100*VLOOKUP('Données projet'!$B$11,Paramètres!$A$1:$I$89,3,0)*VLOOKUP('Données projet'!$B$11,Paramètres!$A$1:$I$89,5,0)</f>
        <v>286.09775999999994</v>
      </c>
      <c r="BF100" s="14">
        <f t="shared" si="91"/>
        <v>68.254020651723678</v>
      </c>
      <c r="BG100" s="22">
        <f t="shared" si="61"/>
        <v>617.16268463508527</v>
      </c>
      <c r="BH100" s="62">
        <f t="shared" si="62"/>
        <v>898.57660396011374</v>
      </c>
      <c r="BI100" s="62">
        <f ca="1">AVERAGE(OFFSET($BH$3,0,0,'Données projet'!$E$11+1,1))-AVERAGE(OFFSET($H$3,0,0,'Données projet'!$E$11+1,1))</f>
        <v>462.677457131175</v>
      </c>
      <c r="BJ100" s="62">
        <f t="shared" si="92"/>
        <v>291.78368401945909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1.4247259984893688</v>
      </c>
      <c r="BR100" s="23">
        <f>EXP(-LN(2)/2)*BR99+(1-EXP(-LN(2)/2))/(LN(2)/2)*BL100*BO100*VLOOKUP('Données projet'!$B$11,Paramètres!$A$1:$I$89,3,0)*0.475*44/12</f>
        <v>1.2273437759291807E-9</v>
      </c>
      <c r="BS100" s="24">
        <f t="shared" si="63"/>
        <v>1.4247259997167125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66.749250725007755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-5.6843418860808015E-14</v>
      </c>
      <c r="BZ100" s="14">
        <f>BY100*VLOOKUP('Données projet'!$B$12,Paramètres!$A$1:$I$89,3,0)*VLOOKUP('Données projet'!$B$12,Paramètres!$A$1:$I$89,5,0)</f>
        <v>-3.1036506698001178E-14</v>
      </c>
      <c r="CA100" s="14" t="e">
        <f t="shared" si="93"/>
        <v>#NUM!</v>
      </c>
      <c r="CB100" s="22" t="e">
        <f t="shared" si="64"/>
        <v>#NUM!</v>
      </c>
      <c r="CC100" s="62" t="e">
        <f t="shared" si="65"/>
        <v>#NUM!</v>
      </c>
      <c r="CD100" s="62">
        <f ca="1">AVERAGE(OFFSET($CC$3,0,0,'Données projet'!$E$12+1,1))-AVERAGE(OFFSET($H$3,0,0,'Données projet'!$E$12+1,1))</f>
        <v>302.37244372118971</v>
      </c>
      <c r="CE100" s="62">
        <f t="shared" si="94"/>
        <v>439.56450354660171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1.9996893094971164</v>
      </c>
      <c r="CL100" s="23">
        <f>EXP(-LN(2)/25)*CL99+(1-EXP(-LN(2)/25))/(LN(2)/25)*Calculateur!CG100*Calculateur!CI100*VLOOKUP('Données projet'!$B$12,Paramètres!$A$1:$I$89,3,0)*0.475*44/12</f>
        <v>2.6375666713527637</v>
      </c>
      <c r="CM100" s="23">
        <f>EXP(-LN(2)/2)*CM99+(1-EXP(-LN(2)/2))/(LN(2)/2)*CG100*CJ100*VLOOKUP('Données projet'!$B$12,Paramètres!$A$1:$I$89,3,0)*0.475*44/12</f>
        <v>1.3212941218935445E-9</v>
      </c>
      <c r="CN100" s="24">
        <f t="shared" si="66"/>
        <v>4.6372559821711743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66.749250725007755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2.8421709430404007E-14</v>
      </c>
      <c r="CU100" s="18">
        <f>CT100*VLOOKUP('Données projet'!$B$13,Paramètres!$A$1:$I$89,3,0)*VLOOKUP('Données projet'!$B$13,Paramètres!$A$1:$I$89,5,0)</f>
        <v>2.0838797354372217E-14</v>
      </c>
      <c r="CV100" s="14">
        <f t="shared" si="95"/>
        <v>3.7575774393093487E-13</v>
      </c>
      <c r="CW100" s="22">
        <f t="shared" si="67"/>
        <v>6.9073897607190981E-13</v>
      </c>
      <c r="CX100" s="62">
        <f t="shared" si="68"/>
        <v>281.4139193250291</v>
      </c>
      <c r="CY100" s="62">
        <f ca="1">AVERAGE(OFFSET($CX$3,0,0,'Données projet'!$E$13+1,1))-AVERAGE(OFFSET($H$3,0,0,'Données projet'!$E$13+1,1))</f>
        <v>300.12722359176314</v>
      </c>
      <c r="CZ100" s="62">
        <f t="shared" si="96"/>
        <v>313.35115626175946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1.8745863759381463</v>
      </c>
      <c r="DH100" s="23">
        <f>EXP(-LN(2)/2)*DH99+(1-EXP(-LN(2)/2))/(LN(2)/2)*DB100*DE100*VLOOKUP('Données projet'!$B$13,Paramètres!$A$1:$I$89,3,0)*0.475*44/12</f>
        <v>1.239760177507009E-9</v>
      </c>
      <c r="DI100" s="24">
        <f t="shared" si="69"/>
        <v>1.8745863771779063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66.749250725007755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66.749250725007755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66.749250725007755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66.749250725007755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66.749250725007755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3.55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13.016666666666666</v>
      </c>
      <c r="H101" s="70">
        <f t="shared" si="56"/>
        <v>204.6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66.805643957342255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-2.2737367544323206E-13</v>
      </c>
      <c r="O101" s="14">
        <f>N101*VLOOKUP('Données projet'!$B$9,Paramètres!$A$1:$I$89,3,0)*VLOOKUP('Données projet'!$B$9,Paramètres!$A$1:$I$89,5,0)</f>
        <v>-1.2710188457276673E-13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455.44531340185631</v>
      </c>
      <c r="T101" s="62">
        <f t="shared" si="88"/>
        <v>560.14861617544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2.8102270994215717</v>
      </c>
      <c r="AA101" s="23">
        <f>EXP(-LN(2)/25)*AA100+(1-EXP(-LN(2)/25))/(LN(2)/25)*Calculateur!V101*Calculateur!X101*VLOOKUP('Données projet'!$B$9,Paramètres!$A$1:$I$89,3,0)*0.475*44/12</f>
        <v>2.1582623999248969</v>
      </c>
      <c r="AB101" s="23">
        <f>EXP(-LN(2)/2)*AB100+(1-EXP(-LN(2)/2))/(LN(2)/2)*V101*Y101*VLOOKUP('Données projet'!$B$9,Paramètres!$A$1:$I$89,3,0)*0.475*44/12</f>
        <v>7.7265825007997478E-10</v>
      </c>
      <c r="AC101" s="24">
        <f t="shared" si="57"/>
        <v>4.9684895001191265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66.805643957342255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1.9895196601282805E-13</v>
      </c>
      <c r="AJ101" s="14">
        <f>AI101*VLOOKUP('Données projet'!$B$10,Paramètres!$A$1:$I$89,3,0)*VLOOKUP('Données projet'!$B$10,Paramètres!$A$1:$I$89,5,0)</f>
        <v>1.738044375088066E-13</v>
      </c>
      <c r="AK101" s="14">
        <f t="shared" si="89"/>
        <v>2.4483293633950478E-12</v>
      </c>
      <c r="AL101" s="22">
        <f t="shared" si="58"/>
        <v>4.566883036574213E-12</v>
      </c>
      <c r="AM101" s="62">
        <f t="shared" si="59"/>
        <v>281.62069451025951</v>
      </c>
      <c r="AN101" s="62">
        <f ca="1">AVERAGE(OFFSET($AM$3,0,0,'Données projet'!$E$10+1,1))-AVERAGE(OFFSET($H$3,0,0,'Données projet'!$E$10+1,1))</f>
        <v>335.71510570470264</v>
      </c>
      <c r="AO101" s="62">
        <f t="shared" si="90"/>
        <v>401.61823018046482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3.8826238762717309</v>
      </c>
      <c r="AW101" s="23">
        <f>EXP(-LN(2)/2)*AW100+(1-EXP(-LN(2)/2))/(LN(2)/2)*AQ101*AT101*VLOOKUP('Données projet'!$B$10,Paramètres!$A$1:$I$89,3,0)*0.475*44/12</f>
        <v>1.0632507085482439E-9</v>
      </c>
      <c r="AX101" s="23">
        <f t="shared" si="60"/>
        <v>3.8826238773349817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66.805643957342255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5.6</v>
      </c>
      <c r="BD101" s="13">
        <f>IF('Données projet'!$A$88&gt;35,BD100+BC101-BL100,IF(A101&lt;'Données projet'!$A$88,$BA$205^A101,IF(A101='Données projet'!$A$88,'Données projet'!$B$88,BD100+BC101-BL100)))</f>
        <v>321.79999999999995</v>
      </c>
      <c r="BE101" s="14">
        <f>BD101*VLOOKUP('Données projet'!$B$11,Paramètres!$A$1:$I$89,3,0)*VLOOKUP('Données projet'!$B$11,Paramètres!$A$1:$I$89,5,0)</f>
        <v>291.16463999999991</v>
      </c>
      <c r="BF101" s="14">
        <f t="shared" si="91"/>
        <v>69.321022467464644</v>
      </c>
      <c r="BG101" s="22">
        <f t="shared" si="61"/>
        <v>627.84586213083401</v>
      </c>
      <c r="BH101" s="62">
        <f t="shared" si="62"/>
        <v>909.46655664108903</v>
      </c>
      <c r="BI101" s="62">
        <f ca="1">AVERAGE(OFFSET($BH$3,0,0,'Données projet'!$E$11+1,1))-AVERAGE(OFFSET($H$3,0,0,'Données projet'!$E$11+1,1))</f>
        <v>462.677457131175</v>
      </c>
      <c r="BJ101" s="62">
        <f t="shared" si="92"/>
        <v>291.78368401945909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1.385766791137593</v>
      </c>
      <c r="BR101" s="23">
        <f>EXP(-LN(2)/2)*BR100+(1-EXP(-LN(2)/2))/(LN(2)/2)*BL101*BO101*VLOOKUP('Données projet'!$B$11,Paramètres!$A$1:$I$89,3,0)*0.475*44/12</f>
        <v>8.6786310680662617E-10</v>
      </c>
      <c r="BS101" s="24">
        <f t="shared" si="63"/>
        <v>1.3857667920054562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66.805643957342255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-5.6843418860808015E-14</v>
      </c>
      <c r="BZ101" s="14">
        <f>BY101*VLOOKUP('Données projet'!$B$12,Paramètres!$A$1:$I$89,3,0)*VLOOKUP('Données projet'!$B$12,Paramètres!$A$1:$I$89,5,0)</f>
        <v>-3.1036506698001178E-14</v>
      </c>
      <c r="CA101" s="14" t="e">
        <f t="shared" si="93"/>
        <v>#NUM!</v>
      </c>
      <c r="CB101" s="22" t="e">
        <f t="shared" si="64"/>
        <v>#NUM!</v>
      </c>
      <c r="CC101" s="62" t="e">
        <f t="shared" si="65"/>
        <v>#NUM!</v>
      </c>
      <c r="CD101" s="62">
        <f ca="1">AVERAGE(OFFSET($CC$3,0,0,'Données projet'!$E$12+1,1))-AVERAGE(OFFSET($H$3,0,0,'Données projet'!$E$12+1,1))</f>
        <v>302.37244372118971</v>
      </c>
      <c r="CE101" s="62">
        <f t="shared" si="94"/>
        <v>439.56450354660171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1.9604766218279224</v>
      </c>
      <c r="CL101" s="23">
        <f>EXP(-LN(2)/25)*CL100+(1-EXP(-LN(2)/25))/(LN(2)/25)*Calculateur!CG101*Calculateur!CI101*VLOOKUP('Données projet'!$B$12,Paramètres!$A$1:$I$89,3,0)*0.475*44/12</f>
        <v>2.5654422720210195</v>
      </c>
      <c r="CM101" s="23">
        <f>EXP(-LN(2)/2)*CM100+(1-EXP(-LN(2)/2))/(LN(2)/2)*CG101*CJ101*VLOOKUP('Données projet'!$B$12,Paramètres!$A$1:$I$89,3,0)*0.475*44/12</f>
        <v>9.3429603353285E-10</v>
      </c>
      <c r="CN101" s="24">
        <f t="shared" si="66"/>
        <v>4.5259188947832385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66.805643957342255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2.8421709430404007E-14</v>
      </c>
      <c r="CU101" s="18">
        <f>CT101*VLOOKUP('Données projet'!$B$13,Paramètres!$A$1:$I$89,3,0)*VLOOKUP('Données projet'!$B$13,Paramètres!$A$1:$I$89,5,0)</f>
        <v>2.0838797354372217E-14</v>
      </c>
      <c r="CV101" s="14">
        <f t="shared" si="95"/>
        <v>3.7575774393093487E-13</v>
      </c>
      <c r="CW101" s="22">
        <f t="shared" si="67"/>
        <v>6.9073897607190981E-13</v>
      </c>
      <c r="CX101" s="62">
        <f t="shared" si="68"/>
        <v>281.62069451025565</v>
      </c>
      <c r="CY101" s="62">
        <f ca="1">AVERAGE(OFFSET($CX$3,0,0,'Données projet'!$E$13+1,1))-AVERAGE(OFFSET($H$3,0,0,'Données projet'!$E$13+1,1))</f>
        <v>300.12722359176314</v>
      </c>
      <c r="CZ101" s="62">
        <f t="shared" si="96"/>
        <v>313.35115626175946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1.8233257129079046</v>
      </c>
      <c r="DH101" s="23">
        <f>EXP(-LN(2)/2)*DH100+(1-EXP(-LN(2)/2))/(LN(2)/2)*DB101*DE101*VLOOKUP('Données projet'!$B$13,Paramètres!$A$1:$I$89,3,0)*0.475*44/12</f>
        <v>8.7664282856024394E-10</v>
      </c>
      <c r="DI101" s="24">
        <f t="shared" si="69"/>
        <v>1.8233257137845473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66.805643957342255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66.805643957342255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66.805643957342255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66.805643957342255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66.805643957342255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3.55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13.016666666666666</v>
      </c>
      <c r="H102" s="70">
        <f t="shared" si="56"/>
        <v>204.6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66.861058893172128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-2.2737367544323206E-13</v>
      </c>
      <c r="O102" s="14">
        <f>N102*VLOOKUP('Données projet'!$B$9,Paramètres!$A$1:$I$89,3,0)*VLOOKUP('Données projet'!$B$9,Paramètres!$A$1:$I$89,5,0)</f>
        <v>-1.2710188457276673E-13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455.44531340185631</v>
      </c>
      <c r="T102" s="62">
        <f t="shared" si="88"/>
        <v>560.14861617544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2.755120260071195</v>
      </c>
      <c r="AA102" s="23">
        <f>EXP(-LN(2)/25)*AA101+(1-EXP(-LN(2)/25))/(LN(2)/25)*Calculateur!V102*Calculateur!X102*VLOOKUP('Données projet'!$B$9,Paramètres!$A$1:$I$89,3,0)*0.475*44/12</f>
        <v>2.0992446011008639</v>
      </c>
      <c r="AB102" s="23">
        <f>EXP(-LN(2)/2)*AB101+(1-EXP(-LN(2)/2))/(LN(2)/2)*V102*Y102*VLOOKUP('Données projet'!$B$9,Paramètres!$A$1:$I$89,3,0)*0.475*44/12</f>
        <v>5.4635188817128143E-10</v>
      </c>
      <c r="AC102" s="24">
        <f t="shared" si="57"/>
        <v>4.8543648617184108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66.861058893172128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1.9895196601282805E-13</v>
      </c>
      <c r="AJ102" s="14">
        <f>AI102*VLOOKUP('Données projet'!$B$10,Paramètres!$A$1:$I$89,3,0)*VLOOKUP('Données projet'!$B$10,Paramètres!$A$1:$I$89,5,0)</f>
        <v>1.738044375088066E-13</v>
      </c>
      <c r="AK102" s="14">
        <f t="shared" si="89"/>
        <v>2.4483293633950478E-12</v>
      </c>
      <c r="AL102" s="22">
        <f t="shared" si="58"/>
        <v>4.566883036574213E-12</v>
      </c>
      <c r="AM102" s="62">
        <f t="shared" si="59"/>
        <v>281.82388260830231</v>
      </c>
      <c r="AN102" s="62">
        <f ca="1">AVERAGE(OFFSET($AM$3,0,0,'Données projet'!$E$10+1,1))-AVERAGE(OFFSET($H$3,0,0,'Données projet'!$E$10+1,1))</f>
        <v>335.71510570470264</v>
      </c>
      <c r="AO102" s="62">
        <f t="shared" si="90"/>
        <v>401.61823018046482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3.7764533221967644</v>
      </c>
      <c r="AW102" s="23">
        <f>EXP(-LN(2)/2)*AW101+(1-EXP(-LN(2)/2))/(LN(2)/2)*AQ102*AT102*VLOOKUP('Données projet'!$B$10,Paramètres!$A$1:$I$89,3,0)*0.475*44/12</f>
        <v>7.5183178611586475E-10</v>
      </c>
      <c r="AX102" s="23">
        <f t="shared" si="60"/>
        <v>3.7764533229485964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66.861058893172128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5.6</v>
      </c>
      <c r="BD102" s="13">
        <f>IF('Données projet'!$A$88&gt;35,BD101+BC102-BL101,IF(A102&lt;'Données projet'!$A$88,$BA$205^A102,IF(A102='Données projet'!$A$88,'Données projet'!$B$88,BD101+BC102-BL101)))</f>
        <v>327.39999999999998</v>
      </c>
      <c r="BE102" s="14">
        <f>BD102*VLOOKUP('Données projet'!$B$11,Paramètres!$A$1:$I$89,3,0)*VLOOKUP('Données projet'!$B$11,Paramètres!$A$1:$I$89,5,0)</f>
        <v>296.23151999999993</v>
      </c>
      <c r="BF102" s="14">
        <f t="shared" si="91"/>
        <v>70.385865030263986</v>
      </c>
      <c r="BG102" s="22">
        <f t="shared" si="61"/>
        <v>638.52527892770956</v>
      </c>
      <c r="BH102" s="62">
        <f t="shared" si="62"/>
        <v>920.34916153600739</v>
      </c>
      <c r="BI102" s="62">
        <f ca="1">AVERAGE(OFFSET($BH$3,0,0,'Données projet'!$E$11+1,1))-AVERAGE(OFFSET($H$3,0,0,'Données projet'!$E$11+1,1))</f>
        <v>462.677457131175</v>
      </c>
      <c r="BJ102" s="62">
        <f t="shared" si="92"/>
        <v>291.78368401945909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1.3478729253596273</v>
      </c>
      <c r="BR102" s="23">
        <f>EXP(-LN(2)/2)*BR101+(1-EXP(-LN(2)/2))/(LN(2)/2)*BL102*BO102*VLOOKUP('Données projet'!$B$11,Paramètres!$A$1:$I$89,3,0)*0.475*44/12</f>
        <v>6.1367188796459033E-10</v>
      </c>
      <c r="BS102" s="24">
        <f t="shared" si="63"/>
        <v>1.3478729259732991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66.861058893172128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-5.6843418860808015E-14</v>
      </c>
      <c r="BZ102" s="14">
        <f>BY102*VLOOKUP('Données projet'!$B$12,Paramètres!$A$1:$I$89,3,0)*VLOOKUP('Données projet'!$B$12,Paramètres!$A$1:$I$89,5,0)</f>
        <v>-3.1036506698001178E-14</v>
      </c>
      <c r="CA102" s="14" t="e">
        <f t="shared" si="93"/>
        <v>#NUM!</v>
      </c>
      <c r="CB102" s="22" t="e">
        <f t="shared" si="64"/>
        <v>#NUM!</v>
      </c>
      <c r="CC102" s="62" t="e">
        <f t="shared" si="65"/>
        <v>#NUM!</v>
      </c>
      <c r="CD102" s="62">
        <f ca="1">AVERAGE(OFFSET($CC$3,0,0,'Données projet'!$E$12+1,1))-AVERAGE(OFFSET($H$3,0,0,'Données projet'!$E$12+1,1))</f>
        <v>302.37244372118971</v>
      </c>
      <c r="CE102" s="62">
        <f t="shared" si="94"/>
        <v>439.56450354660171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1.9220328710465433</v>
      </c>
      <c r="CL102" s="23">
        <f>EXP(-LN(2)/25)*CL101+(1-EXP(-LN(2)/25))/(LN(2)/25)*Calculateur!CG102*Calculateur!CI102*VLOOKUP('Données projet'!$B$12,Paramètres!$A$1:$I$89,3,0)*0.475*44/12</f>
        <v>2.4952901181818592</v>
      </c>
      <c r="CM102" s="23">
        <f>EXP(-LN(2)/2)*CM101+(1-EXP(-LN(2)/2))/(LN(2)/2)*CG102*CJ102*VLOOKUP('Données projet'!$B$12,Paramètres!$A$1:$I$89,3,0)*0.475*44/12</f>
        <v>6.6064706094677224E-10</v>
      </c>
      <c r="CN102" s="24">
        <f t="shared" si="66"/>
        <v>4.4173229898890494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66.861058893172128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2.8421709430404007E-14</v>
      </c>
      <c r="CU102" s="18">
        <f>CT102*VLOOKUP('Données projet'!$B$13,Paramètres!$A$1:$I$89,3,0)*VLOOKUP('Données projet'!$B$13,Paramètres!$A$1:$I$89,5,0)</f>
        <v>2.0838797354372217E-14</v>
      </c>
      <c r="CV102" s="14">
        <f t="shared" si="95"/>
        <v>3.7575774393093487E-13</v>
      </c>
      <c r="CW102" s="22">
        <f t="shared" si="67"/>
        <v>6.9073897607190981E-13</v>
      </c>
      <c r="CX102" s="62">
        <f t="shared" si="68"/>
        <v>281.82388260829845</v>
      </c>
      <c r="CY102" s="62">
        <f ca="1">AVERAGE(OFFSET($CX$3,0,0,'Données projet'!$E$13+1,1))-AVERAGE(OFFSET($H$3,0,0,'Données projet'!$E$13+1,1))</f>
        <v>300.12722359176314</v>
      </c>
      <c r="CZ102" s="62">
        <f t="shared" si="96"/>
        <v>313.35115626175946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1.773466775403906</v>
      </c>
      <c r="DH102" s="23">
        <f>EXP(-LN(2)/2)*DH101+(1-EXP(-LN(2)/2))/(LN(2)/2)*DB102*DE102*VLOOKUP('Données projet'!$B$13,Paramètres!$A$1:$I$89,3,0)*0.475*44/12</f>
        <v>6.198800887535045E-10</v>
      </c>
      <c r="DI102" s="24">
        <f t="shared" si="69"/>
        <v>1.7734667760237861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66.861058893172128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66.861058893172128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66.861058893172128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66.861058893172128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66.861058893172128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3.55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13.016666666666666</v>
      </c>
      <c r="H103" s="70">
        <f t="shared" si="56"/>
        <v>204.6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66.915512503754599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-2.2737367544323206E-13</v>
      </c>
      <c r="O103" s="14">
        <f>N103*VLOOKUP('Données projet'!$B$9,Paramètres!$A$1:$I$89,3,0)*VLOOKUP('Données projet'!$B$9,Paramètres!$A$1:$I$89,5,0)</f>
        <v>-1.2710188457276673E-13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455.44531340185631</v>
      </c>
      <c r="T103" s="62">
        <f t="shared" si="88"/>
        <v>560.14861617544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2.7010940322286263</v>
      </c>
      <c r="AA103" s="23">
        <f>EXP(-LN(2)/25)*AA102+(1-EXP(-LN(2)/25))/(LN(2)/25)*Calculateur!V103*Calculateur!X103*VLOOKUP('Données projet'!$B$9,Paramètres!$A$1:$I$89,3,0)*0.475*44/12</f>
        <v>2.0418406470892849</v>
      </c>
      <c r="AB103" s="23">
        <f>EXP(-LN(2)/2)*AB102+(1-EXP(-LN(2)/2))/(LN(2)/2)*V103*Y103*VLOOKUP('Données projet'!$B$9,Paramètres!$A$1:$I$89,3,0)*0.475*44/12</f>
        <v>3.8632912503998739E-10</v>
      </c>
      <c r="AC103" s="24">
        <f t="shared" si="57"/>
        <v>4.7429346797042404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66.915512503754599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1.9895196601282805E-13</v>
      </c>
      <c r="AJ103" s="14">
        <f>AI103*VLOOKUP('Données projet'!$B$10,Paramètres!$A$1:$I$89,3,0)*VLOOKUP('Données projet'!$B$10,Paramètres!$A$1:$I$89,5,0)</f>
        <v>1.738044375088066E-13</v>
      </c>
      <c r="AK103" s="14">
        <f t="shared" si="89"/>
        <v>2.4483293633950478E-12</v>
      </c>
      <c r="AL103" s="22">
        <f t="shared" si="58"/>
        <v>4.566883036574213E-12</v>
      </c>
      <c r="AM103" s="62">
        <f t="shared" si="59"/>
        <v>282.02354584710474</v>
      </c>
      <c r="AN103" s="62">
        <f ca="1">AVERAGE(OFFSET($AM$3,0,0,'Données projet'!$E$10+1,1))-AVERAGE(OFFSET($H$3,0,0,'Données projet'!$E$10+1,1))</f>
        <v>335.71510570470264</v>
      </c>
      <c r="AO103" s="62">
        <f t="shared" si="90"/>
        <v>401.61823018046482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3.6731860075062448</v>
      </c>
      <c r="AW103" s="23">
        <f>EXP(-LN(2)/2)*AW102+(1-EXP(-LN(2)/2))/(LN(2)/2)*AQ103*AT103*VLOOKUP('Données projet'!$B$10,Paramètres!$A$1:$I$89,3,0)*0.475*44/12</f>
        <v>5.3162535427412197E-10</v>
      </c>
      <c r="AX103" s="23">
        <f t="shared" si="60"/>
        <v>3.6731860080378702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66.915512503754599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333</v>
      </c>
      <c r="BB103" s="13">
        <f>VLOOKUP(A103,'Données projet'!$A$87:$I$107,9,0)</f>
        <v>5.6</v>
      </c>
      <c r="BC103" s="13">
        <f t="array" ref="BC103">INDEX(BB:BB,MIN(IF(ISNUMBER(BB103:BB299),ROW(BB103:BB299),"")))</f>
        <v>5.6</v>
      </c>
      <c r="BD103" s="13">
        <f>IF('Données projet'!$A$88&gt;35,BD102+BC103-BL102,IF(A103&lt;'Données projet'!$A$88,$BA$205^A103,IF(A103='Données projet'!$A$88,'Données projet'!$B$88,BD102+BC103-BL102)))</f>
        <v>333</v>
      </c>
      <c r="BE103" s="14">
        <f>BD103*VLOOKUP('Données projet'!$B$11,Paramètres!$A$1:$I$89,3,0)*VLOOKUP('Données projet'!$B$11,Paramètres!$A$1:$I$89,5,0)</f>
        <v>301.29840000000002</v>
      </c>
      <c r="BF103" s="14">
        <f t="shared" si="91"/>
        <v>71.448589534990518</v>
      </c>
      <c r="BG103" s="22">
        <f t="shared" si="61"/>
        <v>649.2010067734418</v>
      </c>
      <c r="BH103" s="62">
        <f t="shared" si="62"/>
        <v>931.224552620542</v>
      </c>
      <c r="BI103" s="62">
        <f ca="1">AVERAGE(OFFSET($BH$3,0,0,'Données projet'!$E$11+1,1))-AVERAGE(OFFSET($H$3,0,0,'Données projet'!$E$11+1,1))</f>
        <v>462.677457131175</v>
      </c>
      <c r="BJ103" s="62">
        <f t="shared" si="92"/>
        <v>291.78368401945909</v>
      </c>
      <c r="BK103" s="16">
        <f>IF(ISNA(VLOOKUP(A103,'Données projet'!$A$87:$I$107,3,0)),0,VLOOKUP(A103,'Données projet'!$A$87:$I$107,3,0))</f>
        <v>17</v>
      </c>
      <c r="BL103" s="16">
        <f>IF(ISNA(VLOOKUP(A103,'Données projet'!$A$87:$I$107,4,0)),0,VLOOKUP(A103,'Données projet'!$A$87:$I$107,4,0))</f>
        <v>27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1.3110152693341117</v>
      </c>
      <c r="BR103" s="23">
        <f>EXP(-LN(2)/2)*BR102+(1-EXP(-LN(2)/2))/(LN(2)/2)*BL103*BO103*VLOOKUP('Données projet'!$B$11,Paramètres!$A$1:$I$89,3,0)*0.475*44/12</f>
        <v>4.3393155340331308E-10</v>
      </c>
      <c r="BS103" s="24">
        <f t="shared" si="63"/>
        <v>1.3110152697680433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66.915512503754599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-5.6843418860808015E-14</v>
      </c>
      <c r="BZ103" s="14">
        <f>BY103*VLOOKUP('Données projet'!$B$12,Paramètres!$A$1:$I$89,3,0)*VLOOKUP('Données projet'!$B$12,Paramètres!$A$1:$I$89,5,0)</f>
        <v>-3.1036506698001178E-14</v>
      </c>
      <c r="CA103" s="14" t="e">
        <f t="shared" si="93"/>
        <v>#NUM!</v>
      </c>
      <c r="CB103" s="22" t="e">
        <f t="shared" si="64"/>
        <v>#NUM!</v>
      </c>
      <c r="CC103" s="62" t="e">
        <f t="shared" si="65"/>
        <v>#NUM!</v>
      </c>
      <c r="CD103" s="62">
        <f ca="1">AVERAGE(OFFSET($CC$3,0,0,'Données projet'!$E$12+1,1))-AVERAGE(OFFSET($H$3,0,0,'Données projet'!$E$12+1,1))</f>
        <v>302.37244372118971</v>
      </c>
      <c r="CE103" s="62">
        <f t="shared" si="94"/>
        <v>439.56450354660171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1.8843429787696144</v>
      </c>
      <c r="CL103" s="23">
        <f>EXP(-LN(2)/25)*CL102+(1-EXP(-LN(2)/25))/(LN(2)/25)*Calculateur!CG103*Calculateur!CI103*VLOOKUP('Données projet'!$B$12,Paramètres!$A$1:$I$89,3,0)*0.475*44/12</f>
        <v>2.4270562786785721</v>
      </c>
      <c r="CM103" s="23">
        <f>EXP(-LN(2)/2)*CM102+(1-EXP(-LN(2)/2))/(LN(2)/2)*CG103*CJ103*VLOOKUP('Données projet'!$B$12,Paramètres!$A$1:$I$89,3,0)*0.475*44/12</f>
        <v>4.67148016766425E-10</v>
      </c>
      <c r="CN103" s="24">
        <f t="shared" si="66"/>
        <v>4.3113992579153351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66.915512503754599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2.8421709430404007E-14</v>
      </c>
      <c r="CU103" s="18">
        <f>CT103*VLOOKUP('Données projet'!$B$13,Paramètres!$A$1:$I$89,3,0)*VLOOKUP('Données projet'!$B$13,Paramètres!$A$1:$I$89,5,0)</f>
        <v>2.0838797354372217E-14</v>
      </c>
      <c r="CV103" s="14">
        <f t="shared" si="95"/>
        <v>3.7575774393093487E-13</v>
      </c>
      <c r="CW103" s="22">
        <f t="shared" si="67"/>
        <v>6.9073897607190981E-13</v>
      </c>
      <c r="CX103" s="62">
        <f t="shared" si="68"/>
        <v>282.02354584710088</v>
      </c>
      <c r="CY103" s="62">
        <f ca="1">AVERAGE(OFFSET($CX$3,0,0,'Données projet'!$E$13+1,1))-AVERAGE(OFFSET($H$3,0,0,'Données projet'!$E$13+1,1))</f>
        <v>300.12722359176314</v>
      </c>
      <c r="CZ103" s="62">
        <f t="shared" si="96"/>
        <v>313.35115626175946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1.7249712331679217</v>
      </c>
      <c r="DH103" s="23">
        <f>EXP(-LN(2)/2)*DH102+(1-EXP(-LN(2)/2))/(LN(2)/2)*DB103*DE103*VLOOKUP('Données projet'!$B$13,Paramètres!$A$1:$I$89,3,0)*0.475*44/12</f>
        <v>4.3832141428012197E-10</v>
      </c>
      <c r="DI103" s="24">
        <f t="shared" si="69"/>
        <v>1.724971233606243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66.915512503754599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66.915512503754599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66.915512503754599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66.915512503754599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66.915512503754599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3.55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13.016666666666666</v>
      </c>
      <c r="H104" s="70">
        <f t="shared" si="56"/>
        <v>204.6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66.96902146593348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-2.2737367544323206E-13</v>
      </c>
      <c r="O104" s="14">
        <f>N104*VLOOKUP('Données projet'!$B$9,Paramètres!$A$1:$I$89,3,0)*VLOOKUP('Données projet'!$B$9,Paramètres!$A$1:$I$89,5,0)</f>
        <v>-1.2710188457276673E-13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455.44531340185631</v>
      </c>
      <c r="T104" s="62">
        <f t="shared" si="88"/>
        <v>560.14861617544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2.6481272257613049</v>
      </c>
      <c r="AA104" s="23">
        <f>EXP(-LN(2)/25)*AA103+(1-EXP(-LN(2)/25))/(LN(2)/25)*Calculateur!V104*Calculateur!X104*VLOOKUP('Données projet'!$B$9,Paramètres!$A$1:$I$89,3,0)*0.475*44/12</f>
        <v>1.9860064072188954</v>
      </c>
      <c r="AB104" s="23">
        <f>EXP(-LN(2)/2)*AB103+(1-EXP(-LN(2)/2))/(LN(2)/2)*V104*Y104*VLOOKUP('Données projet'!$B$9,Paramètres!$A$1:$I$89,3,0)*0.475*44/12</f>
        <v>2.7317594408564071E-10</v>
      </c>
      <c r="AC104" s="24">
        <f t="shared" si="57"/>
        <v>4.6341336332533762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66.96902146593348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1.9895196601282805E-13</v>
      </c>
      <c r="AJ104" s="14">
        <f>AI104*VLOOKUP('Données projet'!$B$10,Paramètres!$A$1:$I$89,3,0)*VLOOKUP('Données projet'!$B$10,Paramètres!$A$1:$I$89,5,0)</f>
        <v>1.738044375088066E-13</v>
      </c>
      <c r="AK104" s="14">
        <f t="shared" si="89"/>
        <v>2.4483293633950478E-12</v>
      </c>
      <c r="AL104" s="22">
        <f t="shared" si="58"/>
        <v>4.566883036574213E-12</v>
      </c>
      <c r="AM104" s="62">
        <f t="shared" si="59"/>
        <v>282.21974537509396</v>
      </c>
      <c r="AN104" s="62">
        <f ca="1">AVERAGE(OFFSET($AM$3,0,0,'Données projet'!$E$10+1,1))-AVERAGE(OFFSET($H$3,0,0,'Données projet'!$E$10+1,1))</f>
        <v>335.71510570470264</v>
      </c>
      <c r="AO104" s="62">
        <f t="shared" si="90"/>
        <v>401.61823018046482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3.5727425429665294</v>
      </c>
      <c r="AW104" s="23">
        <f>EXP(-LN(2)/2)*AW103+(1-EXP(-LN(2)/2))/(LN(2)/2)*AQ104*AT104*VLOOKUP('Données projet'!$B$10,Paramètres!$A$1:$I$89,3,0)*0.475*44/12</f>
        <v>3.7591589305793238E-10</v>
      </c>
      <c r="AX104" s="23">
        <f t="shared" si="60"/>
        <v>3.5727425433424451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66.96902146593348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5.4</v>
      </c>
      <c r="BD104" s="13">
        <f>IF('Données projet'!$A$88&gt;35,BD103+BC104-BL103,IF(A104&lt;'Données projet'!$A$88,$BA$205^A104,IF(A104='Données projet'!$A$88,'Données projet'!$B$88,BD103+BC104-BL103)))</f>
        <v>311.39999999999998</v>
      </c>
      <c r="BE104" s="14">
        <f>BD104*VLOOKUP('Données projet'!$B$11,Paramètres!$A$1:$I$89,3,0)*VLOOKUP('Données projet'!$B$11,Paramètres!$A$1:$I$89,5,0)</f>
        <v>281.75471999999996</v>
      </c>
      <c r="BF104" s="14">
        <f t="shared" si="91"/>
        <v>67.337696723120317</v>
      </c>
      <c r="BG104" s="22">
        <f t="shared" si="61"/>
        <v>608.00262579276773</v>
      </c>
      <c r="BH104" s="62">
        <f t="shared" si="62"/>
        <v>890.22237116785709</v>
      </c>
      <c r="BI104" s="62">
        <f ca="1">AVERAGE(OFFSET($BH$3,0,0,'Données projet'!$E$11+1,1))-AVERAGE(OFFSET($H$3,0,0,'Données projet'!$E$11+1,1))</f>
        <v>462.677457131175</v>
      </c>
      <c r="BJ104" s="62">
        <f t="shared" si="92"/>
        <v>291.78368401945909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1.2751654878508738</v>
      </c>
      <c r="BR104" s="23">
        <f>EXP(-LN(2)/2)*BR103+(1-EXP(-LN(2)/2))/(LN(2)/2)*BL104*BO104*VLOOKUP('Données projet'!$B$11,Paramètres!$A$1:$I$89,3,0)*0.475*44/12</f>
        <v>3.0683594398229516E-10</v>
      </c>
      <c r="BS104" s="24">
        <f t="shared" si="63"/>
        <v>1.2751654881577097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66.96902146593348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-5.6843418860808015E-14</v>
      </c>
      <c r="BZ104" s="14">
        <f>BY104*VLOOKUP('Données projet'!$B$12,Paramètres!$A$1:$I$89,3,0)*VLOOKUP('Données projet'!$B$12,Paramètres!$A$1:$I$89,5,0)</f>
        <v>-3.1036506698001178E-14</v>
      </c>
      <c r="CA104" s="14" t="e">
        <f t="shared" si="93"/>
        <v>#NUM!</v>
      </c>
      <c r="CB104" s="22" t="e">
        <f t="shared" si="64"/>
        <v>#NUM!</v>
      </c>
      <c r="CC104" s="62" t="e">
        <f t="shared" si="65"/>
        <v>#NUM!</v>
      </c>
      <c r="CD104" s="62">
        <f ca="1">AVERAGE(OFFSET($CC$3,0,0,'Données projet'!$E$12+1,1))-AVERAGE(OFFSET($H$3,0,0,'Données projet'!$E$12+1,1))</f>
        <v>302.37244372118971</v>
      </c>
      <c r="CE104" s="62">
        <f t="shared" si="94"/>
        <v>439.56450354660171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1.8473921622916718</v>
      </c>
      <c r="CL104" s="23">
        <f>EXP(-LN(2)/25)*CL103+(1-EXP(-LN(2)/25))/(LN(2)/25)*Calculateur!CG104*Calculateur!CI104*VLOOKUP('Données projet'!$B$12,Paramètres!$A$1:$I$89,3,0)*0.475*44/12</f>
        <v>2.360688297104764</v>
      </c>
      <c r="CM104" s="23">
        <f>EXP(-LN(2)/2)*CM103+(1-EXP(-LN(2)/2))/(LN(2)/2)*CG104*CJ104*VLOOKUP('Données projet'!$B$12,Paramètres!$A$1:$I$89,3,0)*0.475*44/12</f>
        <v>3.3032353047338612E-10</v>
      </c>
      <c r="CN104" s="24">
        <f t="shared" si="66"/>
        <v>4.2080804597267596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66.96902146593348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2.8421709430404007E-14</v>
      </c>
      <c r="CU104" s="18">
        <f>CT104*VLOOKUP('Données projet'!$B$13,Paramètres!$A$1:$I$89,3,0)*VLOOKUP('Données projet'!$B$13,Paramètres!$A$1:$I$89,5,0)</f>
        <v>2.0838797354372217E-14</v>
      </c>
      <c r="CV104" s="14">
        <f t="shared" si="95"/>
        <v>3.7575774393093487E-13</v>
      </c>
      <c r="CW104" s="22">
        <f t="shared" si="67"/>
        <v>6.9073897607190981E-13</v>
      </c>
      <c r="CX104" s="62">
        <f t="shared" si="68"/>
        <v>282.2197453750901</v>
      </c>
      <c r="CY104" s="62">
        <f ca="1">AVERAGE(OFFSET($CX$3,0,0,'Données projet'!$E$13+1,1))-AVERAGE(OFFSET($H$3,0,0,'Données projet'!$E$13+1,1))</f>
        <v>300.12722359176314</v>
      </c>
      <c r="CZ104" s="62">
        <f t="shared" si="96"/>
        <v>313.35115626175946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1.6778018040846501</v>
      </c>
      <c r="DH104" s="23">
        <f>EXP(-LN(2)/2)*DH103+(1-EXP(-LN(2)/2))/(LN(2)/2)*DB104*DE104*VLOOKUP('Données projet'!$B$13,Paramètres!$A$1:$I$89,3,0)*0.475*44/12</f>
        <v>3.0994004437675225E-10</v>
      </c>
      <c r="DI104" s="24">
        <f t="shared" si="69"/>
        <v>1.6778018043945901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66.96902146593348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66.96902146593348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66.96902146593348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66.96902146593348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66.96902146593348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3.55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13.016666666666666</v>
      </c>
      <c r="H105" s="70">
        <f t="shared" si="56"/>
        <v>204.6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67.021602167246698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-2.2737367544323206E-13</v>
      </c>
      <c r="O105" s="14">
        <f>N105*VLOOKUP('Données projet'!$B$9,Paramètres!$A$1:$I$89,3,0)*VLOOKUP('Données projet'!$B$9,Paramètres!$A$1:$I$89,5,0)</f>
        <v>-1.2710188457276673E-13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455.44531340185631</v>
      </c>
      <c r="T105" s="62">
        <f t="shared" si="88"/>
        <v>560.14861617544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2.5961990660622458</v>
      </c>
      <c r="AA105" s="23">
        <f>EXP(-LN(2)/25)*AA104+(1-EXP(-LN(2)/25))/(LN(2)/25)*Calculateur!V105*Calculateur!X105*VLOOKUP('Données projet'!$B$9,Paramètres!$A$1:$I$89,3,0)*0.475*44/12</f>
        <v>1.9316989575739569</v>
      </c>
      <c r="AB105" s="23">
        <f>EXP(-LN(2)/2)*AB104+(1-EXP(-LN(2)/2))/(LN(2)/2)*V105*Y105*VLOOKUP('Données projet'!$B$9,Paramètres!$A$1:$I$89,3,0)*0.475*44/12</f>
        <v>1.9316456251999369E-10</v>
      </c>
      <c r="AC105" s="24">
        <f t="shared" si="57"/>
        <v>4.5278980238293673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67.021602167246698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1.9895196601282805E-13</v>
      </c>
      <c r="AJ105" s="14">
        <f>AI105*VLOOKUP('Données projet'!$B$10,Paramètres!$A$1:$I$89,3,0)*VLOOKUP('Données projet'!$B$10,Paramètres!$A$1:$I$89,5,0)</f>
        <v>1.738044375088066E-13</v>
      </c>
      <c r="AK105" s="14">
        <f t="shared" si="89"/>
        <v>2.4483293633950478E-12</v>
      </c>
      <c r="AL105" s="22">
        <f t="shared" si="58"/>
        <v>4.566883036574213E-12</v>
      </c>
      <c r="AM105" s="62">
        <f t="shared" si="59"/>
        <v>282.41254127990914</v>
      </c>
      <c r="AN105" s="62">
        <f ca="1">AVERAGE(OFFSET($AM$3,0,0,'Données projet'!$E$10+1,1))-AVERAGE(OFFSET($H$3,0,0,'Données projet'!$E$10+1,1))</f>
        <v>335.71510570470264</v>
      </c>
      <c r="AO105" s="62">
        <f t="shared" si="90"/>
        <v>401.61823018046482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3.4750457102467447</v>
      </c>
      <c r="AW105" s="23">
        <f>EXP(-LN(2)/2)*AW104+(1-EXP(-LN(2)/2))/(LN(2)/2)*AQ105*AT105*VLOOKUP('Données projet'!$B$10,Paramètres!$A$1:$I$89,3,0)*0.475*44/12</f>
        <v>2.6581267713706098E-10</v>
      </c>
      <c r="AX105" s="23">
        <f t="shared" si="60"/>
        <v>3.4750457105125574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67.021602167246698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5.4</v>
      </c>
      <c r="BD105" s="13">
        <f>IF('Données projet'!$A$88&gt;35,BD104+BC105-BL104,IF(A105&lt;'Données projet'!$A$88,$BA$205^A105,IF(A105='Données projet'!$A$88,'Données projet'!$B$88,BD104+BC105-BL104)))</f>
        <v>316.79999999999995</v>
      </c>
      <c r="BE105" s="14">
        <f>BD105*VLOOKUP('Données projet'!$B$11,Paramètres!$A$1:$I$89,3,0)*VLOOKUP('Données projet'!$B$11,Paramètres!$A$1:$I$89,5,0)</f>
        <v>286.64063999999996</v>
      </c>
      <c r="BF105" s="14">
        <f t="shared" si="91"/>
        <v>68.368446832003599</v>
      </c>
      <c r="BG105" s="22">
        <f t="shared" si="61"/>
        <v>618.30749289907283</v>
      </c>
      <c r="BH105" s="62">
        <f t="shared" si="62"/>
        <v>900.72003417897736</v>
      </c>
      <c r="BI105" s="62">
        <f ca="1">AVERAGE(OFFSET($BH$3,0,0,'Données projet'!$E$11+1,1))-AVERAGE(OFFSET($H$3,0,0,'Données projet'!$E$11+1,1))</f>
        <v>462.677457131175</v>
      </c>
      <c r="BJ105" s="62">
        <f t="shared" si="92"/>
        <v>291.78368401945909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1.2402960205275531</v>
      </c>
      <c r="BR105" s="23">
        <f>EXP(-LN(2)/2)*BR104+(1-EXP(-LN(2)/2))/(LN(2)/2)*BL105*BO105*VLOOKUP('Données projet'!$B$11,Paramètres!$A$1:$I$89,3,0)*0.475*44/12</f>
        <v>2.1696577670165654E-10</v>
      </c>
      <c r="BS105" s="24">
        <f t="shared" si="63"/>
        <v>1.2402960207445188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67.021602167246698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-5.6843418860808015E-14</v>
      </c>
      <c r="BZ105" s="14">
        <f>BY105*VLOOKUP('Données projet'!$B$12,Paramètres!$A$1:$I$89,3,0)*VLOOKUP('Données projet'!$B$12,Paramètres!$A$1:$I$89,5,0)</f>
        <v>-3.1036506698001178E-14</v>
      </c>
      <c r="CA105" s="14" t="e">
        <f t="shared" si="93"/>
        <v>#NUM!</v>
      </c>
      <c r="CB105" s="22" t="e">
        <f t="shared" si="64"/>
        <v>#NUM!</v>
      </c>
      <c r="CC105" s="62" t="e">
        <f t="shared" si="65"/>
        <v>#NUM!</v>
      </c>
      <c r="CD105" s="62">
        <f ca="1">AVERAGE(OFFSET($CC$3,0,0,'Données projet'!$E$12+1,1))-AVERAGE(OFFSET($H$3,0,0,'Données projet'!$E$12+1,1))</f>
        <v>302.37244372118971</v>
      </c>
      <c r="CE105" s="62">
        <f t="shared" si="94"/>
        <v>439.56450354660171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1.8111659287870892</v>
      </c>
      <c r="CL105" s="23">
        <f>EXP(-LN(2)/25)*CL104+(1-EXP(-LN(2)/25))/(LN(2)/25)*Calculateur!CG105*Calculateur!CI105*VLOOKUP('Données projet'!$B$12,Paramètres!$A$1:$I$89,3,0)*0.475*44/12</f>
        <v>2.2961351514772321</v>
      </c>
      <c r="CM105" s="23">
        <f>EXP(-LN(2)/2)*CM104+(1-EXP(-LN(2)/2))/(LN(2)/2)*CG105*CJ105*VLOOKUP('Données projet'!$B$12,Paramètres!$A$1:$I$89,3,0)*0.475*44/12</f>
        <v>2.335740083832125E-10</v>
      </c>
      <c r="CN105" s="24">
        <f t="shared" si="66"/>
        <v>4.1073010804978951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67.021602167246698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2.8421709430404007E-14</v>
      </c>
      <c r="CU105" s="18">
        <f>CT105*VLOOKUP('Données projet'!$B$13,Paramètres!$A$1:$I$89,3,0)*VLOOKUP('Données projet'!$B$13,Paramètres!$A$1:$I$89,5,0)</f>
        <v>2.0838797354372217E-14</v>
      </c>
      <c r="CV105" s="14">
        <f t="shared" si="95"/>
        <v>3.7575774393093487E-13</v>
      </c>
      <c r="CW105" s="22">
        <f t="shared" si="67"/>
        <v>6.9073897607190981E-13</v>
      </c>
      <c r="CX105" s="62">
        <f t="shared" si="68"/>
        <v>282.41254127990527</v>
      </c>
      <c r="CY105" s="62">
        <f ca="1">AVERAGE(OFFSET($CX$3,0,0,'Données projet'!$E$13+1,1))-AVERAGE(OFFSET($H$3,0,0,'Données projet'!$E$13+1,1))</f>
        <v>300.12722359176314</v>
      </c>
      <c r="CZ105" s="62">
        <f t="shared" si="96"/>
        <v>313.35115626175946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1.6319222255201931</v>
      </c>
      <c r="DH105" s="23">
        <f>EXP(-LN(2)/2)*DH104+(1-EXP(-LN(2)/2))/(LN(2)/2)*DB105*DE105*VLOOKUP('Données projet'!$B$13,Paramètres!$A$1:$I$89,3,0)*0.475*44/12</f>
        <v>2.1916070714006098E-10</v>
      </c>
      <c r="DI105" s="24">
        <f t="shared" si="69"/>
        <v>1.6319222257393537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67.021602167246698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67.021602167246698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67.021602167246698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67.021602167246698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67.021602167246698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3.55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13.016666666666666</v>
      </c>
      <c r="H106" s="70">
        <f t="shared" si="56"/>
        <v>204.6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67.073270710944954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-2.2737367544323206E-13</v>
      </c>
      <c r="O106" s="14">
        <f>N106*VLOOKUP('Données projet'!$B$9,Paramètres!$A$1:$I$89,3,0)*VLOOKUP('Données projet'!$B$9,Paramètres!$A$1:$I$89,5,0)</f>
        <v>-1.2710188457276673E-13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455.44531340185631</v>
      </c>
      <c r="T106" s="62">
        <f t="shared" si="88"/>
        <v>560.14861617544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2.5452891859018352</v>
      </c>
      <c r="AA106" s="23">
        <f>EXP(-LN(2)/25)*AA105+(1-EXP(-LN(2)/25))/(LN(2)/25)*Calculateur!V106*Calculateur!X106*VLOOKUP('Données projet'!$B$9,Paramètres!$A$1:$I$89,3,0)*0.475*44/12</f>
        <v>1.8788765479954639</v>
      </c>
      <c r="AB106" s="23">
        <f>EXP(-LN(2)/2)*AB105+(1-EXP(-LN(2)/2))/(LN(2)/2)*V106*Y106*VLOOKUP('Données projet'!$B$9,Paramètres!$A$1:$I$89,3,0)*0.475*44/12</f>
        <v>1.3658797204282036E-10</v>
      </c>
      <c r="AC106" s="24">
        <f t="shared" si="57"/>
        <v>4.4241657340338865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67.073270710944954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1.9895196601282805E-13</v>
      </c>
      <c r="AJ106" s="14">
        <f>AI106*VLOOKUP('Données projet'!$B$10,Paramètres!$A$1:$I$89,3,0)*VLOOKUP('Données projet'!$B$10,Paramètres!$A$1:$I$89,5,0)</f>
        <v>1.738044375088066E-13</v>
      </c>
      <c r="AK106" s="14">
        <f t="shared" si="89"/>
        <v>2.4483293633950478E-12</v>
      </c>
      <c r="AL106" s="22">
        <f t="shared" si="58"/>
        <v>4.566883036574213E-12</v>
      </c>
      <c r="AM106" s="62">
        <f t="shared" si="59"/>
        <v>282.6019926068027</v>
      </c>
      <c r="AN106" s="62">
        <f ca="1">AVERAGE(OFFSET($AM$3,0,0,'Données projet'!$E$10+1,1))-AVERAGE(OFFSET($H$3,0,0,'Données projet'!$E$10+1,1))</f>
        <v>335.71510570470264</v>
      </c>
      <c r="AO106" s="62">
        <f t="shared" si="90"/>
        <v>401.61823018046482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3.3800204025553358</v>
      </c>
      <c r="AW106" s="23">
        <f>EXP(-LN(2)/2)*AW105+(1-EXP(-LN(2)/2))/(LN(2)/2)*AQ106*AT106*VLOOKUP('Données projet'!$B$10,Paramètres!$A$1:$I$89,3,0)*0.475*44/12</f>
        <v>1.8795794652896619E-10</v>
      </c>
      <c r="AX106" s="23">
        <f t="shared" si="60"/>
        <v>3.3800204027432939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67.073270710944954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5.4</v>
      </c>
      <c r="BD106" s="13">
        <f>IF('Données projet'!$A$88&gt;35,BD105+BC106-BL105,IF(A106&lt;'Données projet'!$A$88,$BA$205^A106,IF(A106='Données projet'!$A$88,'Données projet'!$B$88,BD105+BC106-BL105)))</f>
        <v>322.19999999999993</v>
      </c>
      <c r="BE106" s="14">
        <f>BD106*VLOOKUP('Données projet'!$B$11,Paramètres!$A$1:$I$89,3,0)*VLOOKUP('Données projet'!$B$11,Paramètres!$A$1:$I$89,5,0)</f>
        <v>291.5265599999999</v>
      </c>
      <c r="BF106" s="14">
        <f t="shared" si="91"/>
        <v>69.397153761857183</v>
      </c>
      <c r="BG106" s="22">
        <f t="shared" si="61"/>
        <v>628.60880146856778</v>
      </c>
      <c r="BH106" s="62">
        <f t="shared" si="62"/>
        <v>911.21079407536592</v>
      </c>
      <c r="BI106" s="62">
        <f ca="1">AVERAGE(OFFSET($BH$3,0,0,'Données projet'!$E$11+1,1))-AVERAGE(OFFSET($H$3,0,0,'Données projet'!$E$11+1,1))</f>
        <v>462.677457131175</v>
      </c>
      <c r="BJ106" s="62">
        <f t="shared" si="92"/>
        <v>291.78368401945909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1.2063800606218942</v>
      </c>
      <c r="BR106" s="23">
        <f>EXP(-LN(2)/2)*BR105+(1-EXP(-LN(2)/2))/(LN(2)/2)*BL106*BO106*VLOOKUP('Données projet'!$B$11,Paramètres!$A$1:$I$89,3,0)*0.475*44/12</f>
        <v>1.5341797199114758E-10</v>
      </c>
      <c r="BS106" s="24">
        <f t="shared" si="63"/>
        <v>1.2063800607753121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67.073270710944954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-5.6843418860808015E-14</v>
      </c>
      <c r="BZ106" s="14">
        <f>BY106*VLOOKUP('Données projet'!$B$12,Paramètres!$A$1:$I$89,3,0)*VLOOKUP('Données projet'!$B$12,Paramètres!$A$1:$I$89,5,0)</f>
        <v>-3.1036506698001178E-14</v>
      </c>
      <c r="CA106" s="14" t="e">
        <f t="shared" si="93"/>
        <v>#NUM!</v>
      </c>
      <c r="CB106" s="22" t="e">
        <f t="shared" si="64"/>
        <v>#NUM!</v>
      </c>
      <c r="CC106" s="62" t="e">
        <f t="shared" si="65"/>
        <v>#NUM!</v>
      </c>
      <c r="CD106" s="62">
        <f ca="1">AVERAGE(OFFSET($CC$3,0,0,'Données projet'!$E$12+1,1))-AVERAGE(OFFSET($H$3,0,0,'Données projet'!$E$12+1,1))</f>
        <v>302.37244372118971</v>
      </c>
      <c r="CE106" s="62">
        <f t="shared" si="94"/>
        <v>439.56450354660171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1.7756500696257107</v>
      </c>
      <c r="CL106" s="23">
        <f>EXP(-LN(2)/25)*CL105+(1-EXP(-LN(2)/25))/(LN(2)/25)*Calculateur!CG106*Calculateur!CI106*VLOOKUP('Données projet'!$B$12,Paramètres!$A$1:$I$89,3,0)*0.475*44/12</f>
        <v>2.2333472150115874</v>
      </c>
      <c r="CM106" s="23">
        <f>EXP(-LN(2)/2)*CM105+(1-EXP(-LN(2)/2))/(LN(2)/2)*CG106*CJ106*VLOOKUP('Données projet'!$B$12,Paramètres!$A$1:$I$89,3,0)*0.475*44/12</f>
        <v>1.6516176523669306E-10</v>
      </c>
      <c r="CN106" s="24">
        <f t="shared" si="66"/>
        <v>4.0089972848024598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67.073270710944954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2.8421709430404007E-14</v>
      </c>
      <c r="CU106" s="18">
        <f>CT106*VLOOKUP('Données projet'!$B$13,Paramètres!$A$1:$I$89,3,0)*VLOOKUP('Données projet'!$B$13,Paramètres!$A$1:$I$89,5,0)</f>
        <v>2.0838797354372217E-14</v>
      </c>
      <c r="CV106" s="14">
        <f t="shared" si="95"/>
        <v>3.7575774393093487E-13</v>
      </c>
      <c r="CW106" s="22">
        <f t="shared" si="67"/>
        <v>6.9073897607190981E-13</v>
      </c>
      <c r="CX106" s="62">
        <f t="shared" si="68"/>
        <v>282.60199260679883</v>
      </c>
      <c r="CY106" s="62">
        <f ca="1">AVERAGE(OFFSET($CX$3,0,0,'Données projet'!$E$13+1,1))-AVERAGE(OFFSET($H$3,0,0,'Données projet'!$E$13+1,1))</f>
        <v>300.12722359176314</v>
      </c>
      <c r="CZ106" s="62">
        <f t="shared" si="96"/>
        <v>313.35115626175946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1.5872972264442833</v>
      </c>
      <c r="DH106" s="23">
        <f>EXP(-LN(2)/2)*DH105+(1-EXP(-LN(2)/2))/(LN(2)/2)*DB106*DE106*VLOOKUP('Données projet'!$B$13,Paramètres!$A$1:$I$89,3,0)*0.475*44/12</f>
        <v>1.5497002218837612E-10</v>
      </c>
      <c r="DI106" s="24">
        <f t="shared" si="69"/>
        <v>1.5872972265992533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67.073270710944954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67.073270710944954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67.073270710944954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67.073270710944954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67.073270710944954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3.55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13.016666666666666</v>
      </c>
      <c r="H107" s="70">
        <f t="shared" si="56"/>
        <v>204.6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67.124042920923614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-2.2737367544323206E-13</v>
      </c>
      <c r="O107" s="14">
        <f>N107*VLOOKUP('Données projet'!$B$9,Paramètres!$A$1:$I$89,3,0)*VLOOKUP('Données projet'!$B$9,Paramètres!$A$1:$I$89,5,0)</f>
        <v>-1.2710188457276673E-13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455.44531340185631</v>
      </c>
      <c r="T107" s="62">
        <f t="shared" si="88"/>
        <v>560.14861617544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2.4953776174394098</v>
      </c>
      <c r="AA107" s="23">
        <f>EXP(-LN(2)/25)*AA106+(1-EXP(-LN(2)/25))/(LN(2)/25)*Calculateur!V107*Calculateur!X107*VLOOKUP('Données projet'!$B$9,Paramètres!$A$1:$I$89,3,0)*0.475*44/12</f>
        <v>1.8274985699847044</v>
      </c>
      <c r="AB107" s="23">
        <f>EXP(-LN(2)/2)*AB106+(1-EXP(-LN(2)/2))/(LN(2)/2)*V107*Y107*VLOOKUP('Données projet'!$B$9,Paramètres!$A$1:$I$89,3,0)*0.475*44/12</f>
        <v>9.6582281259996847E-11</v>
      </c>
      <c r="AC107" s="24">
        <f t="shared" si="57"/>
        <v>4.3228761875206967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67.124042920923614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1.9895196601282805E-13</v>
      </c>
      <c r="AJ107" s="14">
        <f>AI107*VLOOKUP('Données projet'!$B$10,Paramètres!$A$1:$I$89,3,0)*VLOOKUP('Données projet'!$B$10,Paramètres!$A$1:$I$89,5,0)</f>
        <v>1.738044375088066E-13</v>
      </c>
      <c r="AK107" s="14">
        <f t="shared" si="89"/>
        <v>2.4483293633950478E-12</v>
      </c>
      <c r="AL107" s="22">
        <f t="shared" si="58"/>
        <v>4.566883036574213E-12</v>
      </c>
      <c r="AM107" s="62">
        <f t="shared" si="59"/>
        <v>282.78815737672448</v>
      </c>
      <c r="AN107" s="62">
        <f ca="1">AVERAGE(OFFSET($AM$3,0,0,'Données projet'!$E$10+1,1))-AVERAGE(OFFSET($H$3,0,0,'Données projet'!$E$10+1,1))</f>
        <v>335.71510570470264</v>
      </c>
      <c r="AO107" s="62">
        <f t="shared" si="90"/>
        <v>401.61823018046482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3.2875935668999121</v>
      </c>
      <c r="AW107" s="23">
        <f>EXP(-LN(2)/2)*AW106+(1-EXP(-LN(2)/2))/(LN(2)/2)*AQ107*AT107*VLOOKUP('Données projet'!$B$10,Paramètres!$A$1:$I$89,3,0)*0.475*44/12</f>
        <v>1.3290633856853049E-10</v>
      </c>
      <c r="AX107" s="23">
        <f t="shared" si="60"/>
        <v>3.2875935670328182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67.124042920923614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5.4</v>
      </c>
      <c r="BD107" s="13">
        <f>IF('Données projet'!$A$88&gt;35,BD106+BC107-BL106,IF(A107&lt;'Données projet'!$A$88,$BA$205^A107,IF(A107='Données projet'!$A$88,'Données projet'!$B$88,BD106+BC107-BL106)))</f>
        <v>327.59999999999991</v>
      </c>
      <c r="BE107" s="14">
        <f>BD107*VLOOKUP('Données projet'!$B$11,Paramètres!$A$1:$I$89,3,0)*VLOOKUP('Données projet'!$B$11,Paramètres!$A$1:$I$89,5,0)</f>
        <v>296.4124799999999</v>
      </c>
      <c r="BF107" s="14">
        <f t="shared" si="91"/>
        <v>70.423855708154704</v>
      </c>
      <c r="BG107" s="22">
        <f t="shared" si="61"/>
        <v>638.90661802503598</v>
      </c>
      <c r="BH107" s="62">
        <f t="shared" si="62"/>
        <v>921.69477540175592</v>
      </c>
      <c r="BI107" s="62">
        <f ca="1">AVERAGE(OFFSET($BH$3,0,0,'Données projet'!$E$11+1,1))-AVERAGE(OFFSET($H$3,0,0,'Données projet'!$E$11+1,1))</f>
        <v>462.677457131175</v>
      </c>
      <c r="BJ107" s="62">
        <f t="shared" si="92"/>
        <v>291.78368401945909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1.1733915344234183</v>
      </c>
      <c r="BR107" s="23">
        <f>EXP(-LN(2)/2)*BR106+(1-EXP(-LN(2)/2))/(LN(2)/2)*BL107*BO107*VLOOKUP('Données projet'!$B$11,Paramètres!$A$1:$I$89,3,0)*0.475*44/12</f>
        <v>1.0848288835082827E-10</v>
      </c>
      <c r="BS107" s="24">
        <f t="shared" si="63"/>
        <v>1.173391534531901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67.124042920923614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-5.6843418860808015E-14</v>
      </c>
      <c r="BZ107" s="14">
        <f>BY107*VLOOKUP('Données projet'!$B$12,Paramètres!$A$1:$I$89,3,0)*VLOOKUP('Données projet'!$B$12,Paramètres!$A$1:$I$89,5,0)</f>
        <v>-3.1036506698001178E-14</v>
      </c>
      <c r="CA107" s="14" t="e">
        <f t="shared" si="93"/>
        <v>#NUM!</v>
      </c>
      <c r="CB107" s="22" t="e">
        <f t="shared" si="64"/>
        <v>#NUM!</v>
      </c>
      <c r="CC107" s="62" t="e">
        <f t="shared" si="65"/>
        <v>#NUM!</v>
      </c>
      <c r="CD107" s="62">
        <f ca="1">AVERAGE(OFFSET($CC$3,0,0,'Données projet'!$E$12+1,1))-AVERAGE(OFFSET($H$3,0,0,'Données projet'!$E$12+1,1))</f>
        <v>302.37244372118971</v>
      </c>
      <c r="CE107" s="62">
        <f t="shared" si="94"/>
        <v>439.56450354660171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1.7408306547999517</v>
      </c>
      <c r="CL107" s="23">
        <f>EXP(-LN(2)/25)*CL106+(1-EXP(-LN(2)/25))/(LN(2)/25)*Calculateur!CG107*Calculateur!CI107*VLOOKUP('Données projet'!$B$12,Paramètres!$A$1:$I$89,3,0)*0.475*44/12</f>
        <v>2.1722762179704698</v>
      </c>
      <c r="CM107" s="23">
        <f>EXP(-LN(2)/2)*CM106+(1-EXP(-LN(2)/2))/(LN(2)/2)*CG107*CJ107*VLOOKUP('Données projet'!$B$12,Paramètres!$A$1:$I$89,3,0)*0.475*44/12</f>
        <v>1.1678700419160625E-10</v>
      </c>
      <c r="CN107" s="24">
        <f t="shared" si="66"/>
        <v>3.9131068728872083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67.124042920923614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2.8421709430404007E-14</v>
      </c>
      <c r="CU107" s="18">
        <f>CT107*VLOOKUP('Données projet'!$B$13,Paramètres!$A$1:$I$89,3,0)*VLOOKUP('Données projet'!$B$13,Paramètres!$A$1:$I$89,5,0)</f>
        <v>2.0838797354372217E-14</v>
      </c>
      <c r="CV107" s="14">
        <f t="shared" si="95"/>
        <v>3.7575774393093487E-13</v>
      </c>
      <c r="CW107" s="22">
        <f t="shared" si="67"/>
        <v>6.9073897607190981E-13</v>
      </c>
      <c r="CX107" s="62">
        <f t="shared" si="68"/>
        <v>282.78815737672062</v>
      </c>
      <c r="CY107" s="62">
        <f ca="1">AVERAGE(OFFSET($CX$3,0,0,'Données projet'!$E$13+1,1))-AVERAGE(OFFSET($H$3,0,0,'Données projet'!$E$13+1,1))</f>
        <v>300.12722359176314</v>
      </c>
      <c r="CZ107" s="62">
        <f t="shared" si="96"/>
        <v>313.35115626175946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1.5438925003148309</v>
      </c>
      <c r="DH107" s="23">
        <f>EXP(-LN(2)/2)*DH106+(1-EXP(-LN(2)/2))/(LN(2)/2)*DB107*DE107*VLOOKUP('Données projet'!$B$13,Paramètres!$A$1:$I$89,3,0)*0.475*44/12</f>
        <v>1.0958035357003049E-10</v>
      </c>
      <c r="DI107" s="24">
        <f t="shared" si="69"/>
        <v>1.5438925004244113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67.124042920923614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67.124042920923614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67.124042920923614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67.124042920923614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67.124042920923614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3.55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13.016666666666666</v>
      </c>
      <c r="H108" s="70">
        <f t="shared" si="56"/>
        <v>204.6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67.173934346568799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-2.2737367544323206E-13</v>
      </c>
      <c r="O108" s="14">
        <f>N108*VLOOKUP('Données projet'!$B$9,Paramètres!$A$1:$I$89,3,0)*VLOOKUP('Données projet'!$B$9,Paramètres!$A$1:$I$89,5,0)</f>
        <v>-1.2710188457276673E-13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455.44531340185631</v>
      </c>
      <c r="T108" s="62">
        <f t="shared" si="88"/>
        <v>560.14861617544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2.4464447843914816</v>
      </c>
      <c r="AA108" s="23">
        <f>EXP(-LN(2)/25)*AA107+(1-EXP(-LN(2)/25))/(LN(2)/25)*Calculateur!V108*Calculateur!X108*VLOOKUP('Données projet'!$B$9,Paramètres!$A$1:$I$89,3,0)*0.475*44/12</f>
        <v>1.7775255254844997</v>
      </c>
      <c r="AB108" s="23">
        <f>EXP(-LN(2)/2)*AB107+(1-EXP(-LN(2)/2))/(LN(2)/2)*V108*Y108*VLOOKUP('Données projet'!$B$9,Paramètres!$A$1:$I$89,3,0)*0.475*44/12</f>
        <v>6.8293986021410179E-11</v>
      </c>
      <c r="AC108" s="24">
        <f t="shared" si="57"/>
        <v>4.2239703099442751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67.173934346568799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1.9895196601282805E-13</v>
      </c>
      <c r="AJ108" s="14">
        <f>AI108*VLOOKUP('Données projet'!$B$10,Paramètres!$A$1:$I$89,3,0)*VLOOKUP('Données projet'!$B$10,Paramètres!$A$1:$I$89,5,0)</f>
        <v>1.738044375088066E-13</v>
      </c>
      <c r="AK108" s="14">
        <f t="shared" si="89"/>
        <v>2.4483293633950478E-12</v>
      </c>
      <c r="AL108" s="22">
        <f t="shared" si="58"/>
        <v>4.566883036574213E-12</v>
      </c>
      <c r="AM108" s="62">
        <f t="shared" si="59"/>
        <v>282.97109260409013</v>
      </c>
      <c r="AN108" s="62">
        <f ca="1">AVERAGE(OFFSET($AM$3,0,0,'Données projet'!$E$10+1,1))-AVERAGE(OFFSET($H$3,0,0,'Données projet'!$E$10+1,1))</f>
        <v>335.71510570470264</v>
      </c>
      <c r="AO108" s="62">
        <f t="shared" si="90"/>
        <v>401.61823018046482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3.1976941479260024</v>
      </c>
      <c r="AW108" s="23">
        <f>EXP(-LN(2)/2)*AW107+(1-EXP(-LN(2)/2))/(LN(2)/2)*AQ108*AT108*VLOOKUP('Données projet'!$B$10,Paramètres!$A$1:$I$89,3,0)*0.475*44/12</f>
        <v>9.3978973264483094E-11</v>
      </c>
      <c r="AX108" s="23">
        <f t="shared" si="60"/>
        <v>3.1976941480199814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67.173934346568799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>
        <f>VLOOKUP(A108,'Données projet'!$A$87:$I$107,2,0)</f>
        <v>333</v>
      </c>
      <c r="BB108" s="13">
        <f>VLOOKUP(A108,'Données projet'!$A$87:$I$107,9,0)</f>
        <v>5.4</v>
      </c>
      <c r="BC108" s="13">
        <f t="array" ref="BC108">INDEX(BB:BB,MIN(IF(ISNUMBER(BB108:BB304),ROW(BB108:BB304),"")))</f>
        <v>5.4</v>
      </c>
      <c r="BD108" s="13">
        <f>IF('Données projet'!$A$88&gt;35,BD107+BC108-BL107,IF(A108&lt;'Données projet'!$A$88,$BA$205^A108,IF(A108='Données projet'!$A$88,'Données projet'!$B$88,BD107+BC108-BL107)))</f>
        <v>332.99999999999989</v>
      </c>
      <c r="BE108" s="14">
        <f>BD108*VLOOKUP('Données projet'!$B$11,Paramètres!$A$1:$I$89,3,0)*VLOOKUP('Données projet'!$B$11,Paramètres!$A$1:$I$89,5,0)</f>
        <v>301.2983999999999</v>
      </c>
      <c r="BF108" s="14">
        <f t="shared" si="91"/>
        <v>71.448589534990518</v>
      </c>
      <c r="BG108" s="22">
        <f t="shared" si="61"/>
        <v>649.20100677344158</v>
      </c>
      <c r="BH108" s="62">
        <f t="shared" si="62"/>
        <v>932.17209937752716</v>
      </c>
      <c r="BI108" s="62">
        <f ca="1">AVERAGE(OFFSET($BH$3,0,0,'Données projet'!$E$11+1,1))-AVERAGE(OFFSET($H$3,0,0,'Données projet'!$E$11+1,1))</f>
        <v>462.677457131175</v>
      </c>
      <c r="BJ108" s="62">
        <f t="shared" si="92"/>
        <v>291.78368401945909</v>
      </c>
      <c r="BK108" s="16">
        <f>IF(ISNA(VLOOKUP(A108,'Données projet'!$A$87:$I$107,3,0)),0,VLOOKUP(A108,'Données projet'!$A$87:$I$107,3,0))</f>
        <v>18</v>
      </c>
      <c r="BL108" s="16">
        <f>IF(ISNA(VLOOKUP(A108,'Données projet'!$A$87:$I$107,4,0)),0,VLOOKUP(A108,'Données projet'!$A$87:$I$107,4,0))</f>
        <v>26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1.1413050812086309</v>
      </c>
      <c r="BR108" s="23">
        <f>EXP(-LN(2)/2)*BR107+(1-EXP(-LN(2)/2))/(LN(2)/2)*BL108*BO108*VLOOKUP('Données projet'!$B$11,Paramètres!$A$1:$I$89,3,0)*0.475*44/12</f>
        <v>7.6708985995573791E-11</v>
      </c>
      <c r="BS108" s="24">
        <f t="shared" si="63"/>
        <v>1.14130508128534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67.173934346568799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-5.6843418860808015E-14</v>
      </c>
      <c r="BZ108" s="14">
        <f>BY108*VLOOKUP('Données projet'!$B$12,Paramètres!$A$1:$I$89,3,0)*VLOOKUP('Données projet'!$B$12,Paramètres!$A$1:$I$89,5,0)</f>
        <v>-3.1036506698001178E-14</v>
      </c>
      <c r="CA108" s="14" t="e">
        <f t="shared" si="93"/>
        <v>#NUM!</v>
      </c>
      <c r="CB108" s="22" t="e">
        <f t="shared" si="64"/>
        <v>#NUM!</v>
      </c>
      <c r="CC108" s="62" t="e">
        <f t="shared" si="65"/>
        <v>#NUM!</v>
      </c>
      <c r="CD108" s="62">
        <f ca="1">AVERAGE(OFFSET($CC$3,0,0,'Données projet'!$E$12+1,1))-AVERAGE(OFFSET($H$3,0,0,'Données projet'!$E$12+1,1))</f>
        <v>302.37244372118971</v>
      </c>
      <c r="CE108" s="62">
        <f t="shared" si="94"/>
        <v>439.56450354660171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1.7066940274611799</v>
      </c>
      <c r="CL108" s="23">
        <f>EXP(-LN(2)/25)*CL107+(1-EXP(-LN(2)/25))/(LN(2)/25)*Calculateur!CG108*Calculateur!CI108*VLOOKUP('Données projet'!$B$12,Paramètres!$A$1:$I$89,3,0)*0.475*44/12</f>
        <v>2.1128752105550257</v>
      </c>
      <c r="CM108" s="23">
        <f>EXP(-LN(2)/2)*CM107+(1-EXP(-LN(2)/2))/(LN(2)/2)*CG108*CJ108*VLOOKUP('Données projet'!$B$12,Paramètres!$A$1:$I$89,3,0)*0.475*44/12</f>
        <v>8.258088261834653E-11</v>
      </c>
      <c r="CN108" s="24">
        <f t="shared" si="66"/>
        <v>3.8195692380987865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67.173934346568799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2.8421709430404007E-14</v>
      </c>
      <c r="CU108" s="18">
        <f>CT108*VLOOKUP('Données projet'!$B$13,Paramètres!$A$1:$I$89,3,0)*VLOOKUP('Données projet'!$B$13,Paramètres!$A$1:$I$89,5,0)</f>
        <v>2.0838797354372217E-14</v>
      </c>
      <c r="CV108" s="14">
        <f t="shared" si="95"/>
        <v>3.7575774393093487E-13</v>
      </c>
      <c r="CW108" s="22">
        <f t="shared" si="67"/>
        <v>6.9073897607190981E-13</v>
      </c>
      <c r="CX108" s="62">
        <f t="shared" si="68"/>
        <v>282.97109260408627</v>
      </c>
      <c r="CY108" s="62">
        <f ca="1">AVERAGE(OFFSET($CX$3,0,0,'Données projet'!$E$13+1,1))-AVERAGE(OFFSET($H$3,0,0,'Données projet'!$E$13+1,1))</f>
        <v>300.12722359176314</v>
      </c>
      <c r="CZ108" s="62">
        <f t="shared" si="96"/>
        <v>313.35115626175946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1.5016746787039439</v>
      </c>
      <c r="DH108" s="23">
        <f>EXP(-LN(2)/2)*DH107+(1-EXP(-LN(2)/2))/(LN(2)/2)*DB108*DE108*VLOOKUP('Données projet'!$B$13,Paramètres!$A$1:$I$89,3,0)*0.475*44/12</f>
        <v>7.7485011094188062E-11</v>
      </c>
      <c r="DI108" s="24">
        <f t="shared" si="69"/>
        <v>1.5016746787814288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67.173934346568799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67.173934346568799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67.173934346568799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67.173934346568799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67.173934346568799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3.55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13.016666666666666</v>
      </c>
      <c r="H109" s="70">
        <f t="shared" si="56"/>
        <v>204.6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67.222960267519539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-2.2737367544323206E-13</v>
      </c>
      <c r="O109" s="14">
        <f>N109*VLOOKUP('Données projet'!$B$9,Paramètres!$A$1:$I$89,3,0)*VLOOKUP('Données projet'!$B$9,Paramètres!$A$1:$I$89,5,0)</f>
        <v>-1.2710188457276673E-13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455.44531340185631</v>
      </c>
      <c r="T109" s="62">
        <f t="shared" si="88"/>
        <v>560.14861617544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2.3984714943535423</v>
      </c>
      <c r="AA109" s="23">
        <f>EXP(-LN(2)/25)*AA108+(1-EXP(-LN(2)/25))/(LN(2)/25)*Calculateur!V109*Calculateur!X109*VLOOKUP('Données projet'!$B$9,Paramètres!$A$1:$I$89,3,0)*0.475*44/12</f>
        <v>1.7289189965141212</v>
      </c>
      <c r="AB109" s="23">
        <f>EXP(-LN(2)/2)*AB108+(1-EXP(-LN(2)/2))/(LN(2)/2)*V109*Y109*VLOOKUP('Données projet'!$B$9,Paramètres!$A$1:$I$89,3,0)*0.475*44/12</f>
        <v>4.8291140629998424E-11</v>
      </c>
      <c r="AC109" s="24">
        <f t="shared" si="57"/>
        <v>4.1273904909159542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67.222960267519539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1.9895196601282805E-13</v>
      </c>
      <c r="AJ109" s="14">
        <f>AI109*VLOOKUP('Données projet'!$B$10,Paramètres!$A$1:$I$89,3,0)*VLOOKUP('Données projet'!$B$10,Paramètres!$A$1:$I$89,5,0)</f>
        <v>1.738044375088066E-13</v>
      </c>
      <c r="AK109" s="14">
        <f t="shared" si="89"/>
        <v>2.4483293633950478E-12</v>
      </c>
      <c r="AL109" s="22">
        <f t="shared" si="58"/>
        <v>4.566883036574213E-12</v>
      </c>
      <c r="AM109" s="62">
        <f t="shared" si="59"/>
        <v>283.15085431424285</v>
      </c>
      <c r="AN109" s="62">
        <f ca="1">AVERAGE(OFFSET($AM$3,0,0,'Données projet'!$E$10+1,1))-AVERAGE(OFFSET($H$3,0,0,'Données projet'!$E$10+1,1))</f>
        <v>335.71510570470264</v>
      </c>
      <c r="AO109" s="62">
        <f t="shared" si="90"/>
        <v>401.61823018046482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3.110253033291539</v>
      </c>
      <c r="AW109" s="23">
        <f>EXP(-LN(2)/2)*AW108+(1-EXP(-LN(2)/2))/(LN(2)/2)*AQ109*AT109*VLOOKUP('Données projet'!$B$10,Paramètres!$A$1:$I$89,3,0)*0.475*44/12</f>
        <v>6.6453169284265246E-11</v>
      </c>
      <c r="AX109" s="23">
        <f t="shared" si="60"/>
        <v>3.1102530333579921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67.222960267519539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5</v>
      </c>
      <c r="BD109" s="13">
        <f>IF('Données projet'!$A$88&gt;35,BD108+BC109-BL108,IF(A109&lt;'Données projet'!$A$88,$BA$205^A109,IF(A109='Données projet'!$A$88,'Données projet'!$B$88,BD108+BC109-BL108)))</f>
        <v>311.99999999999989</v>
      </c>
      <c r="BE109" s="14">
        <f>BD109*VLOOKUP('Données projet'!$B$11,Paramètres!$A$1:$I$89,3,0)*VLOOKUP('Données projet'!$B$11,Paramètres!$A$1:$I$89,5,0)</f>
        <v>282.29759999999987</v>
      </c>
      <c r="BF109" s="14">
        <f t="shared" si="91"/>
        <v>67.452326629470178</v>
      </c>
      <c r="BG109" s="22">
        <f t="shared" si="61"/>
        <v>609.14778887966042</v>
      </c>
      <c r="BH109" s="62">
        <f t="shared" si="62"/>
        <v>892.29864319389867</v>
      </c>
      <c r="BI109" s="62">
        <f ca="1">AVERAGE(OFFSET($BH$3,0,0,'Données projet'!$E$11+1,1))-AVERAGE(OFFSET($H$3,0,0,'Données projet'!$E$11+1,1))</f>
        <v>462.677457131175</v>
      </c>
      <c r="BJ109" s="62">
        <f t="shared" si="92"/>
        <v>291.78368401945909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1.1100960337443553</v>
      </c>
      <c r="BR109" s="23">
        <f>EXP(-LN(2)/2)*BR108+(1-EXP(-LN(2)/2))/(LN(2)/2)*BL109*BO109*VLOOKUP('Données projet'!$B$11,Paramètres!$A$1:$I$89,3,0)*0.475*44/12</f>
        <v>5.4241444175414136E-11</v>
      </c>
      <c r="BS109" s="24">
        <f t="shared" si="63"/>
        <v>1.1100960337985968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67.222960267519539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-5.6843418860808015E-14</v>
      </c>
      <c r="BZ109" s="14">
        <f>BY109*VLOOKUP('Données projet'!$B$12,Paramètres!$A$1:$I$89,3,0)*VLOOKUP('Données projet'!$B$12,Paramètres!$A$1:$I$89,5,0)</f>
        <v>-3.1036506698001178E-14</v>
      </c>
      <c r="CA109" s="14" t="e">
        <f t="shared" si="93"/>
        <v>#NUM!</v>
      </c>
      <c r="CB109" s="22" t="e">
        <f t="shared" si="64"/>
        <v>#NUM!</v>
      </c>
      <c r="CC109" s="62" t="e">
        <f t="shared" si="65"/>
        <v>#NUM!</v>
      </c>
      <c r="CD109" s="62">
        <f ca="1">AVERAGE(OFFSET($CC$3,0,0,'Données projet'!$E$12+1,1))-AVERAGE(OFFSET($H$3,0,0,'Données projet'!$E$12+1,1))</f>
        <v>302.37244372118971</v>
      </c>
      <c r="CE109" s="62">
        <f t="shared" si="94"/>
        <v>439.56450354660171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1.6732267985632348</v>
      </c>
      <c r="CL109" s="23">
        <f>EXP(-LN(2)/25)*CL108+(1-EXP(-LN(2)/25))/(LN(2)/25)*Calculateur!CG109*Calculateur!CI109*VLOOKUP('Données projet'!$B$12,Paramètres!$A$1:$I$89,3,0)*0.475*44/12</f>
        <v>2.0550985268111202</v>
      </c>
      <c r="CM109" s="23">
        <f>EXP(-LN(2)/2)*CM108+(1-EXP(-LN(2)/2))/(LN(2)/2)*CG109*CJ109*VLOOKUP('Données projet'!$B$12,Paramètres!$A$1:$I$89,3,0)*0.475*44/12</f>
        <v>5.8393502095803125E-11</v>
      </c>
      <c r="CN109" s="24">
        <f t="shared" si="66"/>
        <v>3.7283253254327482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67.222960267519539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2.8421709430404007E-14</v>
      </c>
      <c r="CU109" s="18">
        <f>CT109*VLOOKUP('Données projet'!$B$13,Paramètres!$A$1:$I$89,3,0)*VLOOKUP('Données projet'!$B$13,Paramètres!$A$1:$I$89,5,0)</f>
        <v>2.0838797354372217E-14</v>
      </c>
      <c r="CV109" s="14">
        <f t="shared" si="95"/>
        <v>3.7575774393093487E-13</v>
      </c>
      <c r="CW109" s="22">
        <f t="shared" si="67"/>
        <v>6.9073897607190981E-13</v>
      </c>
      <c r="CX109" s="62">
        <f t="shared" si="68"/>
        <v>283.15085431423898</v>
      </c>
      <c r="CY109" s="62">
        <f ca="1">AVERAGE(OFFSET($CX$3,0,0,'Données projet'!$E$13+1,1))-AVERAGE(OFFSET($H$3,0,0,'Données projet'!$E$13+1,1))</f>
        <v>300.12722359176314</v>
      </c>
      <c r="CZ109" s="62">
        <f t="shared" si="96"/>
        <v>313.35115626175946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1.4606113056451453</v>
      </c>
      <c r="DH109" s="23">
        <f>EXP(-LN(2)/2)*DH108+(1-EXP(-LN(2)/2))/(LN(2)/2)*DB109*DE109*VLOOKUP('Données projet'!$B$13,Paramètres!$A$1:$I$89,3,0)*0.475*44/12</f>
        <v>5.4790176785015246E-11</v>
      </c>
      <c r="DI109" s="24">
        <f t="shared" si="69"/>
        <v>1.4606113056999355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67.222960267519539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67.222960267519539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67.222960267519539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67.222960267519539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67.222960267519539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3.55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13.016666666666666</v>
      </c>
      <c r="H110" s="70">
        <f t="shared" si="56"/>
        <v>204.6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67.271135698347351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-2.2737367544323206E-13</v>
      </c>
      <c r="O110" s="14">
        <f>N110*VLOOKUP('Données projet'!$B$9,Paramètres!$A$1:$I$89,3,0)*VLOOKUP('Données projet'!$B$9,Paramètres!$A$1:$I$89,5,0)</f>
        <v>-1.2710188457276673E-13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455.44531340185631</v>
      </c>
      <c r="T110" s="62">
        <f t="shared" si="88"/>
        <v>560.14861617544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2.3514389312724293</v>
      </c>
      <c r="AA110" s="23">
        <f>EXP(-LN(2)/25)*AA109+(1-EXP(-LN(2)/25))/(LN(2)/25)*Calculateur!V110*Calculateur!X110*VLOOKUP('Données projet'!$B$9,Paramètres!$A$1:$I$89,3,0)*0.475*44/12</f>
        <v>1.681641615634544</v>
      </c>
      <c r="AB110" s="23">
        <f>EXP(-LN(2)/2)*AB109+(1-EXP(-LN(2)/2))/(LN(2)/2)*V110*Y110*VLOOKUP('Données projet'!$B$9,Paramètres!$A$1:$I$89,3,0)*0.475*44/12</f>
        <v>3.4146993010705089E-11</v>
      </c>
      <c r="AC110" s="24">
        <f t="shared" si="57"/>
        <v>4.0330805469411199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67.271135698347351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1.9895196601282805E-13</v>
      </c>
      <c r="AJ110" s="14">
        <f>AI110*VLOOKUP('Données projet'!$B$10,Paramètres!$A$1:$I$89,3,0)*VLOOKUP('Données projet'!$B$10,Paramètres!$A$1:$I$89,5,0)</f>
        <v>1.738044375088066E-13</v>
      </c>
      <c r="AK110" s="14">
        <f t="shared" si="89"/>
        <v>2.4483293633950478E-12</v>
      </c>
      <c r="AL110" s="22">
        <f t="shared" si="58"/>
        <v>4.566883036574213E-12</v>
      </c>
      <c r="AM110" s="62">
        <f t="shared" si="59"/>
        <v>283.3274975606115</v>
      </c>
      <c r="AN110" s="62">
        <f ca="1">AVERAGE(OFFSET($AM$3,0,0,'Données projet'!$E$10+1,1))-AVERAGE(OFFSET($H$3,0,0,'Données projet'!$E$10+1,1))</f>
        <v>335.71510570470264</v>
      </c>
      <c r="AO110" s="62">
        <f t="shared" si="90"/>
        <v>401.61823018046482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3.0252030005350834</v>
      </c>
      <c r="AW110" s="23">
        <f>EXP(-LN(2)/2)*AW109+(1-EXP(-LN(2)/2))/(LN(2)/2)*AQ110*AT110*VLOOKUP('Données projet'!$B$10,Paramètres!$A$1:$I$89,3,0)*0.475*44/12</f>
        <v>4.6989486632241547E-11</v>
      </c>
      <c r="AX110" s="23">
        <f t="shared" si="60"/>
        <v>3.0252030005820729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67.271135698347351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5</v>
      </c>
      <c r="BD110" s="13">
        <f>IF('Données projet'!$A$88&gt;35,BD109+BC110-BL109,IF(A110&lt;'Données projet'!$A$88,$BA$205^A110,IF(A110='Données projet'!$A$88,'Données projet'!$B$88,BD109+BC110-BL109)))</f>
        <v>316.99999999999989</v>
      </c>
      <c r="BE110" s="14">
        <f>BD110*VLOOKUP('Données projet'!$B$11,Paramètres!$A$1:$I$89,3,0)*VLOOKUP('Données projet'!$B$11,Paramètres!$A$1:$I$89,5,0)</f>
        <v>286.82159999999988</v>
      </c>
      <c r="BF110" s="14">
        <f t="shared" si="91"/>
        <v>68.406583284351413</v>
      </c>
      <c r="BG110" s="22">
        <f t="shared" si="61"/>
        <v>618.68908588691181</v>
      </c>
      <c r="BH110" s="62">
        <f t="shared" si="62"/>
        <v>902.01658344751877</v>
      </c>
      <c r="BI110" s="62">
        <f ca="1">AVERAGE(OFFSET($BH$3,0,0,'Données projet'!$E$11+1,1))-AVERAGE(OFFSET($H$3,0,0,'Données projet'!$E$11+1,1))</f>
        <v>462.677457131175</v>
      </c>
      <c r="BJ110" s="62">
        <f t="shared" si="92"/>
        <v>291.78368401945909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1.0797403993242027</v>
      </c>
      <c r="BR110" s="23">
        <f>EXP(-LN(2)/2)*BR109+(1-EXP(-LN(2)/2))/(LN(2)/2)*BL110*BO110*VLOOKUP('Données projet'!$B$11,Paramètres!$A$1:$I$89,3,0)*0.475*44/12</f>
        <v>3.8354492997786895E-11</v>
      </c>
      <c r="BS110" s="24">
        <f t="shared" si="63"/>
        <v>1.0797403993625572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67.271135698347351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-5.6843418860808015E-14</v>
      </c>
      <c r="BZ110" s="14">
        <f>BY110*VLOOKUP('Données projet'!$B$12,Paramètres!$A$1:$I$89,3,0)*VLOOKUP('Données projet'!$B$12,Paramètres!$A$1:$I$89,5,0)</f>
        <v>-3.1036506698001178E-14</v>
      </c>
      <c r="CA110" s="14" t="e">
        <f t="shared" si="93"/>
        <v>#NUM!</v>
      </c>
      <c r="CB110" s="22" t="e">
        <f t="shared" si="64"/>
        <v>#NUM!</v>
      </c>
      <c r="CC110" s="62" t="e">
        <f t="shared" si="65"/>
        <v>#NUM!</v>
      </c>
      <c r="CD110" s="62">
        <f ca="1">AVERAGE(OFFSET($CC$3,0,0,'Données projet'!$E$12+1,1))-AVERAGE(OFFSET($H$3,0,0,'Données projet'!$E$12+1,1))</f>
        <v>302.37244372118971</v>
      </c>
      <c r="CE110" s="62">
        <f t="shared" si="94"/>
        <v>439.56450354660171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1.6404158416109842</v>
      </c>
      <c r="CL110" s="23">
        <f>EXP(-LN(2)/25)*CL109+(1-EXP(-LN(2)/25))/(LN(2)/25)*Calculateur!CG110*Calculateur!CI110*VLOOKUP('Données projet'!$B$12,Paramètres!$A$1:$I$89,3,0)*0.475*44/12</f>
        <v>1.9989017495225356</v>
      </c>
      <c r="CM110" s="23">
        <f>EXP(-LN(2)/2)*CM109+(1-EXP(-LN(2)/2))/(LN(2)/2)*CG110*CJ110*VLOOKUP('Données projet'!$B$12,Paramètres!$A$1:$I$89,3,0)*0.475*44/12</f>
        <v>4.1290441309173265E-11</v>
      </c>
      <c r="CN110" s="24">
        <f t="shared" si="66"/>
        <v>3.6393175911748106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67.271135698347351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2.8421709430404007E-14</v>
      </c>
      <c r="CU110" s="18">
        <f>CT110*VLOOKUP('Données projet'!$B$13,Paramètres!$A$1:$I$89,3,0)*VLOOKUP('Données projet'!$B$13,Paramètres!$A$1:$I$89,5,0)</f>
        <v>2.0838797354372217E-14</v>
      </c>
      <c r="CV110" s="14">
        <f t="shared" si="95"/>
        <v>3.7575774393093487E-13</v>
      </c>
      <c r="CW110" s="22">
        <f t="shared" si="67"/>
        <v>6.9073897607190981E-13</v>
      </c>
      <c r="CX110" s="62">
        <f t="shared" si="68"/>
        <v>283.32749756060764</v>
      </c>
      <c r="CY110" s="62">
        <f ca="1">AVERAGE(OFFSET($CX$3,0,0,'Données projet'!$E$13+1,1))-AVERAGE(OFFSET($H$3,0,0,'Données projet'!$E$13+1,1))</f>
        <v>300.12722359176314</v>
      </c>
      <c r="CZ110" s="62">
        <f t="shared" si="96"/>
        <v>313.35115626175946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1.4206708126820684</v>
      </c>
      <c r="DH110" s="23">
        <f>EXP(-LN(2)/2)*DH109+(1-EXP(-LN(2)/2))/(LN(2)/2)*DB110*DE110*VLOOKUP('Données projet'!$B$13,Paramètres!$A$1:$I$89,3,0)*0.475*44/12</f>
        <v>3.8742505547094031E-11</v>
      </c>
      <c r="DI110" s="24">
        <f t="shared" si="69"/>
        <v>1.420670812720811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67.271135698347351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67.271135698347351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67.271135698347351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67.271135698347351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67.271135698347351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3.55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13.016666666666666</v>
      </c>
      <c r="H111" s="70">
        <f t="shared" si="56"/>
        <v>204.6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67.318475393154415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-2.2737367544323206E-13</v>
      </c>
      <c r="O111" s="14">
        <f>N111*VLOOKUP('Données projet'!$B$9,Paramètres!$A$1:$I$89,3,0)*VLOOKUP('Données projet'!$B$9,Paramètres!$A$1:$I$89,5,0)</f>
        <v>-1.2710188457276673E-13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455.44531340185631</v>
      </c>
      <c r="T111" s="62">
        <f t="shared" si="88"/>
        <v>560.14861617544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2.3053286480663058</v>
      </c>
      <c r="AA111" s="23">
        <f>EXP(-LN(2)/25)*AA110+(1-EXP(-LN(2)/25))/(LN(2)/25)*Calculateur!V111*Calculateur!X111*VLOOKUP('Données projet'!$B$9,Paramètres!$A$1:$I$89,3,0)*0.475*44/12</f>
        <v>1.6356570372213282</v>
      </c>
      <c r="AB111" s="23">
        <f>EXP(-LN(2)/2)*AB110+(1-EXP(-LN(2)/2))/(LN(2)/2)*V111*Y111*VLOOKUP('Données projet'!$B$9,Paramètres!$A$1:$I$89,3,0)*0.475*44/12</f>
        <v>2.4145570314999212E-11</v>
      </c>
      <c r="AC111" s="24">
        <f t="shared" si="57"/>
        <v>3.9409856853117797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67.318475393154415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1.9895196601282805E-13</v>
      </c>
      <c r="AJ111" s="14">
        <f>AI111*VLOOKUP('Données projet'!$B$10,Paramètres!$A$1:$I$89,3,0)*VLOOKUP('Données projet'!$B$10,Paramètres!$A$1:$I$89,5,0)</f>
        <v>1.738044375088066E-13</v>
      </c>
      <c r="AK111" s="14">
        <f t="shared" si="89"/>
        <v>2.4483293633950478E-12</v>
      </c>
      <c r="AL111" s="22">
        <f t="shared" si="58"/>
        <v>4.566883036574213E-12</v>
      </c>
      <c r="AM111" s="62">
        <f t="shared" si="59"/>
        <v>283.50107644157077</v>
      </c>
      <c r="AN111" s="62">
        <f ca="1">AVERAGE(OFFSET($AM$3,0,0,'Données projet'!$E$10+1,1))-AVERAGE(OFFSET($H$3,0,0,'Données projet'!$E$10+1,1))</f>
        <v>335.71510570470264</v>
      </c>
      <c r="AO111" s="62">
        <f t="shared" si="90"/>
        <v>401.61823018046482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2.9424786653969401</v>
      </c>
      <c r="AW111" s="23">
        <f>EXP(-LN(2)/2)*AW110+(1-EXP(-LN(2)/2))/(LN(2)/2)*AQ111*AT111*VLOOKUP('Données projet'!$B$10,Paramètres!$A$1:$I$89,3,0)*0.475*44/12</f>
        <v>3.3226584642132623E-11</v>
      </c>
      <c r="AX111" s="23">
        <f t="shared" si="60"/>
        <v>2.9424786654301669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67.318475393154415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5</v>
      </c>
      <c r="BD111" s="13">
        <f>IF('Données projet'!$A$88&gt;35,BD110+BC111-BL110,IF(A111&lt;'Données projet'!$A$88,$BA$205^A111,IF(A111='Données projet'!$A$88,'Données projet'!$B$88,BD110+BC111-BL110)))</f>
        <v>321.99999999999989</v>
      </c>
      <c r="BE111" s="14">
        <f>BD111*VLOOKUP('Données projet'!$B$11,Paramètres!$A$1:$I$89,3,0)*VLOOKUP('Données projet'!$B$11,Paramètres!$A$1:$I$89,5,0)</f>
        <v>291.34559999999993</v>
      </c>
      <c r="BF111" s="14">
        <f t="shared" si="91"/>
        <v>69.359089490698707</v>
      </c>
      <c r="BG111" s="22">
        <f t="shared" si="61"/>
        <v>628.22733419630015</v>
      </c>
      <c r="BH111" s="62">
        <f t="shared" si="62"/>
        <v>911.72841063786632</v>
      </c>
      <c r="BI111" s="62">
        <f ca="1">AVERAGE(OFFSET($BH$3,0,0,'Données projet'!$E$11+1,1))-AVERAGE(OFFSET($H$3,0,0,'Données projet'!$E$11+1,1))</f>
        <v>462.677457131175</v>
      </c>
      <c r="BJ111" s="62">
        <f t="shared" si="92"/>
        <v>291.78368401945909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1.0502148413236025</v>
      </c>
      <c r="BR111" s="23">
        <f>EXP(-LN(2)/2)*BR110+(1-EXP(-LN(2)/2))/(LN(2)/2)*BL111*BO111*VLOOKUP('Données projet'!$B$11,Paramètres!$A$1:$I$89,3,0)*0.475*44/12</f>
        <v>2.7120722087707068E-11</v>
      </c>
      <c r="BS111" s="24">
        <f t="shared" si="63"/>
        <v>1.0502148413507233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67.318475393154415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-5.6843418860808015E-14</v>
      </c>
      <c r="BZ111" s="14">
        <f>BY111*VLOOKUP('Données projet'!$B$12,Paramètres!$A$1:$I$89,3,0)*VLOOKUP('Données projet'!$B$12,Paramètres!$A$1:$I$89,5,0)</f>
        <v>-3.1036506698001178E-14</v>
      </c>
      <c r="CA111" s="14" t="e">
        <f t="shared" si="93"/>
        <v>#NUM!</v>
      </c>
      <c r="CB111" s="22" t="e">
        <f t="shared" si="64"/>
        <v>#NUM!</v>
      </c>
      <c r="CC111" s="62" t="e">
        <f t="shared" si="65"/>
        <v>#NUM!</v>
      </c>
      <c r="CD111" s="62">
        <f ca="1">AVERAGE(OFFSET($CC$3,0,0,'Données projet'!$E$12+1,1))-AVERAGE(OFFSET($H$3,0,0,'Données projet'!$E$12+1,1))</f>
        <v>302.37244372118971</v>
      </c>
      <c r="CE111" s="62">
        <f t="shared" si="94"/>
        <v>439.56450354660171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1.6082482875118596</v>
      </c>
      <c r="CL111" s="23">
        <f>EXP(-LN(2)/25)*CL110+(1-EXP(-LN(2)/25))/(LN(2)/25)*Calculateur!CG111*Calculateur!CI111*VLOOKUP('Données projet'!$B$12,Paramètres!$A$1:$I$89,3,0)*0.475*44/12</f>
        <v>1.9442416760641674</v>
      </c>
      <c r="CM111" s="23">
        <f>EXP(-LN(2)/2)*CM110+(1-EXP(-LN(2)/2))/(LN(2)/2)*CG111*CJ111*VLOOKUP('Données projet'!$B$12,Paramètres!$A$1:$I$89,3,0)*0.475*44/12</f>
        <v>2.9196751047901563E-11</v>
      </c>
      <c r="CN111" s="24">
        <f t="shared" si="66"/>
        <v>3.5524899636052236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67.318475393154415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2.8421709430404007E-14</v>
      </c>
      <c r="CU111" s="18">
        <f>CT111*VLOOKUP('Données projet'!$B$13,Paramètres!$A$1:$I$89,3,0)*VLOOKUP('Données projet'!$B$13,Paramètres!$A$1:$I$89,5,0)</f>
        <v>2.0838797354372217E-14</v>
      </c>
      <c r="CV111" s="14">
        <f t="shared" si="95"/>
        <v>3.7575774393093487E-13</v>
      </c>
      <c r="CW111" s="22">
        <f t="shared" si="67"/>
        <v>6.9073897607190981E-13</v>
      </c>
      <c r="CX111" s="62">
        <f t="shared" si="68"/>
        <v>283.50107644156691</v>
      </c>
      <c r="CY111" s="62">
        <f ca="1">AVERAGE(OFFSET($CX$3,0,0,'Données projet'!$E$13+1,1))-AVERAGE(OFFSET($H$3,0,0,'Données projet'!$E$13+1,1))</f>
        <v>300.12722359176314</v>
      </c>
      <c r="CZ111" s="62">
        <f t="shared" si="96"/>
        <v>313.35115626175946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1.3818224945994462</v>
      </c>
      <c r="DH111" s="23">
        <f>EXP(-LN(2)/2)*DH110+(1-EXP(-LN(2)/2))/(LN(2)/2)*DB111*DE111*VLOOKUP('Données projet'!$B$13,Paramètres!$A$1:$I$89,3,0)*0.475*44/12</f>
        <v>2.7395088392507623E-11</v>
      </c>
      <c r="DI111" s="24">
        <f t="shared" si="69"/>
        <v>1.3818224946268414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67.318475393154415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67.318475393154415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67.318475393154415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67.318475393154415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67.318475393154415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3.55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13.016666666666666</v>
      </c>
      <c r="H112" s="70">
        <f t="shared" si="56"/>
        <v>204.6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67.364993850092276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-2.2737367544323206E-13</v>
      </c>
      <c r="O112" s="14">
        <f>N112*VLOOKUP('Données projet'!$B$9,Paramètres!$A$1:$I$89,3,0)*VLOOKUP('Données projet'!$B$9,Paramètres!$A$1:$I$89,5,0)</f>
        <v>-1.2710188457276673E-13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455.44531340185631</v>
      </c>
      <c r="T112" s="62">
        <f t="shared" si="88"/>
        <v>560.14861617544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2.2601225593893588</v>
      </c>
      <c r="AA112" s="23">
        <f>EXP(-LN(2)/25)*AA111+(1-EXP(-LN(2)/25))/(LN(2)/25)*Calculateur!V112*Calculateur!X112*VLOOKUP('Données projet'!$B$9,Paramètres!$A$1:$I$89,3,0)*0.475*44/12</f>
        <v>1.5909299095230458</v>
      </c>
      <c r="AB112" s="23">
        <f>EXP(-LN(2)/2)*AB111+(1-EXP(-LN(2)/2))/(LN(2)/2)*V112*Y112*VLOOKUP('Données projet'!$B$9,Paramètres!$A$1:$I$89,3,0)*0.475*44/12</f>
        <v>1.7073496505352545E-11</v>
      </c>
      <c r="AC112" s="24">
        <f t="shared" si="57"/>
        <v>3.8510524689294781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67.364993850092276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1.9895196601282805E-13</v>
      </c>
      <c r="AJ112" s="14">
        <f>AI112*VLOOKUP('Données projet'!$B$10,Paramètres!$A$1:$I$89,3,0)*VLOOKUP('Données projet'!$B$10,Paramètres!$A$1:$I$89,5,0)</f>
        <v>1.738044375088066E-13</v>
      </c>
      <c r="AK112" s="14">
        <f t="shared" si="89"/>
        <v>2.4483293633950478E-12</v>
      </c>
      <c r="AL112" s="22">
        <f t="shared" si="58"/>
        <v>4.566883036574213E-12</v>
      </c>
      <c r="AM112" s="62">
        <f t="shared" si="59"/>
        <v>283.67164411700952</v>
      </c>
      <c r="AN112" s="62">
        <f ca="1">AVERAGE(OFFSET($AM$3,0,0,'Données projet'!$E$10+1,1))-AVERAGE(OFFSET($H$3,0,0,'Données projet'!$E$10+1,1))</f>
        <v>335.71510570470264</v>
      </c>
      <c r="AO112" s="62">
        <f t="shared" si="90"/>
        <v>401.61823018046482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2.8620164315534331</v>
      </c>
      <c r="AW112" s="23">
        <f>EXP(-LN(2)/2)*AW111+(1-EXP(-LN(2)/2))/(LN(2)/2)*AQ112*AT112*VLOOKUP('Données projet'!$B$10,Paramètres!$A$1:$I$89,3,0)*0.475*44/12</f>
        <v>2.3494743316120774E-11</v>
      </c>
      <c r="AX112" s="23">
        <f t="shared" si="60"/>
        <v>2.8620164315769276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67.364993850092276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5</v>
      </c>
      <c r="BD112" s="13">
        <f>IF('Données projet'!$A$88&gt;35,BD111+BC112-BL111,IF(A112&lt;'Données projet'!$A$88,$BA$205^A112,IF(A112='Données projet'!$A$88,'Données projet'!$B$88,BD111+BC112-BL111)))</f>
        <v>326.99999999999989</v>
      </c>
      <c r="BE112" s="14">
        <f>BD112*VLOOKUP('Données projet'!$B$11,Paramètres!$A$1:$I$89,3,0)*VLOOKUP('Données projet'!$B$11,Paramètres!$A$1:$I$89,5,0)</f>
        <v>295.86959999999988</v>
      </c>
      <c r="BF112" s="14">
        <f t="shared" si="91"/>
        <v>70.309875568291218</v>
      </c>
      <c r="BG112" s="22">
        <f t="shared" si="61"/>
        <v>637.76258661477357</v>
      </c>
      <c r="BH112" s="62">
        <f t="shared" si="62"/>
        <v>921.4342307317786</v>
      </c>
      <c r="BI112" s="62">
        <f ca="1">AVERAGE(OFFSET($BH$3,0,0,'Données projet'!$E$11+1,1))-AVERAGE(OFFSET($H$3,0,0,'Données projet'!$E$11+1,1))</f>
        <v>462.677457131175</v>
      </c>
      <c r="BJ112" s="62">
        <f t="shared" si="92"/>
        <v>291.78368401945909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1.0214966612592105</v>
      </c>
      <c r="BR112" s="23">
        <f>EXP(-LN(2)/2)*BR111+(1-EXP(-LN(2)/2))/(LN(2)/2)*BL112*BO112*VLOOKUP('Données projet'!$B$11,Paramètres!$A$1:$I$89,3,0)*0.475*44/12</f>
        <v>1.9177246498893448E-11</v>
      </c>
      <c r="BS112" s="24">
        <f t="shared" si="63"/>
        <v>1.0214966612783878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67.364993850092276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-5.6843418860808015E-14</v>
      </c>
      <c r="BZ112" s="14">
        <f>BY112*VLOOKUP('Données projet'!$B$12,Paramètres!$A$1:$I$89,3,0)*VLOOKUP('Données projet'!$B$12,Paramètres!$A$1:$I$89,5,0)</f>
        <v>-3.1036506698001178E-14</v>
      </c>
      <c r="CA112" s="14" t="e">
        <f t="shared" si="93"/>
        <v>#NUM!</v>
      </c>
      <c r="CB112" s="22" t="e">
        <f t="shared" si="64"/>
        <v>#NUM!</v>
      </c>
      <c r="CC112" s="62" t="e">
        <f t="shared" si="65"/>
        <v>#NUM!</v>
      </c>
      <c r="CD112" s="62">
        <f ca="1">AVERAGE(OFFSET($CC$3,0,0,'Données projet'!$E$12+1,1))-AVERAGE(OFFSET($H$3,0,0,'Données projet'!$E$12+1,1))</f>
        <v>302.37244372118971</v>
      </c>
      <c r="CE112" s="62">
        <f t="shared" si="94"/>
        <v>439.56450354660171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1.5767115195283481</v>
      </c>
      <c r="CL112" s="23">
        <f>EXP(-LN(2)/25)*CL111+(1-EXP(-LN(2)/25))/(LN(2)/25)*Calculateur!CG112*Calculateur!CI112*VLOOKUP('Données projet'!$B$12,Paramètres!$A$1:$I$89,3,0)*0.475*44/12</f>
        <v>1.8910762851889666</v>
      </c>
      <c r="CM112" s="23">
        <f>EXP(-LN(2)/2)*CM111+(1-EXP(-LN(2)/2))/(LN(2)/2)*CG112*CJ112*VLOOKUP('Données projet'!$B$12,Paramètres!$A$1:$I$89,3,0)*0.475*44/12</f>
        <v>2.0645220654586632E-11</v>
      </c>
      <c r="CN112" s="24">
        <f t="shared" si="66"/>
        <v>3.4677878047379598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67.364993850092276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2.8421709430404007E-14</v>
      </c>
      <c r="CU112" s="18">
        <f>CT112*VLOOKUP('Données projet'!$B$13,Paramètres!$A$1:$I$89,3,0)*VLOOKUP('Données projet'!$B$13,Paramètres!$A$1:$I$89,5,0)</f>
        <v>2.0838797354372217E-14</v>
      </c>
      <c r="CV112" s="14">
        <f t="shared" si="95"/>
        <v>3.7575774393093487E-13</v>
      </c>
      <c r="CW112" s="22">
        <f t="shared" si="67"/>
        <v>6.9073897607190981E-13</v>
      </c>
      <c r="CX112" s="62">
        <f t="shared" si="68"/>
        <v>283.67164411700566</v>
      </c>
      <c r="CY112" s="62">
        <f ca="1">AVERAGE(OFFSET($CX$3,0,0,'Données projet'!$E$13+1,1))-AVERAGE(OFFSET($H$3,0,0,'Données projet'!$E$13+1,1))</f>
        <v>300.12722359176314</v>
      </c>
      <c r="CZ112" s="62">
        <f t="shared" si="96"/>
        <v>313.35115626175946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1.3440364858177376</v>
      </c>
      <c r="DH112" s="23">
        <f>EXP(-LN(2)/2)*DH111+(1-EXP(-LN(2)/2))/(LN(2)/2)*DB112*DE112*VLOOKUP('Données projet'!$B$13,Paramètres!$A$1:$I$89,3,0)*0.475*44/12</f>
        <v>1.9371252773547016E-11</v>
      </c>
      <c r="DI112" s="24">
        <f t="shared" si="69"/>
        <v>1.3440364858371088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67.364993850092276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67.364993850092276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67.364993850092276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67.364993850092276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67.364993850092276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3.55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13.016666666666666</v>
      </c>
      <c r="H113" s="70">
        <f t="shared" si="56"/>
        <v>204.6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67.410705315801962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-2.2737367544323206E-13</v>
      </c>
      <c r="O113" s="14">
        <f>N113*VLOOKUP('Données projet'!$B$9,Paramètres!$A$1:$I$89,3,0)*VLOOKUP('Données projet'!$B$9,Paramètres!$A$1:$I$89,5,0)</f>
        <v>-1.2710188457276673E-13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455.44531340185631</v>
      </c>
      <c r="T113" s="62">
        <f t="shared" si="88"/>
        <v>560.14861617544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2.2158029345383752</v>
      </c>
      <c r="AA113" s="23">
        <f>EXP(-LN(2)/25)*AA112+(1-EXP(-LN(2)/25))/(LN(2)/25)*Calculateur!V113*Calculateur!X113*VLOOKUP('Données projet'!$B$9,Paramètres!$A$1:$I$89,3,0)*0.475*44/12</f>
        <v>1.5474258474837703</v>
      </c>
      <c r="AB113" s="23">
        <f>EXP(-LN(2)/2)*AB112+(1-EXP(-LN(2)/2))/(LN(2)/2)*V113*Y113*VLOOKUP('Données projet'!$B$9,Paramètres!$A$1:$I$89,3,0)*0.475*44/12</f>
        <v>1.2072785157499606E-11</v>
      </c>
      <c r="AC113" s="24">
        <f t="shared" si="57"/>
        <v>3.7632287820342181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67.410705315801962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1.9895196601282805E-13</v>
      </c>
      <c r="AJ113" s="14">
        <f>AI113*VLOOKUP('Données projet'!$B$10,Paramètres!$A$1:$I$89,3,0)*VLOOKUP('Données projet'!$B$10,Paramètres!$A$1:$I$89,5,0)</f>
        <v>1.738044375088066E-13</v>
      </c>
      <c r="AK113" s="14">
        <f t="shared" si="89"/>
        <v>2.4483293633950478E-12</v>
      </c>
      <c r="AL113" s="22">
        <f t="shared" si="58"/>
        <v>4.566883036574213E-12</v>
      </c>
      <c r="AM113" s="62">
        <f t="shared" si="59"/>
        <v>283.83925282461172</v>
      </c>
      <c r="AN113" s="62">
        <f ca="1">AVERAGE(OFFSET($AM$3,0,0,'Données projet'!$E$10+1,1))-AVERAGE(OFFSET($H$3,0,0,'Données projet'!$E$10+1,1))</f>
        <v>335.71510570470264</v>
      </c>
      <c r="AO113" s="62">
        <f t="shared" si="90"/>
        <v>401.61823018046482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2.7837544417257014</v>
      </c>
      <c r="AW113" s="23">
        <f>EXP(-LN(2)/2)*AW112+(1-EXP(-LN(2)/2))/(LN(2)/2)*AQ113*AT113*VLOOKUP('Données projet'!$B$10,Paramètres!$A$1:$I$89,3,0)*0.475*44/12</f>
        <v>1.6613292321066311E-11</v>
      </c>
      <c r="AX113" s="23">
        <f t="shared" si="60"/>
        <v>2.7837544417423148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67.410705315801962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>
        <f>VLOOKUP(A113,'Données projet'!$A$87:$I$107,2,0)</f>
        <v>332</v>
      </c>
      <c r="BB113" s="13">
        <f>VLOOKUP(A113,'Données projet'!$A$87:$I$107,9,0)</f>
        <v>5</v>
      </c>
      <c r="BC113" s="13">
        <f t="array" ref="BC113">INDEX(BB:BB,MIN(IF(ISNUMBER(BB113:BB309),ROW(BB113:BB309),"")))</f>
        <v>5</v>
      </c>
      <c r="BD113" s="13">
        <f>IF('Données projet'!$A$88&gt;35,BD112+BC113-BL112,IF(A113&lt;'Données projet'!$A$88,$BA$205^A113,IF(A113='Données projet'!$A$88,'Données projet'!$B$88,BD112+BC113-BL112)))</f>
        <v>331.99999999999989</v>
      </c>
      <c r="BE113" s="14">
        <f>BD113*VLOOKUP('Données projet'!$B$11,Paramètres!$A$1:$I$89,3,0)*VLOOKUP('Données projet'!$B$11,Paramètres!$A$1:$I$89,5,0)</f>
        <v>300.39359999999988</v>
      </c>
      <c r="BF113" s="14">
        <f t="shared" si="91"/>
        <v>71.258970856492667</v>
      </c>
      <c r="BG113" s="22">
        <f t="shared" si="61"/>
        <v>647.29489424172459</v>
      </c>
      <c r="BH113" s="62">
        <f t="shared" si="62"/>
        <v>931.13414706633171</v>
      </c>
      <c r="BI113" s="62">
        <f ca="1">AVERAGE(OFFSET($BH$3,0,0,'Données projet'!$E$11+1,1))-AVERAGE(OFFSET($H$3,0,0,'Données projet'!$E$11+1,1))</f>
        <v>462.677457131175</v>
      </c>
      <c r="BJ113" s="62">
        <f t="shared" si="92"/>
        <v>291.78368401945909</v>
      </c>
      <c r="BK113" s="16">
        <f>IF(ISNA(VLOOKUP(A113,'Données projet'!$A$87:$I$107,3,0)),0,VLOOKUP(A113,'Données projet'!$A$87:$I$107,3,0))</f>
        <v>19</v>
      </c>
      <c r="BL113" s="16">
        <f>IF(ISNA(VLOOKUP(A113,'Données projet'!$A$87:$I$107,4,0)),0,VLOOKUP(A113,'Données projet'!$A$87:$I$107,4,0))</f>
        <v>25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0.99356378133890255</v>
      </c>
      <c r="BR113" s="23">
        <f>EXP(-LN(2)/2)*BR112+(1-EXP(-LN(2)/2))/(LN(2)/2)*BL113*BO113*VLOOKUP('Données projet'!$B$11,Paramètres!$A$1:$I$89,3,0)*0.475*44/12</f>
        <v>1.3560361043853534E-11</v>
      </c>
      <c r="BS113" s="24">
        <f t="shared" si="63"/>
        <v>0.99356378135246293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67.410705315801962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-5.6843418860808015E-14</v>
      </c>
      <c r="BZ113" s="14">
        <f>BY113*VLOOKUP('Données projet'!$B$12,Paramètres!$A$1:$I$89,3,0)*VLOOKUP('Données projet'!$B$12,Paramètres!$A$1:$I$89,5,0)</f>
        <v>-3.1036506698001178E-14</v>
      </c>
      <c r="CA113" s="14" t="e">
        <f t="shared" si="93"/>
        <v>#NUM!</v>
      </c>
      <c r="CB113" s="22" t="e">
        <f t="shared" si="64"/>
        <v>#NUM!</v>
      </c>
      <c r="CC113" s="62" t="e">
        <f t="shared" si="65"/>
        <v>#NUM!</v>
      </c>
      <c r="CD113" s="62">
        <f ca="1">AVERAGE(OFFSET($CC$3,0,0,'Données projet'!$E$12+1,1))-AVERAGE(OFFSET($H$3,0,0,'Données projet'!$E$12+1,1))</f>
        <v>302.37244372118971</v>
      </c>
      <c r="CE113" s="62">
        <f t="shared" si="94"/>
        <v>439.56450354660171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1.5457931683294641</v>
      </c>
      <c r="CL113" s="23">
        <f>EXP(-LN(2)/25)*CL112+(1-EXP(-LN(2)/25))/(LN(2)/25)*Calculateur!CG113*Calculateur!CI113*VLOOKUP('Données projet'!$B$12,Paramètres!$A$1:$I$89,3,0)*0.475*44/12</f>
        <v>1.8393647047230945</v>
      </c>
      <c r="CM113" s="23">
        <f>EXP(-LN(2)/2)*CM112+(1-EXP(-LN(2)/2))/(LN(2)/2)*CG113*CJ113*VLOOKUP('Données projet'!$B$12,Paramètres!$A$1:$I$89,3,0)*0.475*44/12</f>
        <v>1.4598375523950781E-11</v>
      </c>
      <c r="CN113" s="24">
        <f t="shared" si="66"/>
        <v>3.3851578730671572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67.410705315801962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2.8421709430404007E-14</v>
      </c>
      <c r="CU113" s="18">
        <f>CT113*VLOOKUP('Données projet'!$B$13,Paramètres!$A$1:$I$89,3,0)*VLOOKUP('Données projet'!$B$13,Paramètres!$A$1:$I$89,5,0)</f>
        <v>2.0838797354372217E-14</v>
      </c>
      <c r="CV113" s="14">
        <f t="shared" si="95"/>
        <v>3.7575774393093487E-13</v>
      </c>
      <c r="CW113" s="22">
        <f t="shared" si="67"/>
        <v>6.9073897607190981E-13</v>
      </c>
      <c r="CX113" s="62">
        <f t="shared" si="68"/>
        <v>283.83925282460785</v>
      </c>
      <c r="CY113" s="62">
        <f ca="1">AVERAGE(OFFSET($CX$3,0,0,'Données projet'!$E$13+1,1))-AVERAGE(OFFSET($H$3,0,0,'Données projet'!$E$13+1,1))</f>
        <v>300.12722359176314</v>
      </c>
      <c r="CZ113" s="62">
        <f t="shared" si="96"/>
        <v>313.35115626175946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1.3072837374332447</v>
      </c>
      <c r="DH113" s="23">
        <f>EXP(-LN(2)/2)*DH112+(1-EXP(-LN(2)/2))/(LN(2)/2)*DB113*DE113*VLOOKUP('Données projet'!$B$13,Paramètres!$A$1:$I$89,3,0)*0.475*44/12</f>
        <v>1.3697544196253812E-11</v>
      </c>
      <c r="DI113" s="24">
        <f t="shared" si="69"/>
        <v>1.3072837374469422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67.410705315801962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67.410705315801962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67.410705315801962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67.410705315801962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67.410705315801962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3.55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13.016666666666666</v>
      </c>
      <c r="H114" s="70">
        <f t="shared" si="56"/>
        <v>204.6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67.455623789777107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-2.2737367544323206E-13</v>
      </c>
      <c r="O114" s="14">
        <f>N114*VLOOKUP('Données projet'!$B$9,Paramètres!$A$1:$I$89,3,0)*VLOOKUP('Données projet'!$B$9,Paramètres!$A$1:$I$89,5,0)</f>
        <v>-1.2710188457276673E-13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455.44531340185631</v>
      </c>
      <c r="T114" s="62">
        <f t="shared" si="88"/>
        <v>560.14861617544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2.1723523904984177</v>
      </c>
      <c r="AA114" s="23">
        <f>EXP(-LN(2)/25)*AA113+(1-EXP(-LN(2)/25))/(LN(2)/25)*Calculateur!V114*Calculateur!X114*VLOOKUP('Données projet'!$B$9,Paramètres!$A$1:$I$89,3,0)*0.475*44/12</f>
        <v>1.5051114063087381</v>
      </c>
      <c r="AB114" s="23">
        <f>EXP(-LN(2)/2)*AB113+(1-EXP(-LN(2)/2))/(LN(2)/2)*V114*Y114*VLOOKUP('Données projet'!$B$9,Paramètres!$A$1:$I$89,3,0)*0.475*44/12</f>
        <v>8.5367482526762723E-12</v>
      </c>
      <c r="AC114" s="24">
        <f t="shared" si="57"/>
        <v>3.6774637968156925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67.455623789777107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1.9895196601282805E-13</v>
      </c>
      <c r="AJ114" s="14">
        <f>AI114*VLOOKUP('Données projet'!$B$10,Paramètres!$A$1:$I$89,3,0)*VLOOKUP('Données projet'!$B$10,Paramètres!$A$1:$I$89,5,0)</f>
        <v>1.738044375088066E-13</v>
      </c>
      <c r="AK114" s="14">
        <f t="shared" si="89"/>
        <v>2.4483293633950478E-12</v>
      </c>
      <c r="AL114" s="22">
        <f t="shared" si="58"/>
        <v>4.566883036574213E-12</v>
      </c>
      <c r="AM114" s="62">
        <f t="shared" si="59"/>
        <v>284.00395389585395</v>
      </c>
      <c r="AN114" s="62">
        <f ca="1">AVERAGE(OFFSET($AM$3,0,0,'Données projet'!$E$10+1,1))-AVERAGE(OFFSET($H$3,0,0,'Données projet'!$E$10+1,1))</f>
        <v>335.71510570470264</v>
      </c>
      <c r="AO114" s="62">
        <f t="shared" si="90"/>
        <v>401.61823018046482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2.7076325301254283</v>
      </c>
      <c r="AW114" s="23">
        <f>EXP(-LN(2)/2)*AW113+(1-EXP(-LN(2)/2))/(LN(2)/2)*AQ114*AT114*VLOOKUP('Données projet'!$B$10,Paramètres!$A$1:$I$89,3,0)*0.475*44/12</f>
        <v>1.1747371658060387E-11</v>
      </c>
      <c r="AX114" s="23">
        <f t="shared" si="60"/>
        <v>2.7076325301371758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67.455623789777107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2.8</v>
      </c>
      <c r="BD114" s="13">
        <f>IF('Données projet'!$A$88&gt;35,BD113+BC114-BL113,IF(A114&lt;'Données projet'!$A$88,$BA$205^A114,IF(A114='Données projet'!$A$88,'Données projet'!$B$88,BD113+BC114-BL113)))</f>
        <v>309.7999999999999</v>
      </c>
      <c r="BE114" s="14">
        <f>BD114*VLOOKUP('Données projet'!$B$11,Paramètres!$A$1:$I$89,3,0)*VLOOKUP('Données projet'!$B$11,Paramètres!$A$1:$I$89,5,0)</f>
        <v>280.30703999999992</v>
      </c>
      <c r="BF114" s="14">
        <f t="shared" si="91"/>
        <v>67.03189112007388</v>
      </c>
      <c r="BG114" s="22">
        <f t="shared" si="61"/>
        <v>604.94863836746174</v>
      </c>
      <c r="BH114" s="62">
        <f t="shared" si="62"/>
        <v>888.95259226331109</v>
      </c>
      <c r="BI114" s="62">
        <f ca="1">AVERAGE(OFFSET($BH$3,0,0,'Données projet'!$E$11+1,1))-AVERAGE(OFFSET($H$3,0,0,'Données projet'!$E$11+1,1))</f>
        <v>462.677457131175</v>
      </c>
      <c r="BJ114" s="62">
        <f t="shared" si="92"/>
        <v>291.78368401945909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0.96639472748894184</v>
      </c>
      <c r="BR114" s="23">
        <f>EXP(-LN(2)/2)*BR113+(1-EXP(-LN(2)/2))/(LN(2)/2)*BL114*BO114*VLOOKUP('Données projet'!$B$11,Paramètres!$A$1:$I$89,3,0)*0.475*44/12</f>
        <v>9.5886232494467239E-12</v>
      </c>
      <c r="BS114" s="24">
        <f t="shared" si="63"/>
        <v>0.9663947274985305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67.455623789777107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-5.6843418860808015E-14</v>
      </c>
      <c r="BZ114" s="14">
        <f>BY114*VLOOKUP('Données projet'!$B$12,Paramètres!$A$1:$I$89,3,0)*VLOOKUP('Données projet'!$B$12,Paramètres!$A$1:$I$89,5,0)</f>
        <v>-3.1036506698001178E-14</v>
      </c>
      <c r="CA114" s="14" t="e">
        <f t="shared" si="93"/>
        <v>#NUM!</v>
      </c>
      <c r="CB114" s="22" t="e">
        <f t="shared" si="64"/>
        <v>#NUM!</v>
      </c>
      <c r="CC114" s="62" t="e">
        <f t="shared" si="65"/>
        <v>#NUM!</v>
      </c>
      <c r="CD114" s="62">
        <f ca="1">AVERAGE(OFFSET($CC$3,0,0,'Données projet'!$E$12+1,1))-AVERAGE(OFFSET($H$3,0,0,'Données projet'!$E$12+1,1))</f>
        <v>302.37244372118971</v>
      </c>
      <c r="CE114" s="62">
        <f t="shared" si="94"/>
        <v>439.56450354660171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1.5154811071392582</v>
      </c>
      <c r="CL114" s="23">
        <f>EXP(-LN(2)/25)*CL113+(1-EXP(-LN(2)/25))/(LN(2)/25)*Calculateur!CG114*Calculateur!CI114*VLOOKUP('Données projet'!$B$12,Paramètres!$A$1:$I$89,3,0)*0.475*44/12</f>
        <v>1.7890671801444555</v>
      </c>
      <c r="CM114" s="23">
        <f>EXP(-LN(2)/2)*CM113+(1-EXP(-LN(2)/2))/(LN(2)/2)*CG114*CJ114*VLOOKUP('Données projet'!$B$12,Paramètres!$A$1:$I$89,3,0)*0.475*44/12</f>
        <v>1.0322610327293316E-11</v>
      </c>
      <c r="CN114" s="24">
        <f t="shared" si="66"/>
        <v>3.3045482872940362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67.455623789777107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2.8421709430404007E-14</v>
      </c>
      <c r="CU114" s="18">
        <f>CT114*VLOOKUP('Données projet'!$B$13,Paramètres!$A$1:$I$89,3,0)*VLOOKUP('Données projet'!$B$13,Paramètres!$A$1:$I$89,5,0)</f>
        <v>2.0838797354372217E-14</v>
      </c>
      <c r="CV114" s="14">
        <f t="shared" si="95"/>
        <v>3.7575774393093487E-13</v>
      </c>
      <c r="CW114" s="22">
        <f t="shared" si="67"/>
        <v>6.9073897607190981E-13</v>
      </c>
      <c r="CX114" s="62">
        <f t="shared" si="68"/>
        <v>284.00395389585009</v>
      </c>
      <c r="CY114" s="62">
        <f ca="1">AVERAGE(OFFSET($CX$3,0,0,'Données projet'!$E$13+1,1))-AVERAGE(OFFSET($H$3,0,0,'Données projet'!$E$13+1,1))</f>
        <v>300.12722359176314</v>
      </c>
      <c r="CZ114" s="62">
        <f t="shared" si="96"/>
        <v>313.35115626175946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1.2715359948860687</v>
      </c>
      <c r="DH114" s="23">
        <f>EXP(-LN(2)/2)*DH113+(1-EXP(-LN(2)/2))/(LN(2)/2)*DB114*DE114*VLOOKUP('Données projet'!$B$13,Paramètres!$A$1:$I$89,3,0)*0.475*44/12</f>
        <v>9.6856263867735078E-12</v>
      </c>
      <c r="DI114" s="24">
        <f t="shared" si="69"/>
        <v>1.2715359948957543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67.455623789777107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67.455623789777107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67.455623789777107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67.455623789777107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67.455623789777107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3.55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13.016666666666666</v>
      </c>
      <c r="H115" s="70">
        <f t="shared" si="56"/>
        <v>204.6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67.499763028651444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-2.2737367544323206E-13</v>
      </c>
      <c r="O115" s="14">
        <f>N115*VLOOKUP('Données projet'!$B$9,Paramètres!$A$1:$I$89,3,0)*VLOOKUP('Données projet'!$B$9,Paramètres!$A$1:$I$89,5,0)</f>
        <v>-1.2710188457276673E-13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455.44531340185631</v>
      </c>
      <c r="T115" s="62">
        <f t="shared" si="88"/>
        <v>560.14861617544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2.1297538851248685</v>
      </c>
      <c r="AA115" s="23">
        <f>EXP(-LN(2)/25)*AA114+(1-EXP(-LN(2)/25))/(LN(2)/25)*Calculateur!V115*Calculateur!X115*VLOOKUP('Données projet'!$B$9,Paramètres!$A$1:$I$89,3,0)*0.475*44/12</f>
        <v>1.4639540557528568</v>
      </c>
      <c r="AB115" s="23">
        <f>EXP(-LN(2)/2)*AB114+(1-EXP(-LN(2)/2))/(LN(2)/2)*V115*Y115*VLOOKUP('Données projet'!$B$9,Paramètres!$A$1:$I$89,3,0)*0.475*44/12</f>
        <v>6.0363925787498029E-12</v>
      </c>
      <c r="AC115" s="24">
        <f t="shared" si="57"/>
        <v>3.5937079408837618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67.499763028651444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1.9895196601282805E-13</v>
      </c>
      <c r="AJ115" s="14">
        <f>AI115*VLOOKUP('Données projet'!$B$10,Paramètres!$A$1:$I$89,3,0)*VLOOKUP('Données projet'!$B$10,Paramètres!$A$1:$I$89,5,0)</f>
        <v>1.738044375088066E-13</v>
      </c>
      <c r="AK115" s="14">
        <f t="shared" si="89"/>
        <v>2.4483293633950478E-12</v>
      </c>
      <c r="AL115" s="22">
        <f t="shared" si="58"/>
        <v>4.566883036574213E-12</v>
      </c>
      <c r="AM115" s="62">
        <f t="shared" si="59"/>
        <v>284.16579777172655</v>
      </c>
      <c r="AN115" s="62">
        <f ca="1">AVERAGE(OFFSET($AM$3,0,0,'Données projet'!$E$10+1,1))-AVERAGE(OFFSET($H$3,0,0,'Données projet'!$E$10+1,1))</f>
        <v>335.71510570470264</v>
      </c>
      <c r="AO115" s="62">
        <f t="shared" si="90"/>
        <v>401.61823018046482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2.633592176200942</v>
      </c>
      <c r="AW115" s="23">
        <f>EXP(-LN(2)/2)*AW114+(1-EXP(-LN(2)/2))/(LN(2)/2)*AQ115*AT115*VLOOKUP('Données projet'!$B$10,Paramètres!$A$1:$I$89,3,0)*0.475*44/12</f>
        <v>8.3066461605331557E-12</v>
      </c>
      <c r="AX115" s="23">
        <f t="shared" si="60"/>
        <v>2.6335921762092487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67.499763028651444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2.8</v>
      </c>
      <c r="BD115" s="13">
        <f>IF('Données projet'!$A$88&gt;35,BD114+BC115-BL114,IF(A115&lt;'Données projet'!$A$88,$BA$205^A115,IF(A115='Données projet'!$A$88,'Données projet'!$B$88,BD114+BC115-BL114)))</f>
        <v>312.59999999999991</v>
      </c>
      <c r="BE115" s="14">
        <f>BD115*VLOOKUP('Données projet'!$B$11,Paramètres!$A$1:$I$89,3,0)*VLOOKUP('Données projet'!$B$11,Paramètres!$A$1:$I$89,5,0)</f>
        <v>282.8404799999999</v>
      </c>
      <c r="BF115" s="14">
        <f t="shared" si="91"/>
        <v>67.56693087921127</v>
      </c>
      <c r="BG115" s="22">
        <f t="shared" si="61"/>
        <v>610.29290728129274</v>
      </c>
      <c r="BH115" s="62">
        <f t="shared" si="62"/>
        <v>894.45870505301468</v>
      </c>
      <c r="BI115" s="62">
        <f ca="1">AVERAGE(OFFSET($BH$3,0,0,'Données projet'!$E$11+1,1))-AVERAGE(OFFSET($H$3,0,0,'Données projet'!$E$11+1,1))</f>
        <v>462.677457131175</v>
      </c>
      <c r="BJ115" s="62">
        <f t="shared" si="92"/>
        <v>291.78368401945909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0.93996861284526678</v>
      </c>
      <c r="BR115" s="23">
        <f>EXP(-LN(2)/2)*BR114+(1-EXP(-LN(2)/2))/(LN(2)/2)*BL115*BO115*VLOOKUP('Données projet'!$B$11,Paramètres!$A$1:$I$89,3,0)*0.475*44/12</f>
        <v>6.7801805219267669E-12</v>
      </c>
      <c r="BS115" s="24">
        <f t="shared" si="63"/>
        <v>0.93996861285204691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67.499763028651444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-5.6843418860808015E-14</v>
      </c>
      <c r="BZ115" s="14">
        <f>BY115*VLOOKUP('Données projet'!$B$12,Paramètres!$A$1:$I$89,3,0)*VLOOKUP('Données projet'!$B$12,Paramètres!$A$1:$I$89,5,0)</f>
        <v>-3.1036506698001178E-14</v>
      </c>
      <c r="CA115" s="14" t="e">
        <f t="shared" si="93"/>
        <v>#NUM!</v>
      </c>
      <c r="CB115" s="22" t="e">
        <f t="shared" si="64"/>
        <v>#NUM!</v>
      </c>
      <c r="CC115" s="62" t="e">
        <f t="shared" si="65"/>
        <v>#NUM!</v>
      </c>
      <c r="CD115" s="62">
        <f ca="1">AVERAGE(OFFSET($CC$3,0,0,'Données projet'!$E$12+1,1))-AVERAGE(OFFSET($H$3,0,0,'Données projet'!$E$12+1,1))</f>
        <v>302.37244372118971</v>
      </c>
      <c r="CE115" s="62">
        <f t="shared" si="94"/>
        <v>439.56450354660171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1.4857634469804606</v>
      </c>
      <c r="CL115" s="23">
        <f>EXP(-LN(2)/25)*CL114+(1-EXP(-LN(2)/25))/(LN(2)/25)*Calculateur!CG115*Calculateur!CI115*VLOOKUP('Données projet'!$B$12,Paramètres!$A$1:$I$89,3,0)*0.475*44/12</f>
        <v>1.7401450440204513</v>
      </c>
      <c r="CM115" s="23">
        <f>EXP(-LN(2)/2)*CM114+(1-EXP(-LN(2)/2))/(LN(2)/2)*CG115*CJ115*VLOOKUP('Données projet'!$B$12,Paramètres!$A$1:$I$89,3,0)*0.475*44/12</f>
        <v>7.2991877619753906E-12</v>
      </c>
      <c r="CN115" s="24">
        <f t="shared" si="66"/>
        <v>3.225908491008211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67.499763028651444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2.8421709430404007E-14</v>
      </c>
      <c r="CU115" s="18">
        <f>CT115*VLOOKUP('Données projet'!$B$13,Paramètres!$A$1:$I$89,3,0)*VLOOKUP('Données projet'!$B$13,Paramètres!$A$1:$I$89,5,0)</f>
        <v>2.0838797354372217E-14</v>
      </c>
      <c r="CV115" s="14">
        <f t="shared" si="95"/>
        <v>3.7575774393093487E-13</v>
      </c>
      <c r="CW115" s="22">
        <f t="shared" si="67"/>
        <v>6.9073897607190981E-13</v>
      </c>
      <c r="CX115" s="62">
        <f t="shared" si="68"/>
        <v>284.16579777172268</v>
      </c>
      <c r="CY115" s="62">
        <f ca="1">AVERAGE(OFFSET($CX$3,0,0,'Données projet'!$E$13+1,1))-AVERAGE(OFFSET($H$3,0,0,'Données projet'!$E$13+1,1))</f>
        <v>300.12722359176314</v>
      </c>
      <c r="CZ115" s="62">
        <f t="shared" si="96"/>
        <v>313.35115626175946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1.2367657762387374</v>
      </c>
      <c r="DH115" s="23">
        <f>EXP(-LN(2)/2)*DH114+(1-EXP(-LN(2)/2))/(LN(2)/2)*DB115*DE115*VLOOKUP('Données projet'!$B$13,Paramètres!$A$1:$I$89,3,0)*0.475*44/12</f>
        <v>6.8487720981269058E-12</v>
      </c>
      <c r="DI115" s="24">
        <f t="shared" si="69"/>
        <v>1.2367657762455861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67.499763028651444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67.499763028651444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67.499763028651444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67.499763028651444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67.499763028651444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3.55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13.016666666666666</v>
      </c>
      <c r="H116" s="70">
        <f t="shared" si="56"/>
        <v>204.6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67.543136550411873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-2.2737367544323206E-13</v>
      </c>
      <c r="O116" s="14">
        <f>N116*VLOOKUP('Données projet'!$B$9,Paramètres!$A$1:$I$89,3,0)*VLOOKUP('Données projet'!$B$9,Paramètres!$A$1:$I$89,5,0)</f>
        <v>-1.2710188457276673E-13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455.44531340185631</v>
      </c>
      <c r="T116" s="62">
        <f t="shared" si="88"/>
        <v>560.14861617544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2.087990710459172</v>
      </c>
      <c r="AA116" s="23">
        <f>EXP(-LN(2)/25)*AA115+(1-EXP(-LN(2)/25))/(LN(2)/25)*Calculateur!V116*Calculateur!X116*VLOOKUP('Données projet'!$B$9,Paramètres!$A$1:$I$89,3,0)*0.475*44/12</f>
        <v>1.4239221551122969</v>
      </c>
      <c r="AB116" s="23">
        <f>EXP(-LN(2)/2)*AB115+(1-EXP(-LN(2)/2))/(LN(2)/2)*V116*Y116*VLOOKUP('Données projet'!$B$9,Paramètres!$A$1:$I$89,3,0)*0.475*44/12</f>
        <v>4.2683741263381362E-12</v>
      </c>
      <c r="AC116" s="24">
        <f t="shared" si="57"/>
        <v>3.5119128655757375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67.543136550411873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1.9895196601282805E-13</v>
      </c>
      <c r="AJ116" s="14">
        <f>AI116*VLOOKUP('Données projet'!$B$10,Paramètres!$A$1:$I$89,3,0)*VLOOKUP('Données projet'!$B$10,Paramètres!$A$1:$I$89,5,0)</f>
        <v>1.738044375088066E-13</v>
      </c>
      <c r="AK116" s="14">
        <f t="shared" si="89"/>
        <v>2.4483293633950478E-12</v>
      </c>
      <c r="AL116" s="22">
        <f t="shared" si="58"/>
        <v>4.566883036574213E-12</v>
      </c>
      <c r="AM116" s="62">
        <f t="shared" si="59"/>
        <v>284.32483401818143</v>
      </c>
      <c r="AN116" s="62">
        <f ca="1">AVERAGE(OFFSET($AM$3,0,0,'Données projet'!$E$10+1,1))-AVERAGE(OFFSET($H$3,0,0,'Données projet'!$E$10+1,1))</f>
        <v>335.71510570470264</v>
      </c>
      <c r="AO116" s="62">
        <f t="shared" si="90"/>
        <v>401.61823018046482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2.5615764596481339</v>
      </c>
      <c r="AW116" s="23">
        <f>EXP(-LN(2)/2)*AW115+(1-EXP(-LN(2)/2))/(LN(2)/2)*AQ116*AT116*VLOOKUP('Données projet'!$B$10,Paramètres!$A$1:$I$89,3,0)*0.475*44/12</f>
        <v>5.8736858290301934E-12</v>
      </c>
      <c r="AX116" s="23">
        <f t="shared" si="60"/>
        <v>2.5615764596540074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67.543136550411873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2.8</v>
      </c>
      <c r="BD116" s="13">
        <f>IF('Données projet'!$A$88&gt;35,BD115+BC116-BL115,IF(A116&lt;'Données projet'!$A$88,$BA$205^A116,IF(A116='Données projet'!$A$88,'Données projet'!$B$88,BD115+BC116-BL115)))</f>
        <v>315.39999999999992</v>
      </c>
      <c r="BE116" s="14">
        <f>BD116*VLOOKUP('Données projet'!$B$11,Paramètres!$A$1:$I$89,3,0)*VLOOKUP('Données projet'!$B$11,Paramètres!$A$1:$I$89,5,0)</f>
        <v>285.37391999999988</v>
      </c>
      <c r="BF116" s="14">
        <f t="shared" si="91"/>
        <v>68.101413083167643</v>
      </c>
      <c r="BG116" s="22">
        <f t="shared" si="61"/>
        <v>615.63620511985016</v>
      </c>
      <c r="BH116" s="62">
        <f t="shared" si="62"/>
        <v>899.96103913802699</v>
      </c>
      <c r="BI116" s="62">
        <f ca="1">AVERAGE(OFFSET($BH$3,0,0,'Données projet'!$E$11+1,1))-AVERAGE(OFFSET($H$3,0,0,'Données projet'!$E$11+1,1))</f>
        <v>462.677457131175</v>
      </c>
      <c r="BJ116" s="62">
        <f t="shared" si="92"/>
        <v>291.78368401945909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0.91426512169621199</v>
      </c>
      <c r="BR116" s="23">
        <f>EXP(-LN(2)/2)*BR115+(1-EXP(-LN(2)/2))/(LN(2)/2)*BL116*BO116*VLOOKUP('Données projet'!$B$11,Paramètres!$A$1:$I$89,3,0)*0.475*44/12</f>
        <v>4.7943116247233619E-12</v>
      </c>
      <c r="BS116" s="24">
        <f t="shared" si="63"/>
        <v>0.91426512170100627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67.543136550411873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-5.6843418860808015E-14</v>
      </c>
      <c r="BZ116" s="14">
        <f>BY116*VLOOKUP('Données projet'!$B$12,Paramètres!$A$1:$I$89,3,0)*VLOOKUP('Données projet'!$B$12,Paramètres!$A$1:$I$89,5,0)</f>
        <v>-3.1036506698001178E-14</v>
      </c>
      <c r="CA116" s="14" t="e">
        <f t="shared" si="93"/>
        <v>#NUM!</v>
      </c>
      <c r="CB116" s="22" t="e">
        <f t="shared" si="64"/>
        <v>#NUM!</v>
      </c>
      <c r="CC116" s="62" t="e">
        <f t="shared" si="65"/>
        <v>#NUM!</v>
      </c>
      <c r="CD116" s="62">
        <f ca="1">AVERAGE(OFFSET($CC$3,0,0,'Données projet'!$E$12+1,1))-AVERAGE(OFFSET($H$3,0,0,'Données projet'!$E$12+1,1))</f>
        <v>302.37244372118971</v>
      </c>
      <c r="CE116" s="62">
        <f t="shared" si="94"/>
        <v>439.56450354660171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1.4566285320113941</v>
      </c>
      <c r="CL116" s="23">
        <f>EXP(-LN(2)/25)*CL115+(1-EXP(-LN(2)/25))/(LN(2)/25)*Calculateur!CG116*Calculateur!CI116*VLOOKUP('Données projet'!$B$12,Paramètres!$A$1:$I$89,3,0)*0.475*44/12</f>
        <v>1.6925606862814613</v>
      </c>
      <c r="CM116" s="23">
        <f>EXP(-LN(2)/2)*CM115+(1-EXP(-LN(2)/2))/(LN(2)/2)*CG116*CJ116*VLOOKUP('Données projet'!$B$12,Paramètres!$A$1:$I$89,3,0)*0.475*44/12</f>
        <v>5.1613051636466581E-12</v>
      </c>
      <c r="CN116" s="24">
        <f t="shared" si="66"/>
        <v>3.1491892182980168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67.543136550411873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2.8421709430404007E-14</v>
      </c>
      <c r="CU116" s="18">
        <f>CT116*VLOOKUP('Données projet'!$B$13,Paramètres!$A$1:$I$89,3,0)*VLOOKUP('Données projet'!$B$13,Paramètres!$A$1:$I$89,5,0)</f>
        <v>2.0838797354372217E-14</v>
      </c>
      <c r="CV116" s="14">
        <f t="shared" si="95"/>
        <v>3.7575774393093487E-13</v>
      </c>
      <c r="CW116" s="22">
        <f t="shared" si="67"/>
        <v>6.9073897607190981E-13</v>
      </c>
      <c r="CX116" s="62">
        <f t="shared" si="68"/>
        <v>284.32483401817757</v>
      </c>
      <c r="CY116" s="62">
        <f ca="1">AVERAGE(OFFSET($CX$3,0,0,'Données projet'!$E$13+1,1))-AVERAGE(OFFSET($H$3,0,0,'Données projet'!$E$13+1,1))</f>
        <v>300.12722359176314</v>
      </c>
      <c r="CZ116" s="62">
        <f t="shared" si="96"/>
        <v>313.35115626175946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1.2029463510488037</v>
      </c>
      <c r="DH116" s="23">
        <f>EXP(-LN(2)/2)*DH115+(1-EXP(-LN(2)/2))/(LN(2)/2)*DB116*DE116*VLOOKUP('Données projet'!$B$13,Paramètres!$A$1:$I$89,3,0)*0.475*44/12</f>
        <v>4.8428131933867539E-12</v>
      </c>
      <c r="DI116" s="24">
        <f t="shared" si="69"/>
        <v>1.2029463510536464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67.543136550411873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67.543136550411873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67.543136550411873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67.543136550411873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67.543136550411873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3.55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13.016666666666666</v>
      </c>
      <c r="H117" s="70">
        <f t="shared" si="56"/>
        <v>204.6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67.585757638538411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-2.2737367544323206E-13</v>
      </c>
      <c r="O117" s="14">
        <f>N117*VLOOKUP('Données projet'!$B$9,Paramètres!$A$1:$I$89,3,0)*VLOOKUP('Données projet'!$B$9,Paramètres!$A$1:$I$89,5,0)</f>
        <v>-1.2710188457276673E-13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455.44531340185631</v>
      </c>
      <c r="T117" s="62">
        <f t="shared" si="88"/>
        <v>560.14861617544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2.0470464861756485</v>
      </c>
      <c r="AA117" s="23">
        <f>EXP(-LN(2)/25)*AA116+(1-EXP(-LN(2)/25))/(LN(2)/25)*Calculateur!V117*Calculateur!X117*VLOOKUP('Données projet'!$B$9,Paramètres!$A$1:$I$89,3,0)*0.475*44/12</f>
        <v>1.3849849288999394</v>
      </c>
      <c r="AB117" s="23">
        <f>EXP(-LN(2)/2)*AB116+(1-EXP(-LN(2)/2))/(LN(2)/2)*V117*Y117*VLOOKUP('Données projet'!$B$9,Paramètres!$A$1:$I$89,3,0)*0.475*44/12</f>
        <v>3.0181962893749015E-12</v>
      </c>
      <c r="AC117" s="24">
        <f t="shared" si="57"/>
        <v>3.432031415078606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67.585757638538411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1.9895196601282805E-13</v>
      </c>
      <c r="AJ117" s="14">
        <f>AI117*VLOOKUP('Données projet'!$B$10,Paramètres!$A$1:$I$89,3,0)*VLOOKUP('Données projet'!$B$10,Paramètres!$A$1:$I$89,5,0)</f>
        <v>1.738044375088066E-13</v>
      </c>
      <c r="AK117" s="14">
        <f t="shared" si="89"/>
        <v>2.4483293633950478E-12</v>
      </c>
      <c r="AL117" s="22">
        <f t="shared" si="58"/>
        <v>4.566883036574213E-12</v>
      </c>
      <c r="AM117" s="62">
        <f t="shared" si="59"/>
        <v>284.48111134131204</v>
      </c>
      <c r="AN117" s="62">
        <f ca="1">AVERAGE(OFFSET($AM$3,0,0,'Données projet'!$E$10+1,1))-AVERAGE(OFFSET($H$3,0,0,'Données projet'!$E$10+1,1))</f>
        <v>335.71510570470264</v>
      </c>
      <c r="AO117" s="62">
        <f t="shared" si="90"/>
        <v>401.61823018046482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2.4915300166516041</v>
      </c>
      <c r="AW117" s="23">
        <f>EXP(-LN(2)/2)*AW116+(1-EXP(-LN(2)/2))/(LN(2)/2)*AQ117*AT117*VLOOKUP('Données projet'!$B$10,Paramètres!$A$1:$I$89,3,0)*0.475*44/12</f>
        <v>4.1533230802665779E-12</v>
      </c>
      <c r="AX117" s="23">
        <f t="shared" si="60"/>
        <v>2.4915300166557572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67.585757638538411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2.8</v>
      </c>
      <c r="BD117" s="13">
        <f>IF('Données projet'!$A$88&gt;35,BD116+BC117-BL116,IF(A117&lt;'Données projet'!$A$88,$BA$205^A117,IF(A117='Données projet'!$A$88,'Données projet'!$B$88,BD116+BC117-BL116)))</f>
        <v>318.19999999999993</v>
      </c>
      <c r="BE117" s="14">
        <f>BD117*VLOOKUP('Données projet'!$B$11,Paramètres!$A$1:$I$89,3,0)*VLOOKUP('Données projet'!$B$11,Paramètres!$A$1:$I$89,5,0)</f>
        <v>287.90735999999993</v>
      </c>
      <c r="BF117" s="14">
        <f t="shared" si="91"/>
        <v>68.635343255147305</v>
      </c>
      <c r="BG117" s="22">
        <f t="shared" si="61"/>
        <v>620.97854150271473</v>
      </c>
      <c r="BH117" s="62">
        <f t="shared" si="62"/>
        <v>905.45965284402223</v>
      </c>
      <c r="BI117" s="62">
        <f ca="1">AVERAGE(OFFSET($BH$3,0,0,'Données projet'!$E$11+1,1))-AVERAGE(OFFSET($H$3,0,0,'Données projet'!$E$11+1,1))</f>
        <v>462.677457131175</v>
      </c>
      <c r="BJ117" s="62">
        <f t="shared" si="92"/>
        <v>291.78368401945909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0.88926449386431594</v>
      </c>
      <c r="BR117" s="23">
        <f>EXP(-LN(2)/2)*BR116+(1-EXP(-LN(2)/2))/(LN(2)/2)*BL117*BO117*VLOOKUP('Données projet'!$B$11,Paramètres!$A$1:$I$89,3,0)*0.475*44/12</f>
        <v>3.3900902609633835E-12</v>
      </c>
      <c r="BS117" s="24">
        <f t="shared" si="63"/>
        <v>0.88926449386770601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67.585757638538411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-5.6843418860808015E-14</v>
      </c>
      <c r="BZ117" s="14">
        <f>BY117*VLOOKUP('Données projet'!$B$12,Paramètres!$A$1:$I$89,3,0)*VLOOKUP('Données projet'!$B$12,Paramètres!$A$1:$I$89,5,0)</f>
        <v>-3.1036506698001178E-14</v>
      </c>
      <c r="CA117" s="14" t="e">
        <f t="shared" si="93"/>
        <v>#NUM!</v>
      </c>
      <c r="CB117" s="22" t="e">
        <f t="shared" si="64"/>
        <v>#NUM!</v>
      </c>
      <c r="CC117" s="62" t="e">
        <f t="shared" si="65"/>
        <v>#NUM!</v>
      </c>
      <c r="CD117" s="62">
        <f ca="1">AVERAGE(OFFSET($CC$3,0,0,'Données projet'!$E$12+1,1))-AVERAGE(OFFSET($H$3,0,0,'Données projet'!$E$12+1,1))</f>
        <v>302.37244372118971</v>
      </c>
      <c r="CE117" s="62">
        <f t="shared" si="94"/>
        <v>439.56450354660171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1.4280649349543275</v>
      </c>
      <c r="CL117" s="23">
        <f>EXP(-LN(2)/25)*CL116+(1-EXP(-LN(2)/25))/(LN(2)/25)*Calculateur!CG117*Calculateur!CI117*VLOOKUP('Données projet'!$B$12,Paramètres!$A$1:$I$89,3,0)*0.475*44/12</f>
        <v>1.6462775253071966</v>
      </c>
      <c r="CM117" s="23">
        <f>EXP(-LN(2)/2)*CM116+(1-EXP(-LN(2)/2))/(LN(2)/2)*CG117*CJ117*VLOOKUP('Données projet'!$B$12,Paramètres!$A$1:$I$89,3,0)*0.475*44/12</f>
        <v>3.6495938809876953E-12</v>
      </c>
      <c r="CN117" s="24">
        <f t="shared" si="66"/>
        <v>3.0743424602651737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67.585757638538411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2.8421709430404007E-14</v>
      </c>
      <c r="CU117" s="18">
        <f>CT117*VLOOKUP('Données projet'!$B$13,Paramètres!$A$1:$I$89,3,0)*VLOOKUP('Données projet'!$B$13,Paramètres!$A$1:$I$89,5,0)</f>
        <v>2.0838797354372217E-14</v>
      </c>
      <c r="CV117" s="14">
        <f t="shared" si="95"/>
        <v>3.7575774393093487E-13</v>
      </c>
      <c r="CW117" s="22">
        <f t="shared" si="67"/>
        <v>6.9073897607190981E-13</v>
      </c>
      <c r="CX117" s="62">
        <f t="shared" si="68"/>
        <v>284.48111134130818</v>
      </c>
      <c r="CY117" s="62">
        <f ca="1">AVERAGE(OFFSET($CX$3,0,0,'Données projet'!$E$13+1,1))-AVERAGE(OFFSET($H$3,0,0,'Données projet'!$E$13+1,1))</f>
        <v>300.12722359176314</v>
      </c>
      <c r="CZ117" s="62">
        <f t="shared" si="96"/>
        <v>313.35115626175946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1.1700517198191749</v>
      </c>
      <c r="DH117" s="23">
        <f>EXP(-LN(2)/2)*DH116+(1-EXP(-LN(2)/2))/(LN(2)/2)*DB117*DE117*VLOOKUP('Données projet'!$B$13,Paramètres!$A$1:$I$89,3,0)*0.475*44/12</f>
        <v>3.4243860490634529E-12</v>
      </c>
      <c r="DI117" s="24">
        <f t="shared" si="69"/>
        <v>1.1700517198225993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67.585757638538411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67.585757638538411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67.585757638538411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67.585757638538411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67.585757638538411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3.55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13.016666666666666</v>
      </c>
      <c r="H118" s="70">
        <f t="shared" si="56"/>
        <v>204.6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67.627639346072456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-2.2737367544323206E-13</v>
      </c>
      <c r="O118" s="14">
        <f>N118*VLOOKUP('Données projet'!$B$9,Paramètres!$A$1:$I$89,3,0)*VLOOKUP('Données projet'!$B$9,Paramètres!$A$1:$I$89,5,0)</f>
        <v>-1.2710188457276673E-13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455.44531340185631</v>
      </c>
      <c r="T118" s="62">
        <f t="shared" si="88"/>
        <v>560.14861617544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2.0069051531568141</v>
      </c>
      <c r="AA118" s="23">
        <f>EXP(-LN(2)/25)*AA117+(1-EXP(-LN(2)/25))/(LN(2)/25)*Calculateur!V118*Calculateur!X118*VLOOKUP('Données projet'!$B$9,Paramètres!$A$1:$I$89,3,0)*0.475*44/12</f>
        <v>1.3471124431859787</v>
      </c>
      <c r="AB118" s="23">
        <f>EXP(-LN(2)/2)*AB117+(1-EXP(-LN(2)/2))/(LN(2)/2)*V118*Y118*VLOOKUP('Données projet'!$B$9,Paramètres!$A$1:$I$89,3,0)*0.475*44/12</f>
        <v>2.1341870631690681E-12</v>
      </c>
      <c r="AC118" s="24">
        <f t="shared" si="57"/>
        <v>3.354017596344927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67.627639346072456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1.9895196601282805E-13</v>
      </c>
      <c r="AJ118" s="14">
        <f>AI118*VLOOKUP('Données projet'!$B$10,Paramètres!$A$1:$I$89,3,0)*VLOOKUP('Données projet'!$B$10,Paramètres!$A$1:$I$89,5,0)</f>
        <v>1.738044375088066E-13</v>
      </c>
      <c r="AK118" s="14">
        <f t="shared" si="89"/>
        <v>2.4483293633950478E-12</v>
      </c>
      <c r="AL118" s="22">
        <f t="shared" si="58"/>
        <v>4.566883036574213E-12</v>
      </c>
      <c r="AM118" s="62">
        <f t="shared" si="59"/>
        <v>284.63467760227019</v>
      </c>
      <c r="AN118" s="62">
        <f ca="1">AVERAGE(OFFSET($AM$3,0,0,'Données projet'!$E$10+1,1))-AVERAGE(OFFSET($H$3,0,0,'Données projet'!$E$10+1,1))</f>
        <v>335.71510570470264</v>
      </c>
      <c r="AO118" s="62">
        <f t="shared" si="90"/>
        <v>401.61823018046482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2.4233989973223968</v>
      </c>
      <c r="AW118" s="23">
        <f>EXP(-LN(2)/2)*AW117+(1-EXP(-LN(2)/2))/(LN(2)/2)*AQ118*AT118*VLOOKUP('Données projet'!$B$10,Paramètres!$A$1:$I$89,3,0)*0.475*44/12</f>
        <v>2.9368429145150967E-12</v>
      </c>
      <c r="AX118" s="23">
        <f t="shared" si="60"/>
        <v>2.4233989973253336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67.627639346072456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>
        <f>VLOOKUP(A118,'Données projet'!$A$87:$I$107,2,0)</f>
        <v>321</v>
      </c>
      <c r="BB118" s="13">
        <f>VLOOKUP(A118,'Données projet'!$A$87:$I$107,9,0)</f>
        <v>2.8</v>
      </c>
      <c r="BC118" s="13">
        <f t="array" ref="BC118">INDEX(BB:BB,MIN(IF(ISNUMBER(BB118:BB314),ROW(BB118:BB314),"")))</f>
        <v>2.8</v>
      </c>
      <c r="BD118" s="13">
        <f>IF('Données projet'!$A$88&gt;35,BD117+BC118-BL117,IF(A118&lt;'Données projet'!$A$88,$BA$205^A118,IF(A118='Données projet'!$A$88,'Données projet'!$B$88,BD117+BC118-BL117)))</f>
        <v>320.99999999999994</v>
      </c>
      <c r="BE118" s="14">
        <f>BD118*VLOOKUP('Données projet'!$B$11,Paramètres!$A$1:$I$89,3,0)*VLOOKUP('Données projet'!$B$11,Paramètres!$A$1:$I$89,5,0)</f>
        <v>290.44079999999991</v>
      </c>
      <c r="BF118" s="14">
        <f t="shared" si="91"/>
        <v>69.168726815543309</v>
      </c>
      <c r="BG118" s="22">
        <f t="shared" si="61"/>
        <v>626.31992587040452</v>
      </c>
      <c r="BH118" s="62">
        <f t="shared" si="62"/>
        <v>910.95460347267021</v>
      </c>
      <c r="BI118" s="62">
        <f ca="1">AVERAGE(OFFSET($BH$3,0,0,'Données projet'!$E$11+1,1))-AVERAGE(OFFSET($H$3,0,0,'Données projet'!$E$11+1,1))</f>
        <v>462.677457131175</v>
      </c>
      <c r="BJ118" s="62">
        <f t="shared" si="92"/>
        <v>291.78368401945909</v>
      </c>
      <c r="BK118" s="16">
        <f>IF(ISNA(VLOOKUP(A118,'Données projet'!$A$87:$I$107,3,0)),0,VLOOKUP(A118,'Données projet'!$A$87:$I$107,3,0))</f>
        <v>20</v>
      </c>
      <c r="BL118" s="16">
        <f>IF(ISNA(VLOOKUP(A118,'Données projet'!$A$87:$I$107,4,0)),0,VLOOKUP(A118,'Données projet'!$A$87:$I$107,4,0))</f>
        <v>321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0.86494750951520893</v>
      </c>
      <c r="BR118" s="23">
        <f>EXP(-LN(2)/2)*BR117+(1-EXP(-LN(2)/2))/(LN(2)/2)*BL118*BO118*VLOOKUP('Données projet'!$B$11,Paramètres!$A$1:$I$89,3,0)*0.475*44/12</f>
        <v>2.397155812361681E-12</v>
      </c>
      <c r="BS118" s="24">
        <f t="shared" si="63"/>
        <v>0.86494750951760613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67.627639346072456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-5.6843418860808015E-14</v>
      </c>
      <c r="BZ118" s="14">
        <f>BY118*VLOOKUP('Données projet'!$B$12,Paramètres!$A$1:$I$89,3,0)*VLOOKUP('Données projet'!$B$12,Paramètres!$A$1:$I$89,5,0)</f>
        <v>-3.1036506698001178E-14</v>
      </c>
      <c r="CA118" s="14" t="e">
        <f t="shared" si="93"/>
        <v>#NUM!</v>
      </c>
      <c r="CB118" s="22" t="e">
        <f t="shared" si="64"/>
        <v>#NUM!</v>
      </c>
      <c r="CC118" s="62" t="e">
        <f t="shared" si="65"/>
        <v>#NUM!</v>
      </c>
      <c r="CD118" s="62">
        <f ca="1">AVERAGE(OFFSET($CC$3,0,0,'Données projet'!$E$12+1,1))-AVERAGE(OFFSET($H$3,0,0,'Données projet'!$E$12+1,1))</f>
        <v>302.37244372118971</v>
      </c>
      <c r="CE118" s="62">
        <f t="shared" si="94"/>
        <v>439.56450354660171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1.400061452613476</v>
      </c>
      <c r="CL118" s="23">
        <f>EXP(-LN(2)/25)*CL117+(1-EXP(-LN(2)/25))/(LN(2)/25)*Calculateur!CG118*Calculateur!CI118*VLOOKUP('Données projet'!$B$12,Paramètres!$A$1:$I$89,3,0)*0.475*44/12</f>
        <v>1.6012599798036988</v>
      </c>
      <c r="CM118" s="23">
        <f>EXP(-LN(2)/2)*CM117+(1-EXP(-LN(2)/2))/(LN(2)/2)*CG118*CJ118*VLOOKUP('Données projet'!$B$12,Paramètres!$A$1:$I$89,3,0)*0.475*44/12</f>
        <v>2.5806525818233291E-12</v>
      </c>
      <c r="CN118" s="24">
        <f t="shared" si="66"/>
        <v>3.0013214324197555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67.627639346072456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2.8421709430404007E-14</v>
      </c>
      <c r="CU118" s="18">
        <f>CT118*VLOOKUP('Données projet'!$B$13,Paramètres!$A$1:$I$89,3,0)*VLOOKUP('Données projet'!$B$13,Paramètres!$A$1:$I$89,5,0)</f>
        <v>2.0838797354372217E-14</v>
      </c>
      <c r="CV118" s="14">
        <f t="shared" si="95"/>
        <v>3.7575774393093487E-13</v>
      </c>
      <c r="CW118" s="22">
        <f t="shared" si="67"/>
        <v>6.9073897607190981E-13</v>
      </c>
      <c r="CX118" s="62">
        <f t="shared" si="68"/>
        <v>284.63467760226632</v>
      </c>
      <c r="CY118" s="62">
        <f ca="1">AVERAGE(OFFSET($CX$3,0,0,'Données projet'!$E$13+1,1))-AVERAGE(OFFSET($H$3,0,0,'Données projet'!$E$13+1,1))</f>
        <v>300.12722359176314</v>
      </c>
      <c r="CZ118" s="62">
        <f t="shared" si="96"/>
        <v>313.35115626175946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1.1380565940103737</v>
      </c>
      <c r="DH118" s="23">
        <f>EXP(-LN(2)/2)*DH117+(1-EXP(-LN(2)/2))/(LN(2)/2)*DB118*DE118*VLOOKUP('Données projet'!$B$13,Paramètres!$A$1:$I$89,3,0)*0.475*44/12</f>
        <v>2.4214065966933769E-12</v>
      </c>
      <c r="DI118" s="24">
        <f t="shared" si="69"/>
        <v>1.1380565940127951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67.627639346072456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67.627639346072456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67.627639346072456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67.627639346072456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67.627639346072456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3.55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13.016666666666666</v>
      </c>
      <c r="H119" s="70">
        <f t="shared" si="56"/>
        <v>204.6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67.668794499614251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-2.2737367544323206E-13</v>
      </c>
      <c r="O119" s="14">
        <f>N119*VLOOKUP('Données projet'!$B$9,Paramètres!$A$1:$I$89,3,0)*VLOOKUP('Données projet'!$B$9,Paramètres!$A$1:$I$89,5,0)</f>
        <v>-1.2710188457276673E-13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455.44531340185631</v>
      </c>
      <c r="T119" s="62">
        <f t="shared" si="88"/>
        <v>560.14861617544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1.9675509671946834</v>
      </c>
      <c r="AA119" s="23">
        <f>EXP(-LN(2)/25)*AA118+(1-EXP(-LN(2)/25))/(LN(2)/25)*Calculateur!V119*Calculateur!X119*VLOOKUP('Données projet'!$B$9,Paramètres!$A$1:$I$89,3,0)*0.475*44/12</f>
        <v>1.3102755825854935</v>
      </c>
      <c r="AB119" s="23">
        <f>EXP(-LN(2)/2)*AB118+(1-EXP(-LN(2)/2))/(LN(2)/2)*V119*Y119*VLOOKUP('Données projet'!$B$9,Paramètres!$A$1:$I$89,3,0)*0.475*44/12</f>
        <v>1.5090981446874507E-12</v>
      </c>
      <c r="AC119" s="24">
        <f t="shared" si="57"/>
        <v>3.2778265497816861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67.668794499614251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1.9895196601282805E-13</v>
      </c>
      <c r="AJ119" s="14">
        <f>AI119*VLOOKUP('Données projet'!$B$10,Paramètres!$A$1:$I$89,3,0)*VLOOKUP('Données projet'!$B$10,Paramètres!$A$1:$I$89,5,0)</f>
        <v>1.738044375088066E-13</v>
      </c>
      <c r="AK119" s="14">
        <f t="shared" si="89"/>
        <v>2.4483293633950478E-12</v>
      </c>
      <c r="AL119" s="22">
        <f t="shared" si="58"/>
        <v>4.566883036574213E-12</v>
      </c>
      <c r="AM119" s="62">
        <f t="shared" si="59"/>
        <v>284.78557983192349</v>
      </c>
      <c r="AN119" s="62">
        <f ca="1">AVERAGE(OFFSET($AM$3,0,0,'Données projet'!$E$10+1,1))-AVERAGE(OFFSET($H$3,0,0,'Données projet'!$E$10+1,1))</f>
        <v>335.71510570470264</v>
      </c>
      <c r="AO119" s="62">
        <f t="shared" si="90"/>
        <v>401.61823018046482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2.3571310242996013</v>
      </c>
      <c r="AW119" s="23">
        <f>EXP(-LN(2)/2)*AW118+(1-EXP(-LN(2)/2))/(LN(2)/2)*AQ119*AT119*VLOOKUP('Données projet'!$B$10,Paramètres!$A$1:$I$89,3,0)*0.475*44/12</f>
        <v>2.0766615401332889E-12</v>
      </c>
      <c r="AX119" s="23">
        <f t="shared" si="60"/>
        <v>2.3571310243016779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67.668794499614251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-5.6843418860808015E-14</v>
      </c>
      <c r="BE119" s="14">
        <f>BD119*VLOOKUP('Données projet'!$B$11,Paramètres!$A$1:$I$89,3,0)*VLOOKUP('Données projet'!$B$11,Paramètres!$A$1:$I$89,5,0)</f>
        <v>-5.1431925385259088E-14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462.677457131175</v>
      </c>
      <c r="BJ119" s="62">
        <f t="shared" si="92"/>
        <v>291.78368401945909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0.84129547438190289</v>
      </c>
      <c r="BR119" s="23">
        <f>EXP(-LN(2)/2)*BR118+(1-EXP(-LN(2)/2))/(LN(2)/2)*BL119*BO119*VLOOKUP('Données projet'!$B$11,Paramètres!$A$1:$I$89,3,0)*0.475*44/12</f>
        <v>1.6950451304816917E-12</v>
      </c>
      <c r="BS119" s="24">
        <f t="shared" si="63"/>
        <v>0.84129547438359797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67.668794499614251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-5.6843418860808015E-14</v>
      </c>
      <c r="BZ119" s="14">
        <f>BY119*VLOOKUP('Données projet'!$B$12,Paramètres!$A$1:$I$89,3,0)*VLOOKUP('Données projet'!$B$12,Paramètres!$A$1:$I$89,5,0)</f>
        <v>-3.1036506698001178E-14</v>
      </c>
      <c r="CA119" s="14" t="e">
        <f t="shared" si="93"/>
        <v>#NUM!</v>
      </c>
      <c r="CB119" s="22" t="e">
        <f t="shared" si="64"/>
        <v>#NUM!</v>
      </c>
      <c r="CC119" s="62" t="e">
        <f t="shared" si="65"/>
        <v>#NUM!</v>
      </c>
      <c r="CD119" s="62">
        <f ca="1">AVERAGE(OFFSET($CC$3,0,0,'Données projet'!$E$12+1,1))-AVERAGE(OFFSET($H$3,0,0,'Données projet'!$E$12+1,1))</f>
        <v>302.37244372118971</v>
      </c>
      <c r="CE119" s="62">
        <f t="shared" si="94"/>
        <v>439.56450354660171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1.3726071014808909</v>
      </c>
      <c r="CL119" s="23">
        <f>EXP(-LN(2)/25)*CL118+(1-EXP(-LN(2)/25))/(LN(2)/25)*Calculateur!CG119*Calculateur!CI119*VLOOKUP('Données projet'!$B$12,Paramètres!$A$1:$I$89,3,0)*0.475*44/12</f>
        <v>1.5574734414493641</v>
      </c>
      <c r="CM119" s="23">
        <f>EXP(-LN(2)/2)*CM118+(1-EXP(-LN(2)/2))/(LN(2)/2)*CG119*CJ119*VLOOKUP('Données projet'!$B$12,Paramètres!$A$1:$I$89,3,0)*0.475*44/12</f>
        <v>1.8247969404938477E-12</v>
      </c>
      <c r="CN119" s="24">
        <f t="shared" si="66"/>
        <v>2.9300805429320795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67.668794499614251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2.8421709430404007E-14</v>
      </c>
      <c r="CU119" s="18">
        <f>CT119*VLOOKUP('Données projet'!$B$13,Paramètres!$A$1:$I$89,3,0)*VLOOKUP('Données projet'!$B$13,Paramètres!$A$1:$I$89,5,0)</f>
        <v>2.0838797354372217E-14</v>
      </c>
      <c r="CV119" s="14">
        <f t="shared" si="95"/>
        <v>3.7575774393093487E-13</v>
      </c>
      <c r="CW119" s="22">
        <f t="shared" si="67"/>
        <v>6.9073897607190981E-13</v>
      </c>
      <c r="CX119" s="62">
        <f t="shared" si="68"/>
        <v>284.78557983191962</v>
      </c>
      <c r="CY119" s="62">
        <f ca="1">AVERAGE(OFFSET($CX$3,0,0,'Données projet'!$E$13+1,1))-AVERAGE(OFFSET($H$3,0,0,'Données projet'!$E$13+1,1))</f>
        <v>300.12722359176314</v>
      </c>
      <c r="CZ119" s="62">
        <f t="shared" si="96"/>
        <v>313.35115626175946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1.1069363765993649</v>
      </c>
      <c r="DH119" s="23">
        <f>EXP(-LN(2)/2)*DH118+(1-EXP(-LN(2)/2))/(LN(2)/2)*DB119*DE119*VLOOKUP('Données projet'!$B$13,Paramètres!$A$1:$I$89,3,0)*0.475*44/12</f>
        <v>1.7121930245317264E-12</v>
      </c>
      <c r="DI119" s="24">
        <f t="shared" si="69"/>
        <v>1.1069363766010771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67.668794499614251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67.668794499614251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67.668794499614251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67.668794499614251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67.668794499614251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3.55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13.016666666666666</v>
      </c>
      <c r="H120" s="70">
        <f t="shared" si="56"/>
        <v>204.6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67.709235703251224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-2.2737367544323206E-13</v>
      </c>
      <c r="O120" s="14">
        <f>N120*VLOOKUP('Données projet'!$B$9,Paramètres!$A$1:$I$89,3,0)*VLOOKUP('Données projet'!$B$9,Paramètres!$A$1:$I$89,5,0)</f>
        <v>-1.2710188457276673E-13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455.44531340185631</v>
      </c>
      <c r="T120" s="62">
        <f t="shared" si="88"/>
        <v>560.14861617544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1.9289684928155868</v>
      </c>
      <c r="AA120" s="23">
        <f>EXP(-LN(2)/25)*AA119+(1-EXP(-LN(2)/25))/(LN(2)/25)*Calculateur!V120*Calculateur!X120*VLOOKUP('Données projet'!$B$9,Paramètres!$A$1:$I$89,3,0)*0.475*44/12</f>
        <v>1.2744460278752949</v>
      </c>
      <c r="AB120" s="23">
        <f>EXP(-LN(2)/2)*AB119+(1-EXP(-LN(2)/2))/(LN(2)/2)*V120*Y120*VLOOKUP('Données projet'!$B$9,Paramètres!$A$1:$I$89,3,0)*0.475*44/12</f>
        <v>1.067093531584534E-12</v>
      </c>
      <c r="AC120" s="24">
        <f t="shared" si="57"/>
        <v>3.2034145206919491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67.709235703251224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1.9895196601282805E-13</v>
      </c>
      <c r="AJ120" s="14">
        <f>AI120*VLOOKUP('Données projet'!$B$10,Paramètres!$A$1:$I$89,3,0)*VLOOKUP('Données projet'!$B$10,Paramètres!$A$1:$I$89,5,0)</f>
        <v>1.738044375088066E-13</v>
      </c>
      <c r="AK120" s="14">
        <f t="shared" si="89"/>
        <v>2.4483293633950478E-12</v>
      </c>
      <c r="AL120" s="22">
        <f t="shared" si="58"/>
        <v>4.566883036574213E-12</v>
      </c>
      <c r="AM120" s="62">
        <f t="shared" si="59"/>
        <v>284.93386424525903</v>
      </c>
      <c r="AN120" s="62">
        <f ca="1">AVERAGE(OFFSET($AM$3,0,0,'Données projet'!$E$10+1,1))-AVERAGE(OFFSET($H$3,0,0,'Données projet'!$E$10+1,1))</f>
        <v>335.71510570470264</v>
      </c>
      <c r="AO120" s="62">
        <f t="shared" si="90"/>
        <v>401.61823018046482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2.2926751524839952</v>
      </c>
      <c r="AW120" s="23">
        <f>EXP(-LN(2)/2)*AW119+(1-EXP(-LN(2)/2))/(LN(2)/2)*AQ120*AT120*VLOOKUP('Données projet'!$B$10,Paramètres!$A$1:$I$89,3,0)*0.475*44/12</f>
        <v>1.4684214572575483E-12</v>
      </c>
      <c r="AX120" s="23">
        <f t="shared" si="60"/>
        <v>2.2926751524854638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67.709235703251224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-5.6843418860808015E-14</v>
      </c>
      <c r="BE120" s="14">
        <f>BD120*VLOOKUP('Données projet'!$B$11,Paramètres!$A$1:$I$89,3,0)*VLOOKUP('Données projet'!$B$11,Paramètres!$A$1:$I$89,5,0)</f>
        <v>-5.1431925385259088E-14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462.677457131175</v>
      </c>
      <c r="BJ120" s="62">
        <f t="shared" si="92"/>
        <v>291.78368401945909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0.81829020539312358</v>
      </c>
      <c r="BR120" s="23">
        <f>EXP(-LN(2)/2)*BR119+(1-EXP(-LN(2)/2))/(LN(2)/2)*BL120*BO120*VLOOKUP('Données projet'!$B$11,Paramètres!$A$1:$I$89,3,0)*0.475*44/12</f>
        <v>1.1985779061808405E-12</v>
      </c>
      <c r="BS120" s="24">
        <f t="shared" si="63"/>
        <v>0.81829020539432218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67.709235703251224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-5.6843418860808015E-14</v>
      </c>
      <c r="BZ120" s="14">
        <f>BY120*VLOOKUP('Données projet'!$B$12,Paramètres!$A$1:$I$89,3,0)*VLOOKUP('Données projet'!$B$12,Paramètres!$A$1:$I$89,5,0)</f>
        <v>-3.1036506698001178E-14</v>
      </c>
      <c r="CA120" s="14" t="e">
        <f t="shared" si="93"/>
        <v>#NUM!</v>
      </c>
      <c r="CB120" s="22" t="e">
        <f t="shared" si="64"/>
        <v>#NUM!</v>
      </c>
      <c r="CC120" s="62" t="e">
        <f t="shared" si="65"/>
        <v>#NUM!</v>
      </c>
      <c r="CD120" s="62">
        <f ca="1">AVERAGE(OFFSET($CC$3,0,0,'Données projet'!$E$12+1,1))-AVERAGE(OFFSET($H$3,0,0,'Données projet'!$E$12+1,1))</f>
        <v>302.37244372118971</v>
      </c>
      <c r="CE120" s="62">
        <f t="shared" si="94"/>
        <v>439.56450354660171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1.3456911134285152</v>
      </c>
      <c r="CL120" s="23">
        <f>EXP(-LN(2)/25)*CL119+(1-EXP(-LN(2)/25))/(LN(2)/25)*Calculateur!CG120*Calculateur!CI120*VLOOKUP('Données projet'!$B$12,Paramètres!$A$1:$I$89,3,0)*0.475*44/12</f>
        <v>1.5148842482889626</v>
      </c>
      <c r="CM120" s="23">
        <f>EXP(-LN(2)/2)*CM119+(1-EXP(-LN(2)/2))/(LN(2)/2)*CG120*CJ120*VLOOKUP('Données projet'!$B$12,Paramètres!$A$1:$I$89,3,0)*0.475*44/12</f>
        <v>1.2903262909116645E-12</v>
      </c>
      <c r="CN120" s="24">
        <f t="shared" si="66"/>
        <v>2.8605753617187686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67.709235703251224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2.8421709430404007E-14</v>
      </c>
      <c r="CU120" s="18">
        <f>CT120*VLOOKUP('Données projet'!$B$13,Paramètres!$A$1:$I$89,3,0)*VLOOKUP('Données projet'!$B$13,Paramètres!$A$1:$I$89,5,0)</f>
        <v>2.0838797354372217E-14</v>
      </c>
      <c r="CV120" s="14">
        <f t="shared" si="95"/>
        <v>3.7575774393093487E-13</v>
      </c>
      <c r="CW120" s="22">
        <f t="shared" si="67"/>
        <v>6.9073897607190981E-13</v>
      </c>
      <c r="CX120" s="62">
        <f t="shared" si="68"/>
        <v>284.93386424525517</v>
      </c>
      <c r="CY120" s="62">
        <f ca="1">AVERAGE(OFFSET($CX$3,0,0,'Données projet'!$E$13+1,1))-AVERAGE(OFFSET($H$3,0,0,'Données projet'!$E$13+1,1))</f>
        <v>300.12722359176314</v>
      </c>
      <c r="CZ120" s="62">
        <f t="shared" si="96"/>
        <v>313.35115626175946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1.0766671431700012</v>
      </c>
      <c r="DH120" s="23">
        <f>EXP(-LN(2)/2)*DH119+(1-EXP(-LN(2)/2))/(LN(2)/2)*DB120*DE120*VLOOKUP('Données projet'!$B$13,Paramètres!$A$1:$I$89,3,0)*0.475*44/12</f>
        <v>1.2107032983466885E-12</v>
      </c>
      <c r="DI120" s="24">
        <f t="shared" si="69"/>
        <v>1.076667143171212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67.709235703251224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67.709235703251224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67.709235703251224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67.709235703251224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67.709235703251224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3.55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13.016666666666666</v>
      </c>
      <c r="H121" s="70">
        <f t="shared" si="56"/>
        <v>204.6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67.748975342418078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-2.2737367544323206E-13</v>
      </c>
      <c r="O121" s="14">
        <f>N121*VLOOKUP('Données projet'!$B$9,Paramètres!$A$1:$I$89,3,0)*VLOOKUP('Données projet'!$B$9,Paramètres!$A$1:$I$89,5,0)</f>
        <v>-1.2710188457276673E-13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455.44531340185631</v>
      </c>
      <c r="T121" s="62">
        <f t="shared" si="88"/>
        <v>560.14861617544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1.8911425972260787</v>
      </c>
      <c r="AA121" s="23">
        <f>EXP(-LN(2)/25)*AA120+(1-EXP(-LN(2)/25))/(LN(2)/25)*Calculateur!V121*Calculateur!X121*VLOOKUP('Données projet'!$B$9,Paramètres!$A$1:$I$89,3,0)*0.475*44/12</f>
        <v>1.2395962342228413</v>
      </c>
      <c r="AB121" s="23">
        <f>EXP(-LN(2)/2)*AB120+(1-EXP(-LN(2)/2))/(LN(2)/2)*V121*Y121*VLOOKUP('Données projet'!$B$9,Paramètres!$A$1:$I$89,3,0)*0.475*44/12</f>
        <v>7.5454907234372537E-13</v>
      </c>
      <c r="AC121" s="24">
        <f t="shared" si="57"/>
        <v>3.1307388314496745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67.748975342418078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1.9895196601282805E-13</v>
      </c>
      <c r="AJ121" s="14">
        <f>AI121*VLOOKUP('Données projet'!$B$10,Paramètres!$A$1:$I$89,3,0)*VLOOKUP('Données projet'!$B$10,Paramètres!$A$1:$I$89,5,0)</f>
        <v>1.738044375088066E-13</v>
      </c>
      <c r="AK121" s="14">
        <f t="shared" si="89"/>
        <v>2.4483293633950478E-12</v>
      </c>
      <c r="AL121" s="22">
        <f t="shared" si="58"/>
        <v>4.566883036574213E-12</v>
      </c>
      <c r="AM121" s="62">
        <f t="shared" si="59"/>
        <v>285.07957625553746</v>
      </c>
      <c r="AN121" s="62">
        <f ca="1">AVERAGE(OFFSET($AM$3,0,0,'Données projet'!$E$10+1,1))-AVERAGE(OFFSET($H$3,0,0,'Données projet'!$E$10+1,1))</f>
        <v>335.71510570470264</v>
      </c>
      <c r="AO121" s="62">
        <f t="shared" si="90"/>
        <v>401.61823018046482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2.229981829872774</v>
      </c>
      <c r="AW121" s="23">
        <f>EXP(-LN(2)/2)*AW120+(1-EXP(-LN(2)/2))/(LN(2)/2)*AQ121*AT121*VLOOKUP('Données projet'!$B$10,Paramètres!$A$1:$I$89,3,0)*0.475*44/12</f>
        <v>1.0383307700666445E-12</v>
      </c>
      <c r="AX121" s="23">
        <f t="shared" si="60"/>
        <v>2.2299818298738123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67.748975342418078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-5.6843418860808015E-14</v>
      </c>
      <c r="BE121" s="14">
        <f>BD121*VLOOKUP('Données projet'!$B$11,Paramètres!$A$1:$I$89,3,0)*VLOOKUP('Données projet'!$B$11,Paramètres!$A$1:$I$89,5,0)</f>
        <v>-5.1431925385259088E-14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462.677457131175</v>
      </c>
      <c r="BJ121" s="62">
        <f t="shared" si="92"/>
        <v>291.78368401945909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0.79591401669463691</v>
      </c>
      <c r="BR121" s="23">
        <f>EXP(-LN(2)/2)*BR120+(1-EXP(-LN(2)/2))/(LN(2)/2)*BL121*BO121*VLOOKUP('Données projet'!$B$11,Paramètres!$A$1:$I$89,3,0)*0.475*44/12</f>
        <v>8.4752256524084587E-13</v>
      </c>
      <c r="BS121" s="24">
        <f t="shared" si="63"/>
        <v>0.79591401669548445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67.748975342418078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-5.6843418860808015E-14</v>
      </c>
      <c r="BZ121" s="14">
        <f>BY121*VLOOKUP('Données projet'!$B$12,Paramètres!$A$1:$I$89,3,0)*VLOOKUP('Données projet'!$B$12,Paramètres!$A$1:$I$89,5,0)</f>
        <v>-3.1036506698001178E-14</v>
      </c>
      <c r="CA121" s="14" t="e">
        <f t="shared" si="93"/>
        <v>#NUM!</v>
      </c>
      <c r="CB121" s="22" t="e">
        <f t="shared" si="64"/>
        <v>#NUM!</v>
      </c>
      <c r="CC121" s="62" t="e">
        <f t="shared" si="65"/>
        <v>#NUM!</v>
      </c>
      <c r="CD121" s="62">
        <f ca="1">AVERAGE(OFFSET($CC$3,0,0,'Données projet'!$E$12+1,1))-AVERAGE(OFFSET($H$3,0,0,'Données projet'!$E$12+1,1))</f>
        <v>302.37244372118971</v>
      </c>
      <c r="CE121" s="62">
        <f t="shared" si="94"/>
        <v>439.56450354660171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1.3193029314847149</v>
      </c>
      <c r="CL121" s="23">
        <f>EXP(-LN(2)/25)*CL120+(1-EXP(-LN(2)/25))/(LN(2)/25)*Calculateur!CG121*Calculateur!CI121*VLOOKUP('Données projet'!$B$12,Paramètres!$A$1:$I$89,3,0)*0.475*44/12</f>
        <v>1.4734596588552007</v>
      </c>
      <c r="CM121" s="23">
        <f>EXP(-LN(2)/2)*CM120+(1-EXP(-LN(2)/2))/(LN(2)/2)*CG121*CJ121*VLOOKUP('Données projet'!$B$12,Paramètres!$A$1:$I$89,3,0)*0.475*44/12</f>
        <v>9.1239847024692383E-13</v>
      </c>
      <c r="CN121" s="24">
        <f t="shared" si="66"/>
        <v>2.792762590340828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67.748975342418078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2.8421709430404007E-14</v>
      </c>
      <c r="CU121" s="18">
        <f>CT121*VLOOKUP('Données projet'!$B$13,Paramètres!$A$1:$I$89,3,0)*VLOOKUP('Données projet'!$B$13,Paramètres!$A$1:$I$89,5,0)</f>
        <v>2.0838797354372217E-14</v>
      </c>
      <c r="CV121" s="14">
        <f t="shared" si="95"/>
        <v>3.7575774393093487E-13</v>
      </c>
      <c r="CW121" s="22">
        <f t="shared" si="67"/>
        <v>6.9073897607190981E-13</v>
      </c>
      <c r="CX121" s="62">
        <f t="shared" si="68"/>
        <v>285.0795762555336</v>
      </c>
      <c r="CY121" s="62">
        <f ca="1">AVERAGE(OFFSET($CX$3,0,0,'Données projet'!$E$13+1,1))-AVERAGE(OFFSET($H$3,0,0,'Données projet'!$E$13+1,1))</f>
        <v>300.12722359176314</v>
      </c>
      <c r="CZ121" s="62">
        <f t="shared" si="96"/>
        <v>313.35115626175946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1.0472256235205533</v>
      </c>
      <c r="DH121" s="23">
        <f>EXP(-LN(2)/2)*DH120+(1-EXP(-LN(2)/2))/(LN(2)/2)*DB121*DE121*VLOOKUP('Données projet'!$B$13,Paramètres!$A$1:$I$89,3,0)*0.475*44/12</f>
        <v>8.5609651226586322E-13</v>
      </c>
      <c r="DI121" s="24">
        <f t="shared" si="69"/>
        <v>1.0472256235214095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67.748975342418078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67.748975342418078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67.748975342418078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67.748975342418078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67.748975342418078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3.55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13.016666666666666</v>
      </c>
      <c r="H122" s="70">
        <f t="shared" si="56"/>
        <v>204.6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67.788025587689916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-2.2737367544323206E-13</v>
      </c>
      <c r="O122" s="14">
        <f>N122*VLOOKUP('Données projet'!$B$9,Paramètres!$A$1:$I$89,3,0)*VLOOKUP('Données projet'!$B$9,Paramètres!$A$1:$I$89,5,0)</f>
        <v>-1.2710188457276673E-13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455.44531340185631</v>
      </c>
      <c r="T122" s="62">
        <f t="shared" si="88"/>
        <v>560.14861617544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1.8540584443775625</v>
      </c>
      <c r="AA122" s="23">
        <f>EXP(-LN(2)/25)*AA121+(1-EXP(-LN(2)/25))/(LN(2)/25)*Calculateur!V122*Calculateur!X122*VLOOKUP('Données projet'!$B$9,Paramètres!$A$1:$I$89,3,0)*0.475*44/12</f>
        <v>1.2056994100104848</v>
      </c>
      <c r="AB122" s="23">
        <f>EXP(-LN(2)/2)*AB121+(1-EXP(-LN(2)/2))/(LN(2)/2)*V122*Y122*VLOOKUP('Données projet'!$B$9,Paramètres!$A$1:$I$89,3,0)*0.475*44/12</f>
        <v>5.3354676579226702E-13</v>
      </c>
      <c r="AC122" s="24">
        <f t="shared" si="57"/>
        <v>3.0597578543885806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67.788025587689916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1.9895196601282805E-13</v>
      </c>
      <c r="AJ122" s="14">
        <f>AI122*VLOOKUP('Données projet'!$B$10,Paramètres!$A$1:$I$89,3,0)*VLOOKUP('Données projet'!$B$10,Paramètres!$A$1:$I$89,5,0)</f>
        <v>1.738044375088066E-13</v>
      </c>
      <c r="AK122" s="14">
        <f t="shared" si="89"/>
        <v>2.4483293633950478E-12</v>
      </c>
      <c r="AL122" s="22">
        <f t="shared" si="58"/>
        <v>4.566883036574213E-12</v>
      </c>
      <c r="AM122" s="62">
        <f t="shared" si="59"/>
        <v>285.22276048820089</v>
      </c>
      <c r="AN122" s="62">
        <f ca="1">AVERAGE(OFFSET($AM$3,0,0,'Données projet'!$E$10+1,1))-AVERAGE(OFFSET($H$3,0,0,'Données projet'!$E$10+1,1))</f>
        <v>335.71510570470264</v>
      </c>
      <c r="AO122" s="62">
        <f t="shared" si="90"/>
        <v>401.61823018046482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2.1690028594652553</v>
      </c>
      <c r="AW122" s="23">
        <f>EXP(-LN(2)/2)*AW121+(1-EXP(-LN(2)/2))/(LN(2)/2)*AQ122*AT122*VLOOKUP('Données projet'!$B$10,Paramètres!$A$1:$I$89,3,0)*0.475*44/12</f>
        <v>7.3421072862877417E-13</v>
      </c>
      <c r="AX122" s="23">
        <f t="shared" si="60"/>
        <v>2.1690028594659894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67.788025587689916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-5.6843418860808015E-14</v>
      </c>
      <c r="BE122" s="14">
        <f>BD122*VLOOKUP('Données projet'!$B$11,Paramètres!$A$1:$I$89,3,0)*VLOOKUP('Données projet'!$B$11,Paramètres!$A$1:$I$89,5,0)</f>
        <v>-5.1431925385259088E-14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462.677457131175</v>
      </c>
      <c r="BJ122" s="62">
        <f t="shared" si="92"/>
        <v>291.78368401945909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0.77414970605282296</v>
      </c>
      <c r="BR122" s="23">
        <f>EXP(-LN(2)/2)*BR121+(1-EXP(-LN(2)/2))/(LN(2)/2)*BL122*BO122*VLOOKUP('Données projet'!$B$11,Paramètres!$A$1:$I$89,3,0)*0.475*44/12</f>
        <v>5.9928895309042024E-13</v>
      </c>
      <c r="BS122" s="24">
        <f t="shared" si="63"/>
        <v>0.77414970605342226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67.788025587689916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-5.6843418860808015E-14</v>
      </c>
      <c r="BZ122" s="14">
        <f>BY122*VLOOKUP('Données projet'!$B$12,Paramètres!$A$1:$I$89,3,0)*VLOOKUP('Données projet'!$B$12,Paramètres!$A$1:$I$89,5,0)</f>
        <v>-3.1036506698001178E-14</v>
      </c>
      <c r="CA122" s="14" t="e">
        <f t="shared" si="93"/>
        <v>#NUM!</v>
      </c>
      <c r="CB122" s="22" t="e">
        <f t="shared" si="64"/>
        <v>#NUM!</v>
      </c>
      <c r="CC122" s="62" t="e">
        <f t="shared" si="65"/>
        <v>#NUM!</v>
      </c>
      <c r="CD122" s="62">
        <f ca="1">AVERAGE(OFFSET($CC$3,0,0,'Données projet'!$E$12+1,1))-AVERAGE(OFFSET($H$3,0,0,'Données projet'!$E$12+1,1))</f>
        <v>302.37244372118971</v>
      </c>
      <c r="CE122" s="62">
        <f t="shared" si="94"/>
        <v>439.56450354660171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1.2934322056936307</v>
      </c>
      <c r="CL122" s="23">
        <f>EXP(-LN(2)/25)*CL121+(1-EXP(-LN(2)/25))/(LN(2)/25)*Calculateur!CG122*Calculateur!CI122*VLOOKUP('Données projet'!$B$12,Paramètres!$A$1:$I$89,3,0)*0.475*44/12</f>
        <v>1.4331678269979293</v>
      </c>
      <c r="CM122" s="23">
        <f>EXP(-LN(2)/2)*CM121+(1-EXP(-LN(2)/2))/(LN(2)/2)*CG122*CJ122*VLOOKUP('Données projet'!$B$12,Paramètres!$A$1:$I$89,3,0)*0.475*44/12</f>
        <v>6.4516314545583226E-13</v>
      </c>
      <c r="CN122" s="24">
        <f t="shared" si="66"/>
        <v>2.7266000326922053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67.788025587689916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2.8421709430404007E-14</v>
      </c>
      <c r="CU122" s="18">
        <f>CT122*VLOOKUP('Données projet'!$B$13,Paramètres!$A$1:$I$89,3,0)*VLOOKUP('Données projet'!$B$13,Paramètres!$A$1:$I$89,5,0)</f>
        <v>2.0838797354372217E-14</v>
      </c>
      <c r="CV122" s="14">
        <f t="shared" si="95"/>
        <v>3.7575774393093487E-13</v>
      </c>
      <c r="CW122" s="22">
        <f t="shared" si="67"/>
        <v>6.9073897607190981E-13</v>
      </c>
      <c r="CX122" s="62">
        <f t="shared" si="68"/>
        <v>285.22276048819703</v>
      </c>
      <c r="CY122" s="62">
        <f ca="1">AVERAGE(OFFSET($CX$3,0,0,'Données projet'!$E$13+1,1))-AVERAGE(OFFSET($H$3,0,0,'Données projet'!$E$13+1,1))</f>
        <v>300.12722359176314</v>
      </c>
      <c r="CZ122" s="62">
        <f t="shared" si="96"/>
        <v>313.35115626175946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1.0185891837741816</v>
      </c>
      <c r="DH122" s="23">
        <f>EXP(-LN(2)/2)*DH121+(1-EXP(-LN(2)/2))/(LN(2)/2)*DB122*DE122*VLOOKUP('Données projet'!$B$13,Paramètres!$A$1:$I$89,3,0)*0.475*44/12</f>
        <v>6.0535164917334423E-13</v>
      </c>
      <c r="DI122" s="24">
        <f t="shared" si="69"/>
        <v>1.0185891837747869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67.788025587689916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67.788025587689916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67.788025587689916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67.788025587689916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67.788025587689916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3.55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13.016666666666666</v>
      </c>
      <c r="H123" s="70">
        <f t="shared" si="56"/>
        <v>204.6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67.826398398509554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-2.2737367544323206E-13</v>
      </c>
      <c r="O123" s="14">
        <f>N123*VLOOKUP('Données projet'!$B$9,Paramètres!$A$1:$I$89,3,0)*VLOOKUP('Données projet'!$B$9,Paramètres!$A$1:$I$89,5,0)</f>
        <v>-1.2710188457276673E-13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455.44531340185631</v>
      </c>
      <c r="T123" s="62">
        <f t="shared" si="88"/>
        <v>560.14861617544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1.817701489147306</v>
      </c>
      <c r="AA123" s="23">
        <f>EXP(-LN(2)/25)*AA122+(1-EXP(-LN(2)/25))/(LN(2)/25)*Calculateur!V123*Calculateur!X123*VLOOKUP('Données projet'!$B$9,Paramètres!$A$1:$I$89,3,0)*0.475*44/12</f>
        <v>1.1727294962387718</v>
      </c>
      <c r="AB123" s="23">
        <f>EXP(-LN(2)/2)*AB122+(1-EXP(-LN(2)/2))/(LN(2)/2)*V123*Y123*VLOOKUP('Données projet'!$B$9,Paramètres!$A$1:$I$89,3,0)*0.475*44/12</f>
        <v>3.7727453617186268E-13</v>
      </c>
      <c r="AC123" s="24">
        <f t="shared" si="57"/>
        <v>2.990430985386455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67.826398398509554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1.9895196601282805E-13</v>
      </c>
      <c r="AJ123" s="14">
        <f>AI123*VLOOKUP('Données projet'!$B$10,Paramètres!$A$1:$I$89,3,0)*VLOOKUP('Données projet'!$B$10,Paramètres!$A$1:$I$89,5,0)</f>
        <v>1.738044375088066E-13</v>
      </c>
      <c r="AK123" s="14">
        <f t="shared" si="89"/>
        <v>2.4483293633950478E-12</v>
      </c>
      <c r="AL123" s="22">
        <f t="shared" si="58"/>
        <v>4.566883036574213E-12</v>
      </c>
      <c r="AM123" s="62">
        <f t="shared" si="59"/>
        <v>285.36346079453955</v>
      </c>
      <c r="AN123" s="62">
        <f ca="1">AVERAGE(OFFSET($AM$3,0,0,'Données projet'!$E$10+1,1))-AVERAGE(OFFSET($H$3,0,0,'Données projet'!$E$10+1,1))</f>
        <v>335.71510570470264</v>
      </c>
      <c r="AO123" s="62">
        <f t="shared" si="90"/>
        <v>401.61823018046482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2.1096913622102749</v>
      </c>
      <c r="AW123" s="23">
        <f>EXP(-LN(2)/2)*AW122+(1-EXP(-LN(2)/2))/(LN(2)/2)*AQ123*AT123*VLOOKUP('Données projet'!$B$10,Paramètres!$A$1:$I$89,3,0)*0.475*44/12</f>
        <v>5.1916538503332223E-13</v>
      </c>
      <c r="AX123" s="23">
        <f t="shared" si="60"/>
        <v>2.109691362210794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67.826398398509554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-5.6843418860808015E-14</v>
      </c>
      <c r="BE123" s="14">
        <f>BD123*VLOOKUP('Données projet'!$B$11,Paramètres!$A$1:$I$89,3,0)*VLOOKUP('Données projet'!$B$11,Paramètres!$A$1:$I$89,5,0)</f>
        <v>-5.1431925385259088E-14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462.677457131175</v>
      </c>
      <c r="BJ123" s="62">
        <f t="shared" si="92"/>
        <v>291.78368401945909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0.7529805416300448</v>
      </c>
      <c r="BR123" s="23">
        <f>EXP(-LN(2)/2)*BR122+(1-EXP(-LN(2)/2))/(LN(2)/2)*BL123*BO123*VLOOKUP('Données projet'!$B$11,Paramètres!$A$1:$I$89,3,0)*0.475*44/12</f>
        <v>4.2376128262042293E-13</v>
      </c>
      <c r="BS123" s="24">
        <f t="shared" si="63"/>
        <v>0.75298054163046857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67.826398398509554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-5.6843418860808015E-14</v>
      </c>
      <c r="BZ123" s="14">
        <f>BY123*VLOOKUP('Données projet'!$B$12,Paramètres!$A$1:$I$89,3,0)*VLOOKUP('Données projet'!$B$12,Paramètres!$A$1:$I$89,5,0)</f>
        <v>-3.1036506698001178E-14</v>
      </c>
      <c r="CA123" s="14" t="e">
        <f t="shared" si="93"/>
        <v>#NUM!</v>
      </c>
      <c r="CB123" s="22" t="e">
        <f t="shared" si="64"/>
        <v>#NUM!</v>
      </c>
      <c r="CC123" s="62" t="e">
        <f t="shared" si="65"/>
        <v>#NUM!</v>
      </c>
      <c r="CD123" s="62">
        <f ca="1">AVERAGE(OFFSET($CC$3,0,0,'Données projet'!$E$12+1,1))-AVERAGE(OFFSET($H$3,0,0,'Données projet'!$E$12+1,1))</f>
        <v>302.37244372118971</v>
      </c>
      <c r="CE123" s="62">
        <f t="shared" si="94"/>
        <v>439.56450354660171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1.2680687890557252</v>
      </c>
      <c r="CL123" s="23">
        <f>EXP(-LN(2)/25)*CL122+(1-EXP(-LN(2)/25))/(LN(2)/25)*Calculateur!CG123*Calculateur!CI123*VLOOKUP('Données projet'!$B$12,Paramètres!$A$1:$I$89,3,0)*0.475*44/12</f>
        <v>1.3939777774016504</v>
      </c>
      <c r="CM123" s="23">
        <f>EXP(-LN(2)/2)*CM122+(1-EXP(-LN(2)/2))/(LN(2)/2)*CG123*CJ123*VLOOKUP('Données projet'!$B$12,Paramètres!$A$1:$I$89,3,0)*0.475*44/12</f>
        <v>4.5619923512346191E-13</v>
      </c>
      <c r="CN123" s="24">
        <f t="shared" si="66"/>
        <v>2.6620465664578314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67.826398398509554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2.8421709430404007E-14</v>
      </c>
      <c r="CU123" s="18">
        <f>CT123*VLOOKUP('Données projet'!$B$13,Paramètres!$A$1:$I$89,3,0)*VLOOKUP('Données projet'!$B$13,Paramètres!$A$1:$I$89,5,0)</f>
        <v>2.0838797354372217E-14</v>
      </c>
      <c r="CV123" s="14">
        <f t="shared" si="95"/>
        <v>3.7575774393093487E-13</v>
      </c>
      <c r="CW123" s="22">
        <f t="shared" si="67"/>
        <v>6.9073897607190981E-13</v>
      </c>
      <c r="CX123" s="62">
        <f t="shared" si="68"/>
        <v>285.36346079453568</v>
      </c>
      <c r="CY123" s="62">
        <f ca="1">AVERAGE(OFFSET($CX$3,0,0,'Données projet'!$E$13+1,1))-AVERAGE(OFFSET($H$3,0,0,'Données projet'!$E$13+1,1))</f>
        <v>300.12722359176314</v>
      </c>
      <c r="CZ123" s="62">
        <f t="shared" si="96"/>
        <v>313.35115626175946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0.99073580897859947</v>
      </c>
      <c r="DH123" s="23">
        <f>EXP(-LN(2)/2)*DH122+(1-EXP(-LN(2)/2))/(LN(2)/2)*DB123*DE123*VLOOKUP('Données projet'!$B$13,Paramètres!$A$1:$I$89,3,0)*0.475*44/12</f>
        <v>4.2804825613293161E-13</v>
      </c>
      <c r="DI123" s="24">
        <f t="shared" si="69"/>
        <v>0.99073580897902758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67.826398398509554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67.826398398509554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67.826398398509554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67.826398398509554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67.826398398509554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3.55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13.016666666666666</v>
      </c>
      <c r="H124" s="70">
        <f t="shared" si="56"/>
        <v>204.6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67.864105526850238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-2.2737367544323206E-13</v>
      </c>
      <c r="O124" s="14">
        <f>N124*VLOOKUP('Données projet'!$B$9,Paramètres!$A$1:$I$89,3,0)*VLOOKUP('Données projet'!$B$9,Paramètres!$A$1:$I$89,5,0)</f>
        <v>-1.2710188457276673E-13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455.44531340185631</v>
      </c>
      <c r="T124" s="62">
        <f t="shared" si="88"/>
        <v>560.14861617544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1.7820574716335618</v>
      </c>
      <c r="AA124" s="23">
        <f>EXP(-LN(2)/25)*AA123+(1-EXP(-LN(2)/25))/(LN(2)/25)*Calculateur!V124*Calculateur!X124*VLOOKUP('Données projet'!$B$9,Paramètres!$A$1:$I$89,3,0)*0.475*44/12</f>
        <v>1.1406611464929586</v>
      </c>
      <c r="AB124" s="23">
        <f>EXP(-LN(2)/2)*AB123+(1-EXP(-LN(2)/2))/(LN(2)/2)*V124*Y124*VLOOKUP('Données projet'!$B$9,Paramètres!$A$1:$I$89,3,0)*0.475*44/12</f>
        <v>2.6677338289613351E-13</v>
      </c>
      <c r="AC124" s="24">
        <f t="shared" si="57"/>
        <v>2.9227186181267872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67.864105526850238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1.9895196601282805E-13</v>
      </c>
      <c r="AJ124" s="14">
        <f>AI124*VLOOKUP('Données projet'!$B$10,Paramètres!$A$1:$I$89,3,0)*VLOOKUP('Données projet'!$B$10,Paramètres!$A$1:$I$89,5,0)</f>
        <v>1.738044375088066E-13</v>
      </c>
      <c r="AK124" s="14">
        <f t="shared" si="89"/>
        <v>2.4483293633950478E-12</v>
      </c>
      <c r="AL124" s="22">
        <f t="shared" si="58"/>
        <v>4.566883036574213E-12</v>
      </c>
      <c r="AM124" s="62">
        <f t="shared" si="59"/>
        <v>285.50172026512206</v>
      </c>
      <c r="AN124" s="62">
        <f ca="1">AVERAGE(OFFSET($AM$3,0,0,'Données projet'!$E$10+1,1))-AVERAGE(OFFSET($H$3,0,0,'Données projet'!$E$10+1,1))</f>
        <v>335.71510570470264</v>
      </c>
      <c r="AO124" s="62">
        <f t="shared" si="90"/>
        <v>401.61823018046482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2.0520017409667881</v>
      </c>
      <c r="AW124" s="23">
        <f>EXP(-LN(2)/2)*AW123+(1-EXP(-LN(2)/2))/(LN(2)/2)*AQ124*AT124*VLOOKUP('Données projet'!$B$10,Paramètres!$A$1:$I$89,3,0)*0.475*44/12</f>
        <v>3.6710536431438709E-13</v>
      </c>
      <c r="AX124" s="23">
        <f t="shared" si="60"/>
        <v>2.0520017409671554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67.864105526850238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-5.6843418860808015E-14</v>
      </c>
      <c r="BE124" s="14">
        <f>BD124*VLOOKUP('Données projet'!$B$11,Paramètres!$A$1:$I$89,3,0)*VLOOKUP('Données projet'!$B$11,Paramètres!$A$1:$I$89,5,0)</f>
        <v>-5.1431925385259088E-14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462.677457131175</v>
      </c>
      <c r="BJ124" s="62">
        <f t="shared" si="92"/>
        <v>291.78368401945909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0.73239024912164552</v>
      </c>
      <c r="BR124" s="23">
        <f>EXP(-LN(2)/2)*BR123+(1-EXP(-LN(2)/2))/(LN(2)/2)*BL124*BO124*VLOOKUP('Données projet'!$B$11,Paramètres!$A$1:$I$89,3,0)*0.475*44/12</f>
        <v>2.9964447654521012E-13</v>
      </c>
      <c r="BS124" s="24">
        <f t="shared" si="63"/>
        <v>0.73239024912194517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67.864105526850238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-5.6843418860808015E-14</v>
      </c>
      <c r="BZ124" s="14">
        <f>BY124*VLOOKUP('Données projet'!$B$12,Paramètres!$A$1:$I$89,3,0)*VLOOKUP('Données projet'!$B$12,Paramètres!$A$1:$I$89,5,0)</f>
        <v>-3.1036506698001178E-14</v>
      </c>
      <c r="CA124" s="14" t="e">
        <f t="shared" si="93"/>
        <v>#NUM!</v>
      </c>
      <c r="CB124" s="22" t="e">
        <f t="shared" si="64"/>
        <v>#NUM!</v>
      </c>
      <c r="CC124" s="62" t="e">
        <f t="shared" si="65"/>
        <v>#NUM!</v>
      </c>
      <c r="CD124" s="62">
        <f ca="1">AVERAGE(OFFSET($CC$3,0,0,'Données projet'!$E$12+1,1))-AVERAGE(OFFSET($H$3,0,0,'Données projet'!$E$12+1,1))</f>
        <v>302.37244372118971</v>
      </c>
      <c r="CE124" s="62">
        <f t="shared" si="94"/>
        <v>439.56450354660171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1.2432027335479323</v>
      </c>
      <c r="CL124" s="23">
        <f>EXP(-LN(2)/25)*CL123+(1-EXP(-LN(2)/25))/(LN(2)/25)*Calculateur!CG124*Calculateur!CI124*VLOOKUP('Données projet'!$B$12,Paramètres!$A$1:$I$89,3,0)*0.475*44/12</f>
        <v>1.3558593817724969</v>
      </c>
      <c r="CM124" s="23">
        <f>EXP(-LN(2)/2)*CM123+(1-EXP(-LN(2)/2))/(LN(2)/2)*CG124*CJ124*VLOOKUP('Données projet'!$B$12,Paramètres!$A$1:$I$89,3,0)*0.475*44/12</f>
        <v>3.2258157272791613E-13</v>
      </c>
      <c r="CN124" s="24">
        <f t="shared" si="66"/>
        <v>2.5990621153207516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67.864105526850238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2.8421709430404007E-14</v>
      </c>
      <c r="CU124" s="18">
        <f>CT124*VLOOKUP('Données projet'!$B$13,Paramètres!$A$1:$I$89,3,0)*VLOOKUP('Données projet'!$B$13,Paramètres!$A$1:$I$89,5,0)</f>
        <v>2.0838797354372217E-14</v>
      </c>
      <c r="CV124" s="14">
        <f t="shared" si="95"/>
        <v>3.7575774393093487E-13</v>
      </c>
      <c r="CW124" s="22">
        <f t="shared" si="67"/>
        <v>6.9073897607190981E-13</v>
      </c>
      <c r="CX124" s="62">
        <f t="shared" si="68"/>
        <v>285.50172026511819</v>
      </c>
      <c r="CY124" s="62">
        <f ca="1">AVERAGE(OFFSET($CX$3,0,0,'Données projet'!$E$13+1,1))-AVERAGE(OFFSET($H$3,0,0,'Données projet'!$E$13+1,1))</f>
        <v>300.12722359176314</v>
      </c>
      <c r="CZ124" s="62">
        <f t="shared" si="96"/>
        <v>313.35115626175946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0.96364408618154784</v>
      </c>
      <c r="DH124" s="23">
        <f>EXP(-LN(2)/2)*DH123+(1-EXP(-LN(2)/2))/(LN(2)/2)*DB124*DE124*VLOOKUP('Données projet'!$B$13,Paramètres!$A$1:$I$89,3,0)*0.475*44/12</f>
        <v>3.0267582458667212E-13</v>
      </c>
      <c r="DI124" s="24">
        <f t="shared" si="69"/>
        <v>0.96364408618185049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67.864105526850238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67.864105526850238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67.864105526850238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67.864105526850238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67.864105526850238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3.55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13.016666666666666</v>
      </c>
      <c r="H125" s="70">
        <f t="shared" si="56"/>
        <v>204.6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67.901158520814718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-2.2737367544323206E-13</v>
      </c>
      <c r="O125" s="14">
        <f>N125*VLOOKUP('Données projet'!$B$9,Paramètres!$A$1:$I$89,3,0)*VLOOKUP('Données projet'!$B$9,Paramètres!$A$1:$I$89,5,0)</f>
        <v>-1.2710188457276673E-13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455.44531340185631</v>
      </c>
      <c r="T125" s="62">
        <f t="shared" si="88"/>
        <v>560.14861617544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1.747112411562558</v>
      </c>
      <c r="AA125" s="23">
        <f>EXP(-LN(2)/25)*AA124+(1-EXP(-LN(2)/25))/(LN(2)/25)*Calculateur!V125*Calculateur!X125*VLOOKUP('Données projet'!$B$9,Paramètres!$A$1:$I$89,3,0)*0.475*44/12</f>
        <v>1.1094697074573459</v>
      </c>
      <c r="AB125" s="23">
        <f>EXP(-LN(2)/2)*AB124+(1-EXP(-LN(2)/2))/(LN(2)/2)*V125*Y125*VLOOKUP('Données projet'!$B$9,Paramètres!$A$1:$I$89,3,0)*0.475*44/12</f>
        <v>1.8863726808593134E-13</v>
      </c>
      <c r="AC125" s="24">
        <f t="shared" si="57"/>
        <v>2.8565821190200924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67.901158520814718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1.9895196601282805E-13</v>
      </c>
      <c r="AJ125" s="14">
        <f>AI125*VLOOKUP('Données projet'!$B$10,Paramètres!$A$1:$I$89,3,0)*VLOOKUP('Données projet'!$B$10,Paramètres!$A$1:$I$89,5,0)</f>
        <v>1.738044375088066E-13</v>
      </c>
      <c r="AK125" s="14">
        <f t="shared" si="89"/>
        <v>2.4483293633950478E-12</v>
      </c>
      <c r="AL125" s="22">
        <f t="shared" si="58"/>
        <v>4.566883036574213E-12</v>
      </c>
      <c r="AM125" s="62">
        <f t="shared" si="59"/>
        <v>285.63758124299187</v>
      </c>
      <c r="AN125" s="62">
        <f ca="1">AVERAGE(OFFSET($AM$3,0,0,'Données projet'!$E$10+1,1))-AVERAGE(OFFSET($H$3,0,0,'Données projet'!$E$10+1,1))</f>
        <v>335.71510570470264</v>
      </c>
      <c r="AO125" s="62">
        <f t="shared" si="90"/>
        <v>401.61823018046482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1.9958896454499697</v>
      </c>
      <c r="AW125" s="23">
        <f>EXP(-LN(2)/2)*AW124+(1-EXP(-LN(2)/2))/(LN(2)/2)*AQ125*AT125*VLOOKUP('Données projet'!$B$10,Paramètres!$A$1:$I$89,3,0)*0.475*44/12</f>
        <v>2.5958269251666112E-13</v>
      </c>
      <c r="AX125" s="23">
        <f t="shared" si="60"/>
        <v>1.9958896454502293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67.901158520814718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-5.6843418860808015E-14</v>
      </c>
      <c r="BE125" s="14">
        <f>BD125*VLOOKUP('Données projet'!$B$11,Paramètres!$A$1:$I$89,3,0)*VLOOKUP('Données projet'!$B$11,Paramètres!$A$1:$I$89,5,0)</f>
        <v>-5.1431925385259088E-14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462.677457131175</v>
      </c>
      <c r="BJ125" s="62">
        <f t="shared" si="92"/>
        <v>291.78368401945909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0.71236299924468482</v>
      </c>
      <c r="BR125" s="23">
        <f>EXP(-LN(2)/2)*BR124+(1-EXP(-LN(2)/2))/(LN(2)/2)*BL125*BO125*VLOOKUP('Données projet'!$B$11,Paramètres!$A$1:$I$89,3,0)*0.475*44/12</f>
        <v>2.1188064131021147E-13</v>
      </c>
      <c r="BS125" s="24">
        <f t="shared" si="63"/>
        <v>0.71236299924489666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67.901158520814718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-5.6843418860808015E-14</v>
      </c>
      <c r="BZ125" s="14">
        <f>BY125*VLOOKUP('Données projet'!$B$12,Paramètres!$A$1:$I$89,3,0)*VLOOKUP('Données projet'!$B$12,Paramètres!$A$1:$I$89,5,0)</f>
        <v>-3.1036506698001178E-14</v>
      </c>
      <c r="CA125" s="14" t="e">
        <f t="shared" si="93"/>
        <v>#NUM!</v>
      </c>
      <c r="CB125" s="22" t="e">
        <f t="shared" si="64"/>
        <v>#NUM!</v>
      </c>
      <c r="CC125" s="62" t="e">
        <f t="shared" si="65"/>
        <v>#NUM!</v>
      </c>
      <c r="CD125" s="62">
        <f ca="1">AVERAGE(OFFSET($CC$3,0,0,'Données projet'!$E$12+1,1))-AVERAGE(OFFSET($H$3,0,0,'Données projet'!$E$12+1,1))</f>
        <v>302.37244372118971</v>
      </c>
      <c r="CE125" s="62">
        <f t="shared" si="94"/>
        <v>439.56450354660171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1.218824286221851</v>
      </c>
      <c r="CL125" s="23">
        <f>EXP(-LN(2)/25)*CL124+(1-EXP(-LN(2)/25))/(LN(2)/25)*Calculateur!CG125*Calculateur!CI125*VLOOKUP('Données projet'!$B$12,Paramètres!$A$1:$I$89,3,0)*0.475*44/12</f>
        <v>1.3187833356763818</v>
      </c>
      <c r="CM125" s="23">
        <f>EXP(-LN(2)/2)*CM124+(1-EXP(-LN(2)/2))/(LN(2)/2)*CG125*CJ125*VLOOKUP('Données projet'!$B$12,Paramètres!$A$1:$I$89,3,0)*0.475*44/12</f>
        <v>2.2809961756173096E-13</v>
      </c>
      <c r="CN125" s="24">
        <f t="shared" si="66"/>
        <v>2.5376076218984611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67.901158520814718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2.8421709430404007E-14</v>
      </c>
      <c r="CU125" s="18">
        <f>CT125*VLOOKUP('Données projet'!$B$13,Paramètres!$A$1:$I$89,3,0)*VLOOKUP('Données projet'!$B$13,Paramètres!$A$1:$I$89,5,0)</f>
        <v>2.0838797354372217E-14</v>
      </c>
      <c r="CV125" s="14">
        <f t="shared" si="95"/>
        <v>3.7575774393093487E-13</v>
      </c>
      <c r="CW125" s="22">
        <f t="shared" si="67"/>
        <v>6.9073897607190981E-13</v>
      </c>
      <c r="CX125" s="62">
        <f t="shared" si="68"/>
        <v>285.63758124298801</v>
      </c>
      <c r="CY125" s="62">
        <f ca="1">AVERAGE(OFFSET($CX$3,0,0,'Données projet'!$E$13+1,1))-AVERAGE(OFFSET($H$3,0,0,'Données projet'!$E$13+1,1))</f>
        <v>300.12722359176314</v>
      </c>
      <c r="CZ125" s="62">
        <f t="shared" si="96"/>
        <v>313.35115626175946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0.93729318796907335</v>
      </c>
      <c r="DH125" s="23">
        <f>EXP(-LN(2)/2)*DH124+(1-EXP(-LN(2)/2))/(LN(2)/2)*DB125*DE125*VLOOKUP('Données projet'!$B$13,Paramètres!$A$1:$I$89,3,0)*0.475*44/12</f>
        <v>2.140241280664658E-13</v>
      </c>
      <c r="DI125" s="24">
        <f t="shared" si="69"/>
        <v>0.9372931879692874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67.901158520814718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67.901158520814718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67.901158520814718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67.901158520814718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67.901158520814718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3.55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13.016666666666666</v>
      </c>
      <c r="H126" s="70">
        <f t="shared" si="56"/>
        <v>204.6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67.937568728171996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-2.2737367544323206E-13</v>
      </c>
      <c r="O126" s="14">
        <f>N126*VLOOKUP('Données projet'!$B$9,Paramètres!$A$1:$I$89,3,0)*VLOOKUP('Données projet'!$B$9,Paramètres!$A$1:$I$89,5,0)</f>
        <v>-1.2710188457276673E-13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455.44531340185631</v>
      </c>
      <c r="T126" s="62">
        <f t="shared" si="88"/>
        <v>560.14861617544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1.7128526028051647</v>
      </c>
      <c r="AA126" s="23">
        <f>EXP(-LN(2)/25)*AA125+(1-EXP(-LN(2)/25))/(LN(2)/25)*Calculateur!V126*Calculateur!X126*VLOOKUP('Données projet'!$B$9,Paramètres!$A$1:$I$89,3,0)*0.475*44/12</f>
        <v>1.0791311999624484</v>
      </c>
      <c r="AB126" s="23">
        <f>EXP(-LN(2)/2)*AB125+(1-EXP(-LN(2)/2))/(LN(2)/2)*V126*Y126*VLOOKUP('Données projet'!$B$9,Paramètres!$A$1:$I$89,3,0)*0.475*44/12</f>
        <v>1.3338669144806676E-13</v>
      </c>
      <c r="AC126" s="24">
        <f t="shared" si="57"/>
        <v>2.7919838027677466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67.937568728171996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1.9895196601282805E-13</v>
      </c>
      <c r="AJ126" s="14">
        <f>AI126*VLOOKUP('Données projet'!$B$10,Paramètres!$A$1:$I$89,3,0)*VLOOKUP('Données projet'!$B$10,Paramètres!$A$1:$I$89,5,0)</f>
        <v>1.738044375088066E-13</v>
      </c>
      <c r="AK126" s="14">
        <f t="shared" si="89"/>
        <v>2.4483293633950478E-12</v>
      </c>
      <c r="AL126" s="22">
        <f t="shared" si="58"/>
        <v>4.566883036574213E-12</v>
      </c>
      <c r="AM126" s="62">
        <f t="shared" si="59"/>
        <v>285.77108533663517</v>
      </c>
      <c r="AN126" s="62">
        <f ca="1">AVERAGE(OFFSET($AM$3,0,0,'Données projet'!$E$10+1,1))-AVERAGE(OFFSET($H$3,0,0,'Données projet'!$E$10+1,1))</f>
        <v>335.71510570470264</v>
      </c>
      <c r="AO126" s="62">
        <f t="shared" si="90"/>
        <v>401.61823018046482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1.9413119381358654</v>
      </c>
      <c r="AW126" s="23">
        <f>EXP(-LN(2)/2)*AW125+(1-EXP(-LN(2)/2))/(LN(2)/2)*AQ126*AT126*VLOOKUP('Données projet'!$B$10,Paramètres!$A$1:$I$89,3,0)*0.475*44/12</f>
        <v>1.8355268215719354E-13</v>
      </c>
      <c r="AX126" s="23">
        <f t="shared" si="60"/>
        <v>1.9413119381360491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67.937568728171996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-5.6843418860808015E-14</v>
      </c>
      <c r="BE126" s="14">
        <f>BD126*VLOOKUP('Données projet'!$B$11,Paramètres!$A$1:$I$89,3,0)*VLOOKUP('Données projet'!$B$11,Paramètres!$A$1:$I$89,5,0)</f>
        <v>-5.1431925385259088E-14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462.677457131175</v>
      </c>
      <c r="BJ126" s="62">
        <f t="shared" si="92"/>
        <v>291.78368401945909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0.69288339556879697</v>
      </c>
      <c r="BR126" s="23">
        <f>EXP(-LN(2)/2)*BR125+(1-EXP(-LN(2)/2))/(LN(2)/2)*BL126*BO126*VLOOKUP('Données projet'!$B$11,Paramètres!$A$1:$I$89,3,0)*0.475*44/12</f>
        <v>1.4982223827260506E-13</v>
      </c>
      <c r="BS126" s="24">
        <f t="shared" si="63"/>
        <v>0.69288339556894674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67.937568728171996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-5.6843418860808015E-14</v>
      </c>
      <c r="BZ126" s="14">
        <f>BY126*VLOOKUP('Données projet'!$B$12,Paramètres!$A$1:$I$89,3,0)*VLOOKUP('Données projet'!$B$12,Paramètres!$A$1:$I$89,5,0)</f>
        <v>-3.1036506698001178E-14</v>
      </c>
      <c r="CA126" s="14" t="e">
        <f t="shared" si="93"/>
        <v>#NUM!</v>
      </c>
      <c r="CB126" s="22" t="e">
        <f t="shared" si="64"/>
        <v>#NUM!</v>
      </c>
      <c r="CC126" s="62" t="e">
        <f t="shared" si="65"/>
        <v>#NUM!</v>
      </c>
      <c r="CD126" s="62">
        <f ca="1">AVERAGE(OFFSET($CC$3,0,0,'Données projet'!$E$12+1,1))-AVERAGE(OFFSET($H$3,0,0,'Données projet'!$E$12+1,1))</f>
        <v>302.37244372118971</v>
      </c>
      <c r="CE126" s="62">
        <f t="shared" si="94"/>
        <v>439.56450354660171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1.1949238853784496</v>
      </c>
      <c r="CL126" s="23">
        <f>EXP(-LN(2)/25)*CL125+(1-EXP(-LN(2)/25))/(LN(2)/25)*Calculateur!CG126*Calculateur!CI126*VLOOKUP('Données projet'!$B$12,Paramètres!$A$1:$I$89,3,0)*0.475*44/12</f>
        <v>1.2827211360105097</v>
      </c>
      <c r="CM126" s="23">
        <f>EXP(-LN(2)/2)*CM125+(1-EXP(-LN(2)/2))/(LN(2)/2)*CG126*CJ126*VLOOKUP('Données projet'!$B$12,Paramètres!$A$1:$I$89,3,0)*0.475*44/12</f>
        <v>1.6129078636395807E-13</v>
      </c>
      <c r="CN126" s="24">
        <f t="shared" si="66"/>
        <v>2.4776450213891206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67.937568728171996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2.8421709430404007E-14</v>
      </c>
      <c r="CU126" s="18">
        <f>CT126*VLOOKUP('Données projet'!$B$13,Paramètres!$A$1:$I$89,3,0)*VLOOKUP('Données projet'!$B$13,Paramètres!$A$1:$I$89,5,0)</f>
        <v>2.0838797354372217E-14</v>
      </c>
      <c r="CV126" s="14">
        <f t="shared" si="95"/>
        <v>3.7575774393093487E-13</v>
      </c>
      <c r="CW126" s="22">
        <f t="shared" si="67"/>
        <v>6.9073897607190981E-13</v>
      </c>
      <c r="CX126" s="62">
        <f t="shared" si="68"/>
        <v>285.7710853366313</v>
      </c>
      <c r="CY126" s="62">
        <f ca="1">AVERAGE(OFFSET($CX$3,0,0,'Données projet'!$E$13+1,1))-AVERAGE(OFFSET($H$3,0,0,'Données projet'!$E$13+1,1))</f>
        <v>300.12722359176314</v>
      </c>
      <c r="CZ126" s="62">
        <f t="shared" si="96"/>
        <v>313.35115626175946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0.91166285645395251</v>
      </c>
      <c r="DH126" s="23">
        <f>EXP(-LN(2)/2)*DH125+(1-EXP(-LN(2)/2))/(LN(2)/2)*DB126*DE126*VLOOKUP('Données projet'!$B$13,Paramètres!$A$1:$I$89,3,0)*0.475*44/12</f>
        <v>1.5133791229333606E-13</v>
      </c>
      <c r="DI126" s="24">
        <f t="shared" si="69"/>
        <v>0.91166285645410383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67.937568728171996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67.937568728171996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67.937568728171996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67.937568728171996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67.937568728171996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3.55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13.016666666666666</v>
      </c>
      <c r="H127" s="70">
        <f t="shared" si="56"/>
        <v>204.6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67.973347299832653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-2.2737367544323206E-13</v>
      </c>
      <c r="O127" s="14">
        <f>N127*VLOOKUP('Données projet'!$B$9,Paramètres!$A$1:$I$89,3,0)*VLOOKUP('Données projet'!$B$9,Paramètres!$A$1:$I$89,5,0)</f>
        <v>-1.2710188457276673E-13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455.44531340185631</v>
      </c>
      <c r="T127" s="62">
        <f t="shared" si="88"/>
        <v>560.14861617544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1.679264608001084</v>
      </c>
      <c r="AA127" s="23">
        <f>EXP(-LN(2)/25)*AA126+(1-EXP(-LN(2)/25))/(LN(2)/25)*Calculateur!V127*Calculateur!X127*VLOOKUP('Données projet'!$B$9,Paramètres!$A$1:$I$89,3,0)*0.475*44/12</f>
        <v>1.0496223005504319</v>
      </c>
      <c r="AB127" s="23">
        <f>EXP(-LN(2)/2)*AB126+(1-EXP(-LN(2)/2))/(LN(2)/2)*V127*Y127*VLOOKUP('Données projet'!$B$9,Paramètres!$A$1:$I$89,3,0)*0.475*44/12</f>
        <v>9.4318634042965671E-14</v>
      </c>
      <c r="AC127" s="24">
        <f t="shared" si="57"/>
        <v>2.7288869085516101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67.973347299832653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1.9895196601282805E-13</v>
      </c>
      <c r="AJ127" s="14">
        <f>AI127*VLOOKUP('Données projet'!$B$10,Paramètres!$A$1:$I$89,3,0)*VLOOKUP('Données projet'!$B$10,Paramètres!$A$1:$I$89,5,0)</f>
        <v>1.738044375088066E-13</v>
      </c>
      <c r="AK127" s="14">
        <f t="shared" si="89"/>
        <v>2.4483293633950478E-12</v>
      </c>
      <c r="AL127" s="22">
        <f t="shared" si="58"/>
        <v>4.566883036574213E-12</v>
      </c>
      <c r="AM127" s="62">
        <f t="shared" si="59"/>
        <v>285.90227343272426</v>
      </c>
      <c r="AN127" s="62">
        <f ca="1">AVERAGE(OFFSET($AM$3,0,0,'Données projet'!$E$10+1,1))-AVERAGE(OFFSET($H$3,0,0,'Données projet'!$E$10+1,1))</f>
        <v>335.71510570470264</v>
      </c>
      <c r="AO127" s="62">
        <f t="shared" si="90"/>
        <v>401.61823018046482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1.8882266610983822</v>
      </c>
      <c r="AW127" s="23">
        <f>EXP(-LN(2)/2)*AW126+(1-EXP(-LN(2)/2))/(LN(2)/2)*AQ127*AT127*VLOOKUP('Données projet'!$B$10,Paramètres!$A$1:$I$89,3,0)*0.475*44/12</f>
        <v>1.2979134625833056E-13</v>
      </c>
      <c r="AX127" s="23">
        <f t="shared" si="60"/>
        <v>1.8882266610985121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67.973347299832653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-5.6843418860808015E-14</v>
      </c>
      <c r="BE127" s="14">
        <f>BD127*VLOOKUP('Données projet'!$B$11,Paramètres!$A$1:$I$89,3,0)*VLOOKUP('Données projet'!$B$11,Paramètres!$A$1:$I$89,5,0)</f>
        <v>-5.1431925385259088E-14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462.677457131175</v>
      </c>
      <c r="BJ127" s="62">
        <f t="shared" si="92"/>
        <v>291.78368401945909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0.673936462679814</v>
      </c>
      <c r="BR127" s="23">
        <f>EXP(-LN(2)/2)*BR126+(1-EXP(-LN(2)/2))/(LN(2)/2)*BL127*BO127*VLOOKUP('Données projet'!$B$11,Paramètres!$A$1:$I$89,3,0)*0.475*44/12</f>
        <v>1.0594032065510573E-13</v>
      </c>
      <c r="BS127" s="24">
        <f t="shared" si="63"/>
        <v>0.67393646267991991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67.973347299832653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-5.6843418860808015E-14</v>
      </c>
      <c r="BZ127" s="14">
        <f>BY127*VLOOKUP('Données projet'!$B$12,Paramètres!$A$1:$I$89,3,0)*VLOOKUP('Données projet'!$B$12,Paramètres!$A$1:$I$89,5,0)</f>
        <v>-3.1036506698001178E-14</v>
      </c>
      <c r="CA127" s="14" t="e">
        <f t="shared" si="93"/>
        <v>#NUM!</v>
      </c>
      <c r="CB127" s="22" t="e">
        <f t="shared" si="64"/>
        <v>#NUM!</v>
      </c>
      <c r="CC127" s="62" t="e">
        <f t="shared" si="65"/>
        <v>#NUM!</v>
      </c>
      <c r="CD127" s="62">
        <f ca="1">AVERAGE(OFFSET($CC$3,0,0,'Données projet'!$E$12+1,1))-AVERAGE(OFFSET($H$3,0,0,'Données projet'!$E$12+1,1))</f>
        <v>302.37244372118971</v>
      </c>
      <c r="CE127" s="62">
        <f t="shared" si="94"/>
        <v>439.56450354660171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1.1714921568177821</v>
      </c>
      <c r="CL127" s="23">
        <f>EXP(-LN(2)/25)*CL126+(1-EXP(-LN(2)/25))/(LN(2)/25)*Calculateur!CG127*Calculateur!CI127*VLOOKUP('Données projet'!$B$12,Paramètres!$A$1:$I$89,3,0)*0.475*44/12</f>
        <v>1.2476450590909296</v>
      </c>
      <c r="CM127" s="23">
        <f>EXP(-LN(2)/2)*CM126+(1-EXP(-LN(2)/2))/(LN(2)/2)*CG127*CJ127*VLOOKUP('Données projet'!$B$12,Paramètres!$A$1:$I$89,3,0)*0.475*44/12</f>
        <v>1.1404980878086548E-13</v>
      </c>
      <c r="CN127" s="24">
        <f t="shared" si="66"/>
        <v>2.4191372159088256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67.973347299832653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2.8421709430404007E-14</v>
      </c>
      <c r="CU127" s="18">
        <f>CT127*VLOOKUP('Données projet'!$B$13,Paramètres!$A$1:$I$89,3,0)*VLOOKUP('Données projet'!$B$13,Paramètres!$A$1:$I$89,5,0)</f>
        <v>2.0838797354372217E-14</v>
      </c>
      <c r="CV127" s="14">
        <f t="shared" si="95"/>
        <v>3.7575774393093487E-13</v>
      </c>
      <c r="CW127" s="22">
        <f t="shared" si="67"/>
        <v>6.9073897607190981E-13</v>
      </c>
      <c r="CX127" s="62">
        <f t="shared" si="68"/>
        <v>285.90227343272039</v>
      </c>
      <c r="CY127" s="62">
        <f ca="1">AVERAGE(OFFSET($CX$3,0,0,'Données projet'!$E$13+1,1))-AVERAGE(OFFSET($H$3,0,0,'Données projet'!$E$13+1,1))</f>
        <v>300.12722359176314</v>
      </c>
      <c r="CZ127" s="62">
        <f t="shared" si="96"/>
        <v>313.35115626175946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0.8867333877019532</v>
      </c>
      <c r="DH127" s="23">
        <f>EXP(-LN(2)/2)*DH126+(1-EXP(-LN(2)/2))/(LN(2)/2)*DB127*DE127*VLOOKUP('Données projet'!$B$13,Paramètres!$A$1:$I$89,3,0)*0.475*44/12</f>
        <v>1.070120640332329E-13</v>
      </c>
      <c r="DI127" s="24">
        <f t="shared" si="69"/>
        <v>0.88673338770206023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67.973347299832653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67.973347299832653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67.973347299832653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67.973347299832653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67.973347299832653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3.55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13.016666666666666</v>
      </c>
      <c r="H128" s="70">
        <f t="shared" si="56"/>
        <v>204.6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68.008505193263886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-2.2737367544323206E-13</v>
      </c>
      <c r="O128" s="14">
        <f>N128*VLOOKUP('Données projet'!$B$9,Paramètres!$A$1:$I$89,3,0)*VLOOKUP('Données projet'!$B$9,Paramètres!$A$1:$I$89,5,0)</f>
        <v>-1.2710188457276673E-13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455.44531340185631</v>
      </c>
      <c r="T128" s="62">
        <f t="shared" si="88"/>
        <v>560.14861617544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1.6463352532884574</v>
      </c>
      <c r="AA128" s="23">
        <f>EXP(-LN(2)/25)*AA127+(1-EXP(-LN(2)/25))/(LN(2)/25)*Calculateur!V128*Calculateur!X128*VLOOKUP('Données projet'!$B$9,Paramètres!$A$1:$I$89,3,0)*0.475*44/12</f>
        <v>1.0209203235446425</v>
      </c>
      <c r="AB128" s="23">
        <f>EXP(-LN(2)/2)*AB127+(1-EXP(-LN(2)/2))/(LN(2)/2)*V128*Y128*VLOOKUP('Données projet'!$B$9,Paramètres!$A$1:$I$89,3,0)*0.475*44/12</f>
        <v>6.6693345724033378E-14</v>
      </c>
      <c r="AC128" s="24">
        <f t="shared" si="57"/>
        <v>2.6672555768331665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68.008505193263886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1.9895196601282805E-13</v>
      </c>
      <c r="AJ128" s="14">
        <f>AI128*VLOOKUP('Données projet'!$B$10,Paramètres!$A$1:$I$89,3,0)*VLOOKUP('Données projet'!$B$10,Paramètres!$A$1:$I$89,5,0)</f>
        <v>1.738044375088066E-13</v>
      </c>
      <c r="AK128" s="14">
        <f t="shared" si="89"/>
        <v>2.4483293633950478E-12</v>
      </c>
      <c r="AL128" s="22">
        <f t="shared" si="58"/>
        <v>4.566883036574213E-12</v>
      </c>
      <c r="AM128" s="62">
        <f t="shared" si="59"/>
        <v>286.03118570863882</v>
      </c>
      <c r="AN128" s="62">
        <f ca="1">AVERAGE(OFFSET($AM$3,0,0,'Données projet'!$E$10+1,1))-AVERAGE(OFFSET($H$3,0,0,'Données projet'!$E$10+1,1))</f>
        <v>335.71510570470264</v>
      </c>
      <c r="AO128" s="62">
        <f t="shared" si="90"/>
        <v>401.61823018046482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1.8365930037531224</v>
      </c>
      <c r="AW128" s="23">
        <f>EXP(-LN(2)/2)*AW127+(1-EXP(-LN(2)/2))/(LN(2)/2)*AQ128*AT128*VLOOKUP('Données projet'!$B$10,Paramètres!$A$1:$I$89,3,0)*0.475*44/12</f>
        <v>9.1776341078596772E-14</v>
      </c>
      <c r="AX128" s="23">
        <f t="shared" si="60"/>
        <v>1.8365930037532141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68.008505193263886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-5.6843418860808015E-14</v>
      </c>
      <c r="BE128" s="14">
        <f>BD128*VLOOKUP('Données projet'!$B$11,Paramètres!$A$1:$I$89,3,0)*VLOOKUP('Données projet'!$B$11,Paramètres!$A$1:$I$89,5,0)</f>
        <v>-5.1431925385259088E-14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462.677457131175</v>
      </c>
      <c r="BJ128" s="62">
        <f t="shared" si="92"/>
        <v>291.78368401945909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0.65550763466705619</v>
      </c>
      <c r="BR128" s="23">
        <f>EXP(-LN(2)/2)*BR127+(1-EXP(-LN(2)/2))/(LN(2)/2)*BL128*BO128*VLOOKUP('Données projet'!$B$11,Paramètres!$A$1:$I$89,3,0)*0.475*44/12</f>
        <v>7.491111913630253E-14</v>
      </c>
      <c r="BS128" s="24">
        <f t="shared" si="63"/>
        <v>0.65550763466713113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68.008505193263886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-5.6843418860808015E-14</v>
      </c>
      <c r="BZ128" s="14">
        <f>BY128*VLOOKUP('Données projet'!$B$12,Paramètres!$A$1:$I$89,3,0)*VLOOKUP('Données projet'!$B$12,Paramètres!$A$1:$I$89,5,0)</f>
        <v>-3.1036506698001178E-14</v>
      </c>
      <c r="CA128" s="14" t="e">
        <f t="shared" si="93"/>
        <v>#NUM!</v>
      </c>
      <c r="CB128" s="22" t="e">
        <f t="shared" si="64"/>
        <v>#NUM!</v>
      </c>
      <c r="CC128" s="62" t="e">
        <f t="shared" si="65"/>
        <v>#NUM!</v>
      </c>
      <c r="CD128" s="62">
        <f ca="1">AVERAGE(OFFSET($CC$3,0,0,'Données projet'!$E$12+1,1))-AVERAGE(OFFSET($H$3,0,0,'Données projet'!$E$12+1,1))</f>
        <v>302.37244372118971</v>
      </c>
      <c r="CE128" s="62">
        <f t="shared" si="94"/>
        <v>439.56450354660171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1.1485199101622461</v>
      </c>
      <c r="CL128" s="23">
        <f>EXP(-LN(2)/25)*CL127+(1-EXP(-LN(2)/25))/(LN(2)/25)*Calculateur!CG128*Calculateur!CI128*VLOOKUP('Données projet'!$B$12,Paramètres!$A$1:$I$89,3,0)*0.475*44/12</f>
        <v>1.213528139339286</v>
      </c>
      <c r="CM128" s="23">
        <f>EXP(-LN(2)/2)*CM127+(1-EXP(-LN(2)/2))/(LN(2)/2)*CG128*CJ128*VLOOKUP('Données projet'!$B$12,Paramètres!$A$1:$I$89,3,0)*0.475*44/12</f>
        <v>8.0645393181979033E-14</v>
      </c>
      <c r="CN128" s="24">
        <f t="shared" si="66"/>
        <v>2.3620480495016132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68.008505193263886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2.8421709430404007E-14</v>
      </c>
      <c r="CU128" s="18">
        <f>CT128*VLOOKUP('Données projet'!$B$13,Paramètres!$A$1:$I$89,3,0)*VLOOKUP('Données projet'!$B$13,Paramètres!$A$1:$I$89,5,0)</f>
        <v>2.0838797354372217E-14</v>
      </c>
      <c r="CV128" s="14">
        <f t="shared" si="95"/>
        <v>3.7575774393093487E-13</v>
      </c>
      <c r="CW128" s="22">
        <f t="shared" si="67"/>
        <v>6.9073897607190981E-13</v>
      </c>
      <c r="CX128" s="62">
        <f t="shared" si="68"/>
        <v>286.03118570863495</v>
      </c>
      <c r="CY128" s="62">
        <f ca="1">AVERAGE(OFFSET($CX$3,0,0,'Données projet'!$E$13+1,1))-AVERAGE(OFFSET($H$3,0,0,'Données projet'!$E$13+1,1))</f>
        <v>300.12722359176314</v>
      </c>
      <c r="CZ128" s="62">
        <f t="shared" si="96"/>
        <v>313.35115626175946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0.86248561658396106</v>
      </c>
      <c r="DH128" s="23">
        <f>EXP(-LN(2)/2)*DH127+(1-EXP(-LN(2)/2))/(LN(2)/2)*DB128*DE128*VLOOKUP('Données projet'!$B$13,Paramètres!$A$1:$I$89,3,0)*0.475*44/12</f>
        <v>7.5668956146668029E-14</v>
      </c>
      <c r="DI128" s="24">
        <f t="shared" si="69"/>
        <v>0.86248561658403677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68.008505193263886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68.008505193263886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68.008505193263886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68.008505193263886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68.008505193263886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3.55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13.016666666666666</v>
      </c>
      <c r="H129" s="70">
        <f t="shared" si="56"/>
        <v>204.6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68.043053175845387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-2.2737367544323206E-13</v>
      </c>
      <c r="O129" s="14">
        <f>N129*VLOOKUP('Données projet'!$B$9,Paramètres!$A$1:$I$89,3,0)*VLOOKUP('Données projet'!$B$9,Paramètres!$A$1:$I$89,5,0)</f>
        <v>-1.2710188457276673E-13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455.44531340185631</v>
      </c>
      <c r="T129" s="62">
        <f t="shared" si="88"/>
        <v>560.14861617544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1.6140516231368223</v>
      </c>
      <c r="AA129" s="23">
        <f>EXP(-LN(2)/25)*AA128+(1-EXP(-LN(2)/25))/(LN(2)/25)*Calculateur!V129*Calculateur!X129*VLOOKUP('Données projet'!$B$9,Paramètres!$A$1:$I$89,3,0)*0.475*44/12</f>
        <v>0.99300320360944772</v>
      </c>
      <c r="AB129" s="23">
        <f>EXP(-LN(2)/2)*AB128+(1-EXP(-LN(2)/2))/(LN(2)/2)*V129*Y129*VLOOKUP('Données projet'!$B$9,Paramètres!$A$1:$I$89,3,0)*0.475*44/12</f>
        <v>4.7159317021482835E-14</v>
      </c>
      <c r="AC129" s="24">
        <f t="shared" si="57"/>
        <v>2.6070548267463169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68.043053175845387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1.9895196601282805E-13</v>
      </c>
      <c r="AJ129" s="14">
        <f>AI129*VLOOKUP('Données projet'!$B$10,Paramètres!$A$1:$I$89,3,0)*VLOOKUP('Données projet'!$B$10,Paramètres!$A$1:$I$89,5,0)</f>
        <v>1.738044375088066E-13</v>
      </c>
      <c r="AK129" s="14">
        <f t="shared" si="89"/>
        <v>2.4483293633950478E-12</v>
      </c>
      <c r="AL129" s="22">
        <f t="shared" si="58"/>
        <v>4.566883036574213E-12</v>
      </c>
      <c r="AM129" s="62">
        <f t="shared" si="59"/>
        <v>286.15786164477095</v>
      </c>
      <c r="AN129" s="62">
        <f ca="1">AVERAGE(OFFSET($AM$3,0,0,'Données projet'!$E$10+1,1))-AVERAGE(OFFSET($H$3,0,0,'Données projet'!$E$10+1,1))</f>
        <v>335.71510570470264</v>
      </c>
      <c r="AO129" s="62">
        <f t="shared" si="90"/>
        <v>401.61823018046482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1.7863712714832647</v>
      </c>
      <c r="AW129" s="23">
        <f>EXP(-LN(2)/2)*AW128+(1-EXP(-LN(2)/2))/(LN(2)/2)*AQ129*AT129*VLOOKUP('Données projet'!$B$10,Paramètres!$A$1:$I$89,3,0)*0.475*44/12</f>
        <v>6.4895673129165279E-14</v>
      </c>
      <c r="AX129" s="23">
        <f t="shared" si="60"/>
        <v>1.7863712714833295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68.043053175845387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-5.6843418860808015E-14</v>
      </c>
      <c r="BE129" s="14">
        <f>BD129*VLOOKUP('Données projet'!$B$11,Paramètres!$A$1:$I$89,3,0)*VLOOKUP('Données projet'!$B$11,Paramètres!$A$1:$I$89,5,0)</f>
        <v>-5.1431925385259088E-14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462.677457131175</v>
      </c>
      <c r="BJ129" s="62">
        <f t="shared" si="92"/>
        <v>291.78368401945909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0.63758274392543723</v>
      </c>
      <c r="BR129" s="23">
        <f>EXP(-LN(2)/2)*BR128+(1-EXP(-LN(2)/2))/(LN(2)/2)*BL129*BO129*VLOOKUP('Données projet'!$B$11,Paramètres!$A$1:$I$89,3,0)*0.475*44/12</f>
        <v>5.2970160327552867E-14</v>
      </c>
      <c r="BS129" s="24">
        <f t="shared" si="63"/>
        <v>0.63758274392549019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68.043053175845387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-5.6843418860808015E-14</v>
      </c>
      <c r="BZ129" s="14">
        <f>BY129*VLOOKUP('Données projet'!$B$12,Paramètres!$A$1:$I$89,3,0)*VLOOKUP('Données projet'!$B$12,Paramètres!$A$1:$I$89,5,0)</f>
        <v>-3.1036506698001178E-14</v>
      </c>
      <c r="CA129" s="14" t="e">
        <f t="shared" si="93"/>
        <v>#NUM!</v>
      </c>
      <c r="CB129" s="22" t="e">
        <f t="shared" si="64"/>
        <v>#NUM!</v>
      </c>
      <c r="CC129" s="62" t="e">
        <f t="shared" si="65"/>
        <v>#NUM!</v>
      </c>
      <c r="CD129" s="62">
        <f ca="1">AVERAGE(OFFSET($CC$3,0,0,'Données projet'!$E$12+1,1))-AVERAGE(OFFSET($H$3,0,0,'Données projet'!$E$12+1,1))</f>
        <v>302.37244372118971</v>
      </c>
      <c r="CE129" s="62">
        <f t="shared" si="94"/>
        <v>439.56450354660171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1.1259981352519381</v>
      </c>
      <c r="CL129" s="23">
        <f>EXP(-LN(2)/25)*CL128+(1-EXP(-LN(2)/25))/(LN(2)/25)*Calculateur!CG129*Calculateur!CI129*VLOOKUP('Données projet'!$B$12,Paramètres!$A$1:$I$89,3,0)*0.475*44/12</f>
        <v>1.180344148552382</v>
      </c>
      <c r="CM129" s="23">
        <f>EXP(-LN(2)/2)*CM128+(1-EXP(-LN(2)/2))/(LN(2)/2)*CG129*CJ129*VLOOKUP('Données projet'!$B$12,Paramètres!$A$1:$I$89,3,0)*0.475*44/12</f>
        <v>5.7024904390432739E-14</v>
      </c>
      <c r="CN129" s="24">
        <f t="shared" si="66"/>
        <v>2.3063422838043772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68.043053175845387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2.8421709430404007E-14</v>
      </c>
      <c r="CU129" s="18">
        <f>CT129*VLOOKUP('Données projet'!$B$13,Paramètres!$A$1:$I$89,3,0)*VLOOKUP('Données projet'!$B$13,Paramètres!$A$1:$I$89,5,0)</f>
        <v>2.0838797354372217E-14</v>
      </c>
      <c r="CV129" s="14">
        <f t="shared" si="95"/>
        <v>3.7575774393093487E-13</v>
      </c>
      <c r="CW129" s="22">
        <f t="shared" si="67"/>
        <v>6.9073897607190981E-13</v>
      </c>
      <c r="CX129" s="62">
        <f t="shared" si="68"/>
        <v>286.15786164476708</v>
      </c>
      <c r="CY129" s="62">
        <f ca="1">AVERAGE(OFFSET($CX$3,0,0,'Données projet'!$E$13+1,1))-AVERAGE(OFFSET($H$3,0,0,'Données projet'!$E$13+1,1))</f>
        <v>300.12722359176314</v>
      </c>
      <c r="CZ129" s="62">
        <f t="shared" si="96"/>
        <v>313.35115626175946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0.83890090204232526</v>
      </c>
      <c r="DH129" s="23">
        <f>EXP(-LN(2)/2)*DH128+(1-EXP(-LN(2)/2))/(LN(2)/2)*DB129*DE129*VLOOKUP('Données projet'!$B$13,Paramètres!$A$1:$I$89,3,0)*0.475*44/12</f>
        <v>5.3506032016616451E-14</v>
      </c>
      <c r="DI129" s="24">
        <f t="shared" si="69"/>
        <v>0.83890090204237877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68.043053175845387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68.043053175845387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68.043053175845387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68.043053175845387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68.043053175845387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3.55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13.016666666666666</v>
      </c>
      <c r="H130" s="70">
        <f t="shared" si="56"/>
        <v>204.6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68.0770018281668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-2.2737367544323206E-13</v>
      </c>
      <c r="O130" s="14">
        <f>N130*VLOOKUP('Données projet'!$B$9,Paramètres!$A$1:$I$89,3,0)*VLOOKUP('Données projet'!$B$9,Paramètres!$A$1:$I$89,5,0)</f>
        <v>-1.2710188457276673E-13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455.44531340185631</v>
      </c>
      <c r="T130" s="62">
        <f t="shared" si="88"/>
        <v>560.14861617544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1.5824010552813905</v>
      </c>
      <c r="AA130" s="23">
        <f>EXP(-LN(2)/25)*AA129+(1-EXP(-LN(2)/25))/(LN(2)/25)*Calculateur!V130*Calculateur!X130*VLOOKUP('Données projet'!$B$9,Paramètres!$A$1:$I$89,3,0)*0.475*44/12</f>
        <v>0.96584947878697847</v>
      </c>
      <c r="AB130" s="23">
        <f>EXP(-LN(2)/2)*AB129+(1-EXP(-LN(2)/2))/(LN(2)/2)*V130*Y130*VLOOKUP('Données projet'!$B$9,Paramètres!$A$1:$I$89,3,0)*0.475*44/12</f>
        <v>3.3346672862016689E-14</v>
      </c>
      <c r="AC130" s="24">
        <f t="shared" si="57"/>
        <v>2.5482505340684023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68.0770018281668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1.9895196601282805E-13</v>
      </c>
      <c r="AJ130" s="14">
        <f>AI130*VLOOKUP('Données projet'!$B$10,Paramètres!$A$1:$I$89,3,0)*VLOOKUP('Données projet'!$B$10,Paramètres!$A$1:$I$89,5,0)</f>
        <v>1.738044375088066E-13</v>
      </c>
      <c r="AK130" s="14">
        <f t="shared" si="89"/>
        <v>2.4483293633950478E-12</v>
      </c>
      <c r="AL130" s="22">
        <f t="shared" si="58"/>
        <v>4.566883036574213E-12</v>
      </c>
      <c r="AM130" s="62">
        <f t="shared" si="59"/>
        <v>286.28234003661618</v>
      </c>
      <c r="AN130" s="62">
        <f ca="1">AVERAGE(OFFSET($AM$3,0,0,'Données projet'!$E$10+1,1))-AVERAGE(OFFSET($H$3,0,0,'Données projet'!$E$10+1,1))</f>
        <v>335.71510570470264</v>
      </c>
      <c r="AO130" s="62">
        <f t="shared" si="90"/>
        <v>401.61823018046482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1.7375228551233723</v>
      </c>
      <c r="AW130" s="23">
        <f>EXP(-LN(2)/2)*AW129+(1-EXP(-LN(2)/2))/(LN(2)/2)*AQ130*AT130*VLOOKUP('Données projet'!$B$10,Paramètres!$A$1:$I$89,3,0)*0.475*44/12</f>
        <v>4.5888170539298386E-14</v>
      </c>
      <c r="AX130" s="23">
        <f t="shared" si="60"/>
        <v>1.7375228551234183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68.0770018281668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-5.6843418860808015E-14</v>
      </c>
      <c r="BE130" s="14">
        <f>BD130*VLOOKUP('Données projet'!$B$11,Paramètres!$A$1:$I$89,3,0)*VLOOKUP('Données projet'!$B$11,Paramètres!$A$1:$I$89,5,0)</f>
        <v>-5.1431925385259088E-14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462.677457131175</v>
      </c>
      <c r="BJ130" s="62">
        <f t="shared" si="92"/>
        <v>291.78368401945909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0.62014801026377686</v>
      </c>
      <c r="BR130" s="23">
        <f>EXP(-LN(2)/2)*BR129+(1-EXP(-LN(2)/2))/(LN(2)/2)*BL130*BO130*VLOOKUP('Données projet'!$B$11,Paramètres!$A$1:$I$89,3,0)*0.475*44/12</f>
        <v>3.7455559568151265E-14</v>
      </c>
      <c r="BS130" s="24">
        <f t="shared" si="63"/>
        <v>0.62014801026381428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68.0770018281668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-5.6843418860808015E-14</v>
      </c>
      <c r="BZ130" s="14">
        <f>BY130*VLOOKUP('Données projet'!$B$12,Paramètres!$A$1:$I$89,3,0)*VLOOKUP('Données projet'!$B$12,Paramètres!$A$1:$I$89,5,0)</f>
        <v>-3.1036506698001178E-14</v>
      </c>
      <c r="CA130" s="14" t="e">
        <f t="shared" si="93"/>
        <v>#NUM!</v>
      </c>
      <c r="CB130" s="22" t="e">
        <f t="shared" si="64"/>
        <v>#NUM!</v>
      </c>
      <c r="CC130" s="62" t="e">
        <f t="shared" si="65"/>
        <v>#NUM!</v>
      </c>
      <c r="CD130" s="62">
        <f ca="1">AVERAGE(OFFSET($CC$3,0,0,'Données projet'!$E$12+1,1))-AVERAGE(OFFSET($H$3,0,0,'Données projet'!$E$12+1,1))</f>
        <v>302.37244372118971</v>
      </c>
      <c r="CE130" s="62">
        <f t="shared" si="94"/>
        <v>439.56450354660171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1.1039179986106951</v>
      </c>
      <c r="CL130" s="23">
        <f>EXP(-LN(2)/25)*CL129+(1-EXP(-LN(2)/25))/(LN(2)/25)*Calculateur!CG130*Calculateur!CI130*VLOOKUP('Données projet'!$B$12,Paramètres!$A$1:$I$89,3,0)*0.475*44/12</f>
        <v>1.1480675757386161</v>
      </c>
      <c r="CM130" s="23">
        <f>EXP(-LN(2)/2)*CM129+(1-EXP(-LN(2)/2))/(LN(2)/2)*CG130*CJ130*VLOOKUP('Données projet'!$B$12,Paramètres!$A$1:$I$89,3,0)*0.475*44/12</f>
        <v>4.0322696590989516E-14</v>
      </c>
      <c r="CN130" s="24">
        <f t="shared" si="66"/>
        <v>2.2519855743493515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68.0770018281668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2.8421709430404007E-14</v>
      </c>
      <c r="CU130" s="18">
        <f>CT130*VLOOKUP('Données projet'!$B$13,Paramètres!$A$1:$I$89,3,0)*VLOOKUP('Données projet'!$B$13,Paramètres!$A$1:$I$89,5,0)</f>
        <v>2.0838797354372217E-14</v>
      </c>
      <c r="CV130" s="14">
        <f t="shared" si="95"/>
        <v>3.7575774393093487E-13</v>
      </c>
      <c r="CW130" s="22">
        <f t="shared" si="67"/>
        <v>6.9073897607190981E-13</v>
      </c>
      <c r="CX130" s="62">
        <f t="shared" si="68"/>
        <v>286.28234003661231</v>
      </c>
      <c r="CY130" s="62">
        <f ca="1">AVERAGE(OFFSET($CX$3,0,0,'Données projet'!$E$13+1,1))-AVERAGE(OFFSET($H$3,0,0,'Données projet'!$E$13+1,1))</f>
        <v>300.12722359176314</v>
      </c>
      <c r="CZ130" s="62">
        <f t="shared" si="96"/>
        <v>313.35115626175946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0.81596111276009675</v>
      </c>
      <c r="DH130" s="23">
        <f>EXP(-LN(2)/2)*DH129+(1-EXP(-LN(2)/2))/(LN(2)/2)*DB130*DE130*VLOOKUP('Données projet'!$B$13,Paramètres!$A$1:$I$89,3,0)*0.475*44/12</f>
        <v>3.7834478073334015E-14</v>
      </c>
      <c r="DI130" s="24">
        <f t="shared" si="69"/>
        <v>0.81596111276013461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68.0770018281668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68.0770018281668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68.0770018281668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68.0770018281668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68.0770018281668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3.55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13.016666666666666</v>
      </c>
      <c r="H131" s="70">
        <f t="shared" si="56"/>
        <v>204.6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68.110361547268255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-2.2737367544323206E-13</v>
      </c>
      <c r="O131" s="14">
        <f>N131*VLOOKUP('Données projet'!$B$9,Paramètres!$A$1:$I$89,3,0)*VLOOKUP('Données projet'!$B$9,Paramètres!$A$1:$I$89,5,0)</f>
        <v>-1.2710188457276673E-13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455.44531340185631</v>
      </c>
      <c r="T131" s="62">
        <f t="shared" si="88"/>
        <v>560.14861617544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1.5513711357566635</v>
      </c>
      <c r="AA131" s="23">
        <f>EXP(-LN(2)/25)*AA130+(1-EXP(-LN(2)/25))/(LN(2)/25)*Calculateur!V131*Calculateur!X131*VLOOKUP('Données projet'!$B$9,Paramètres!$A$1:$I$89,3,0)*0.475*44/12</f>
        <v>0.93943827399773194</v>
      </c>
      <c r="AB131" s="23">
        <f>EXP(-LN(2)/2)*AB130+(1-EXP(-LN(2)/2))/(LN(2)/2)*V131*Y131*VLOOKUP('Données projet'!$B$9,Paramètres!$A$1:$I$89,3,0)*0.475*44/12</f>
        <v>2.3579658510741418E-14</v>
      </c>
      <c r="AC131" s="24">
        <f t="shared" si="57"/>
        <v>2.4908094097544189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68.110361547268255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1.9895196601282805E-13</v>
      </c>
      <c r="AJ131" s="14">
        <f>AI131*VLOOKUP('Données projet'!$B$10,Paramètres!$A$1:$I$89,3,0)*VLOOKUP('Données projet'!$B$10,Paramètres!$A$1:$I$89,5,0)</f>
        <v>1.738044375088066E-13</v>
      </c>
      <c r="AK131" s="14">
        <f t="shared" si="89"/>
        <v>2.4483293633950478E-12</v>
      </c>
      <c r="AL131" s="22">
        <f t="shared" si="58"/>
        <v>4.566883036574213E-12</v>
      </c>
      <c r="AM131" s="62">
        <f t="shared" si="59"/>
        <v>286.40465900665481</v>
      </c>
      <c r="AN131" s="62">
        <f ca="1">AVERAGE(OFFSET($AM$3,0,0,'Données projet'!$E$10+1,1))-AVERAGE(OFFSET($H$3,0,0,'Données projet'!$E$10+1,1))</f>
        <v>335.71510570470264</v>
      </c>
      <c r="AO131" s="62">
        <f t="shared" si="90"/>
        <v>401.61823018046482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1.6900102012776679</v>
      </c>
      <c r="AW131" s="23">
        <f>EXP(-LN(2)/2)*AW130+(1-EXP(-LN(2)/2))/(LN(2)/2)*AQ131*AT131*VLOOKUP('Données projet'!$B$10,Paramètres!$A$1:$I$89,3,0)*0.475*44/12</f>
        <v>3.2447836564582639E-14</v>
      </c>
      <c r="AX131" s="23">
        <f t="shared" si="60"/>
        <v>1.6900102012777003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68.110361547268255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-5.6843418860808015E-14</v>
      </c>
      <c r="BE131" s="14">
        <f>BD131*VLOOKUP('Données projet'!$B$11,Paramètres!$A$1:$I$89,3,0)*VLOOKUP('Données projet'!$B$11,Paramètres!$A$1:$I$89,5,0)</f>
        <v>-5.1431925385259088E-14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462.677457131175</v>
      </c>
      <c r="BJ131" s="62">
        <f t="shared" si="92"/>
        <v>291.78368401945909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0.60319003031094742</v>
      </c>
      <c r="BR131" s="23">
        <f>EXP(-LN(2)/2)*BR130+(1-EXP(-LN(2)/2))/(LN(2)/2)*BL131*BO131*VLOOKUP('Données projet'!$B$11,Paramètres!$A$1:$I$89,3,0)*0.475*44/12</f>
        <v>2.6485080163776433E-14</v>
      </c>
      <c r="BS131" s="24">
        <f t="shared" si="63"/>
        <v>0.60319003031097396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68.110361547268255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-5.6843418860808015E-14</v>
      </c>
      <c r="BZ131" s="14">
        <f>BY131*VLOOKUP('Données projet'!$B$12,Paramètres!$A$1:$I$89,3,0)*VLOOKUP('Données projet'!$B$12,Paramètres!$A$1:$I$89,5,0)</f>
        <v>-3.1036506698001178E-14</v>
      </c>
      <c r="CA131" s="14" t="e">
        <f t="shared" si="93"/>
        <v>#NUM!</v>
      </c>
      <c r="CB131" s="22" t="e">
        <f t="shared" si="64"/>
        <v>#NUM!</v>
      </c>
      <c r="CC131" s="62" t="e">
        <f t="shared" si="65"/>
        <v>#NUM!</v>
      </c>
      <c r="CD131" s="62">
        <f ca="1">AVERAGE(OFFSET($CC$3,0,0,'Données projet'!$E$12+1,1))-AVERAGE(OFFSET($H$3,0,0,'Données projet'!$E$12+1,1))</f>
        <v>302.37244372118971</v>
      </c>
      <c r="CE131" s="62">
        <f t="shared" si="94"/>
        <v>439.56450354660171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1.0822708399814334</v>
      </c>
      <c r="CL131" s="23">
        <f>EXP(-LN(2)/25)*CL130+(1-EXP(-LN(2)/25))/(LN(2)/25)*Calculateur!CG131*Calculateur!CI131*VLOOKUP('Données projet'!$B$12,Paramètres!$A$1:$I$89,3,0)*0.475*44/12</f>
        <v>1.1166736075057937</v>
      </c>
      <c r="CM131" s="23">
        <f>EXP(-LN(2)/2)*CM130+(1-EXP(-LN(2)/2))/(LN(2)/2)*CG131*CJ131*VLOOKUP('Données projet'!$B$12,Paramètres!$A$1:$I$89,3,0)*0.475*44/12</f>
        <v>2.851245219521637E-14</v>
      </c>
      <c r="CN131" s="24">
        <f t="shared" si="66"/>
        <v>2.1989444474872553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68.110361547268255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2.8421709430404007E-14</v>
      </c>
      <c r="CU131" s="18">
        <f>CT131*VLOOKUP('Données projet'!$B$13,Paramètres!$A$1:$I$89,3,0)*VLOOKUP('Données projet'!$B$13,Paramètres!$A$1:$I$89,5,0)</f>
        <v>2.0838797354372217E-14</v>
      </c>
      <c r="CV131" s="14">
        <f t="shared" si="95"/>
        <v>3.7575774393093487E-13</v>
      </c>
      <c r="CW131" s="22">
        <f t="shared" si="67"/>
        <v>6.9073897607190981E-13</v>
      </c>
      <c r="CX131" s="62">
        <f t="shared" si="68"/>
        <v>286.40465900665095</v>
      </c>
      <c r="CY131" s="62">
        <f ca="1">AVERAGE(OFFSET($CX$3,0,0,'Données projet'!$E$13+1,1))-AVERAGE(OFFSET($H$3,0,0,'Données projet'!$E$13+1,1))</f>
        <v>300.12722359176314</v>
      </c>
      <c r="CZ131" s="62">
        <f t="shared" si="96"/>
        <v>313.35115626175946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0.79364861322214186</v>
      </c>
      <c r="DH131" s="23">
        <f>EXP(-LN(2)/2)*DH130+(1-EXP(-LN(2)/2))/(LN(2)/2)*DB131*DE131*VLOOKUP('Données projet'!$B$13,Paramètres!$A$1:$I$89,3,0)*0.475*44/12</f>
        <v>2.6753016008308226E-14</v>
      </c>
      <c r="DI131" s="24">
        <f t="shared" si="69"/>
        <v>0.79364861322216862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68.110361547268255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68.110361547268255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68.110361547268255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68.110361547268255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68.110361547268255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3.55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13.016666666666666</v>
      </c>
      <c r="H132" s="70">
        <f t="shared" ref="H132:H195" si="110">(B132+E132+F132)*44/12+(C132+D132)*0.475*44/12</f>
        <v>204.6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68.143142549824461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-2.2737367544323206E-13</v>
      </c>
      <c r="O132" s="14">
        <f>N132*VLOOKUP('Données projet'!$B$9,Paramètres!$A$1:$I$89,3,0)*VLOOKUP('Données projet'!$B$9,Paramètres!$A$1:$I$89,5,0)</f>
        <v>-1.2710188457276673E-13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455.44531340185631</v>
      </c>
      <c r="T132" s="62">
        <f t="shared" si="88"/>
        <v>560.14861617544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1.5209496940274345</v>
      </c>
      <c r="AA132" s="23">
        <f>EXP(-LN(2)/25)*AA131+(1-EXP(-LN(2)/25))/(LN(2)/25)*Calculateur!V132*Calculateur!X132*VLOOKUP('Données projet'!$B$9,Paramètres!$A$1:$I$89,3,0)*0.475*44/12</f>
        <v>0.9137492849923522</v>
      </c>
      <c r="AB132" s="23">
        <f>EXP(-LN(2)/2)*AB131+(1-EXP(-LN(2)/2))/(LN(2)/2)*V132*Y132*VLOOKUP('Données projet'!$B$9,Paramètres!$A$1:$I$89,3,0)*0.475*44/12</f>
        <v>1.6673336431008344E-14</v>
      </c>
      <c r="AC132" s="24">
        <f t="shared" ref="AC132:AC153" si="111">SUM(Z132:AB132)</f>
        <v>2.4346989790198035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68.143142549824461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1.9895196601282805E-13</v>
      </c>
      <c r="AJ132" s="14">
        <f>AI132*VLOOKUP('Données projet'!$B$10,Paramètres!$A$1:$I$89,3,0)*VLOOKUP('Données projet'!$B$10,Paramètres!$A$1:$I$89,5,0)</f>
        <v>1.738044375088066E-13</v>
      </c>
      <c r="AK132" s="14">
        <f t="shared" si="89"/>
        <v>2.4483293633950478E-12</v>
      </c>
      <c r="AL132" s="22">
        <f t="shared" ref="AL132:AL153" si="112">(AJ132+AK132)*0.475*44/12</f>
        <v>4.566883036574213E-12</v>
      </c>
      <c r="AM132" s="62">
        <f t="shared" ref="AM132:AM195" si="113">AL132+(AD132+AE132)*44/12</f>
        <v>286.52485601602757</v>
      </c>
      <c r="AN132" s="62">
        <f ca="1">AVERAGE(OFFSET($AM$3,0,0,'Données projet'!$E$10+1,1))-AVERAGE(OFFSET($H$3,0,0,'Données projet'!$E$10+1,1))</f>
        <v>335.71510570470264</v>
      </c>
      <c r="AO132" s="62">
        <f t="shared" si="90"/>
        <v>401.61823018046482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1.6437967834499561</v>
      </c>
      <c r="AW132" s="23">
        <f>EXP(-LN(2)/2)*AW131+(1-EXP(-LN(2)/2))/(LN(2)/2)*AQ132*AT132*VLOOKUP('Données projet'!$B$10,Paramètres!$A$1:$I$89,3,0)*0.475*44/12</f>
        <v>2.2944085269649193E-14</v>
      </c>
      <c r="AX132" s="23">
        <f t="shared" ref="AX132:AX153" si="114">SUM(AU132:AW132)</f>
        <v>1.6437967834499789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68.143142549824461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-5.6843418860808015E-14</v>
      </c>
      <c r="BE132" s="14">
        <f>BD132*VLOOKUP('Données projet'!$B$11,Paramètres!$A$1:$I$89,3,0)*VLOOKUP('Données projet'!$B$11,Paramètres!$A$1:$I$89,5,0)</f>
        <v>-5.1431925385259088E-14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462.677457131175</v>
      </c>
      <c r="BJ132" s="62">
        <f t="shared" si="92"/>
        <v>291.78368401945909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0.58669576721170946</v>
      </c>
      <c r="BR132" s="23">
        <f>EXP(-LN(2)/2)*BR131+(1-EXP(-LN(2)/2))/(LN(2)/2)*BL132*BO132*VLOOKUP('Données projet'!$B$11,Paramètres!$A$1:$I$89,3,0)*0.475*44/12</f>
        <v>1.8727779784075633E-14</v>
      </c>
      <c r="BS132" s="24">
        <f t="shared" ref="BS132:BS153" si="117">SUM(BP132:BR132)</f>
        <v>0.58669576721172823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68.143142549824461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-5.6843418860808015E-14</v>
      </c>
      <c r="BZ132" s="14">
        <f>BY132*VLOOKUP('Données projet'!$B$12,Paramètres!$A$1:$I$89,3,0)*VLOOKUP('Données projet'!$B$12,Paramètres!$A$1:$I$89,5,0)</f>
        <v>-3.1036506698001178E-14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2" t="e">
        <f t="shared" ref="CC132:CC195" si="119">CB132+(BT132+BU132)*44/12</f>
        <v>#NUM!</v>
      </c>
      <c r="CD132" s="62">
        <f ca="1">AVERAGE(OFFSET($CC$3,0,0,'Données projet'!$E$12+1,1))-AVERAGE(OFFSET($H$3,0,0,'Données projet'!$E$12+1,1))</f>
        <v>302.37244372118971</v>
      </c>
      <c r="CE132" s="62">
        <f t="shared" si="94"/>
        <v>439.56450354660171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1.0610481689294284</v>
      </c>
      <c r="CL132" s="23">
        <f>EXP(-LN(2)/25)*CL131+(1-EXP(-LN(2)/25))/(LN(2)/25)*Calculateur!CG132*Calculateur!CI132*VLOOKUP('Données projet'!$B$12,Paramètres!$A$1:$I$89,3,0)*0.475*44/12</f>
        <v>1.0861381089852349</v>
      </c>
      <c r="CM132" s="23">
        <f>EXP(-LN(2)/2)*CM131+(1-EXP(-LN(2)/2))/(LN(2)/2)*CG132*CJ132*VLOOKUP('Données projet'!$B$12,Paramètres!$A$1:$I$89,3,0)*0.475*44/12</f>
        <v>2.0161348295494758E-14</v>
      </c>
      <c r="CN132" s="24">
        <f t="shared" ref="CN132:CN153" si="120">SUM(CK132:CM132)</f>
        <v>2.1471862779146833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68.143142549824461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2.8421709430404007E-14</v>
      </c>
      <c r="CU132" s="18">
        <f>CT132*VLOOKUP('Données projet'!$B$13,Paramètres!$A$1:$I$89,3,0)*VLOOKUP('Données projet'!$B$13,Paramètres!$A$1:$I$89,5,0)</f>
        <v>2.0838797354372217E-14</v>
      </c>
      <c r="CV132" s="14">
        <f t="shared" si="95"/>
        <v>3.7575774393093487E-13</v>
      </c>
      <c r="CW132" s="22">
        <f t="shared" ref="CW132:CW153" si="121">(CU132+CV132)*0.475*44/12</f>
        <v>6.9073897607190981E-13</v>
      </c>
      <c r="CX132" s="62">
        <f t="shared" ref="CX132:CX195" si="122">CW132+(CO132+CP132)*44/12</f>
        <v>286.5248560160237</v>
      </c>
      <c r="CY132" s="62">
        <f ca="1">AVERAGE(OFFSET($CX$3,0,0,'Données projet'!$E$13+1,1))-AVERAGE(OFFSET($H$3,0,0,'Données projet'!$E$13+1,1))</f>
        <v>300.12722359176314</v>
      </c>
      <c r="CZ132" s="62">
        <f t="shared" si="96"/>
        <v>313.35115626175946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0.77194625015741569</v>
      </c>
      <c r="DH132" s="23">
        <f>EXP(-LN(2)/2)*DH131+(1-EXP(-LN(2)/2))/(LN(2)/2)*DB132*DE132*VLOOKUP('Données projet'!$B$13,Paramètres!$A$1:$I$89,3,0)*0.475*44/12</f>
        <v>1.8917239036667007E-14</v>
      </c>
      <c r="DI132" s="24">
        <f t="shared" ref="DI132:DI153" si="123">SUM(DF132:DH132)</f>
        <v>0.77194625015743457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68.143142549824461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68.143142549824461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68.143142549824461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68.143142549824461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68.143142549824461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3.55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13.016666666666666</v>
      </c>
      <c r="H133" s="70">
        <f t="shared" si="110"/>
        <v>204.6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68.175354875273669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-2.2737367544323206E-13</v>
      </c>
      <c r="O133" s="14">
        <f>N133*VLOOKUP('Données projet'!$B$9,Paramètres!$A$1:$I$89,3,0)*VLOOKUP('Données projet'!$B$9,Paramètres!$A$1:$I$89,5,0)</f>
        <v>-1.2710188457276673E-13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455.44531340185631</v>
      </c>
      <c r="T133" s="62">
        <f t="shared" ref="T133:T196" si="142">$T$3</f>
        <v>560.14861617544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1.4911247982152682</v>
      </c>
      <c r="AA133" s="23">
        <f>EXP(-LN(2)/25)*AA132+(1-EXP(-LN(2)/25))/(LN(2)/25)*Calculateur!V133*Calculateur!X133*VLOOKUP('Données projet'!$B$9,Paramètres!$A$1:$I$89,3,0)*0.475*44/12</f>
        <v>0.88876276274224986</v>
      </c>
      <c r="AB133" s="23">
        <f>EXP(-LN(2)/2)*AB132+(1-EXP(-LN(2)/2))/(LN(2)/2)*V133*Y133*VLOOKUP('Données projet'!$B$9,Paramètres!$A$1:$I$89,3,0)*0.475*44/12</f>
        <v>1.1789829255370709E-14</v>
      </c>
      <c r="AC133" s="24">
        <f t="shared" si="111"/>
        <v>2.3798875609575298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68.175354875273669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1.9895196601282805E-13</v>
      </c>
      <c r="AJ133" s="14">
        <f>AI133*VLOOKUP('Données projet'!$B$10,Paramètres!$A$1:$I$89,3,0)*VLOOKUP('Données projet'!$B$10,Paramètres!$A$1:$I$89,5,0)</f>
        <v>1.738044375088066E-13</v>
      </c>
      <c r="AK133" s="14">
        <f t="shared" ref="AK133:AK153" si="143">EXP(-1.0587+0.8836*LN(AJ133)+0.284)</f>
        <v>2.4483293633950478E-12</v>
      </c>
      <c r="AL133" s="22">
        <f t="shared" si="112"/>
        <v>4.566883036574213E-12</v>
      </c>
      <c r="AM133" s="62">
        <f t="shared" si="113"/>
        <v>286.64296787600802</v>
      </c>
      <c r="AN133" s="62">
        <f ca="1">AVERAGE(OFFSET($AM$3,0,0,'Données projet'!$E$10+1,1))-AVERAGE(OFFSET($H$3,0,0,'Données projet'!$E$10+1,1))</f>
        <v>335.71510570470264</v>
      </c>
      <c r="AO133" s="62">
        <f t="shared" ref="AO133:AO196" si="144">$AO$3</f>
        <v>401.61823018046482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1.5988470739630012</v>
      </c>
      <c r="AW133" s="23">
        <f>EXP(-LN(2)/2)*AW132+(1-EXP(-LN(2)/2))/(LN(2)/2)*AQ133*AT133*VLOOKUP('Données projet'!$B$10,Paramètres!$A$1:$I$89,3,0)*0.475*44/12</f>
        <v>1.622391828229132E-14</v>
      </c>
      <c r="AX133" s="23">
        <f t="shared" si="114"/>
        <v>1.5988470739630174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68.175354875273669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-5.6843418860808015E-14</v>
      </c>
      <c r="BE133" s="14">
        <f>BD133*VLOOKUP('Données projet'!$B$11,Paramètres!$A$1:$I$89,3,0)*VLOOKUP('Données projet'!$B$11,Paramètres!$A$1:$I$89,5,0)</f>
        <v>-5.1431925385259088E-14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462.677457131175</v>
      </c>
      <c r="BJ133" s="62">
        <f t="shared" ref="BJ133:BJ196" si="146">$BJ$3</f>
        <v>291.78368401945909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0.57065254060431581</v>
      </c>
      <c r="BR133" s="23">
        <f>EXP(-LN(2)/2)*BR132+(1-EXP(-LN(2)/2))/(LN(2)/2)*BL133*BO133*VLOOKUP('Données projet'!$B$11,Paramètres!$A$1:$I$89,3,0)*0.475*44/12</f>
        <v>1.3242540081888217E-14</v>
      </c>
      <c r="BS133" s="24">
        <f t="shared" si="117"/>
        <v>0.57065254060432902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68.175354875273669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-5.6843418860808015E-14</v>
      </c>
      <c r="BZ133" s="14">
        <f>BY133*VLOOKUP('Données projet'!$B$12,Paramètres!$A$1:$I$89,3,0)*VLOOKUP('Données projet'!$B$12,Paramètres!$A$1:$I$89,5,0)</f>
        <v>-3.1036506698001178E-14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2" t="e">
        <f t="shared" si="119"/>
        <v>#NUM!</v>
      </c>
      <c r="CD133" s="62">
        <f ca="1">AVERAGE(OFFSET($CC$3,0,0,'Données projet'!$E$12+1,1))-AVERAGE(OFFSET($H$3,0,0,'Données projet'!$E$12+1,1))</f>
        <v>302.37244372118971</v>
      </c>
      <c r="CE133" s="62">
        <f t="shared" ref="CE133:CE196" si="148">$CE$3</f>
        <v>439.56450354660171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1.0402416615122021</v>
      </c>
      <c r="CL133" s="23">
        <f>EXP(-LN(2)/25)*CL132+(1-EXP(-LN(2)/25))/(LN(2)/25)*Calculateur!CG133*Calculateur!CI133*VLOOKUP('Données projet'!$B$12,Paramètres!$A$1:$I$89,3,0)*0.475*44/12</f>
        <v>1.0564376052775128</v>
      </c>
      <c r="CM133" s="23">
        <f>EXP(-LN(2)/2)*CM132+(1-EXP(-LN(2)/2))/(LN(2)/2)*CG133*CJ133*VLOOKUP('Données projet'!$B$12,Paramètres!$A$1:$I$89,3,0)*0.475*44/12</f>
        <v>1.4256226097608185E-14</v>
      </c>
      <c r="CN133" s="24">
        <f t="shared" si="120"/>
        <v>2.0966792667897289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68.175354875273669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2.8421709430404007E-14</v>
      </c>
      <c r="CU133" s="18">
        <f>CT133*VLOOKUP('Données projet'!$B$13,Paramètres!$A$1:$I$89,3,0)*VLOOKUP('Données projet'!$B$13,Paramètres!$A$1:$I$89,5,0)</f>
        <v>2.0838797354372217E-14</v>
      </c>
      <c r="CV133" s="14">
        <f t="shared" ref="CV133:CV153" si="149">EXP(-1.0587+0.8836*LN(CU133)+0.284)</f>
        <v>3.7575774393093487E-13</v>
      </c>
      <c r="CW133" s="22">
        <f t="shared" si="121"/>
        <v>6.9073897607190981E-13</v>
      </c>
      <c r="CX133" s="62">
        <f t="shared" si="122"/>
        <v>286.64296787600415</v>
      </c>
      <c r="CY133" s="62">
        <f ca="1">AVERAGE(OFFSET($CX$3,0,0,'Données projet'!$E$13+1,1))-AVERAGE(OFFSET($H$3,0,0,'Données projet'!$E$13+1,1))</f>
        <v>300.12722359176314</v>
      </c>
      <c r="CZ133" s="62">
        <f t="shared" ref="CZ133:CZ196" si="150">$CZ$3</f>
        <v>313.35115626175946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0.75083733935197217</v>
      </c>
      <c r="DH133" s="23">
        <f>EXP(-LN(2)/2)*DH132+(1-EXP(-LN(2)/2))/(LN(2)/2)*DB133*DE133*VLOOKUP('Données projet'!$B$13,Paramètres!$A$1:$I$89,3,0)*0.475*44/12</f>
        <v>1.3376508004154113E-14</v>
      </c>
      <c r="DI133" s="24">
        <f t="shared" si="123"/>
        <v>0.75083733935198549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68.175354875273669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68.175354875273669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68.175354875273669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68.175354875273669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68.175354875273669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3.55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13.016666666666666</v>
      </c>
      <c r="H134" s="70">
        <f t="shared" si="110"/>
        <v>204.6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68.207008388892291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-2.2737367544323206E-13</v>
      </c>
      <c r="O134" s="14">
        <f>N134*VLOOKUP('Données projet'!$B$9,Paramètres!$A$1:$I$89,3,0)*VLOOKUP('Données projet'!$B$9,Paramètres!$A$1:$I$89,5,0)</f>
        <v>-1.2710188457276673E-13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455.44531340185631</v>
      </c>
      <c r="T134" s="62">
        <f t="shared" si="142"/>
        <v>560.14861617544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1.4618847504185883</v>
      </c>
      <c r="AA134" s="23">
        <f>EXP(-LN(2)/25)*AA133+(1-EXP(-LN(2)/25))/(LN(2)/25)*Calculateur!V134*Calculateur!X134*VLOOKUP('Données projet'!$B$9,Paramètres!$A$1:$I$89,3,0)*0.475*44/12</f>
        <v>0.86445949825706059</v>
      </c>
      <c r="AB134" s="23">
        <f>EXP(-LN(2)/2)*AB133+(1-EXP(-LN(2)/2))/(LN(2)/2)*V134*Y134*VLOOKUP('Données projet'!$B$9,Paramètres!$A$1:$I$89,3,0)*0.475*44/12</f>
        <v>8.3366682155041722E-15</v>
      </c>
      <c r="AC134" s="24">
        <f t="shared" si="111"/>
        <v>2.3263442486756571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68.207008388892291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1.9895196601282805E-13</v>
      </c>
      <c r="AJ134" s="14">
        <f>AI134*VLOOKUP('Données projet'!$B$10,Paramètres!$A$1:$I$89,3,0)*VLOOKUP('Données projet'!$B$10,Paramètres!$A$1:$I$89,5,0)</f>
        <v>1.738044375088066E-13</v>
      </c>
      <c r="AK134" s="14">
        <f t="shared" si="143"/>
        <v>2.4483293633950478E-12</v>
      </c>
      <c r="AL134" s="22">
        <f t="shared" si="112"/>
        <v>4.566883036574213E-12</v>
      </c>
      <c r="AM134" s="62">
        <f t="shared" si="113"/>
        <v>286.7590307592763</v>
      </c>
      <c r="AN134" s="62">
        <f ca="1">AVERAGE(OFFSET($AM$3,0,0,'Données projet'!$E$10+1,1))-AVERAGE(OFFSET($H$3,0,0,'Données projet'!$E$10+1,1))</f>
        <v>335.71510570470264</v>
      </c>
      <c r="AO134" s="62">
        <f t="shared" si="144"/>
        <v>401.61823018046482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1.5551265166457695</v>
      </c>
      <c r="AW134" s="23">
        <f>EXP(-LN(2)/2)*AW133+(1-EXP(-LN(2)/2))/(LN(2)/2)*AQ134*AT134*VLOOKUP('Données projet'!$B$10,Paramètres!$A$1:$I$89,3,0)*0.475*44/12</f>
        <v>1.1472042634824596E-14</v>
      </c>
      <c r="AX134" s="23">
        <f t="shared" si="114"/>
        <v>1.5551265166457811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68.207008388892291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-5.6843418860808015E-14</v>
      </c>
      <c r="BE134" s="14">
        <f>BD134*VLOOKUP('Données projet'!$B$11,Paramètres!$A$1:$I$89,3,0)*VLOOKUP('Données projet'!$B$11,Paramètres!$A$1:$I$89,5,0)</f>
        <v>-5.1431925385259088E-14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462.677457131175</v>
      </c>
      <c r="BJ134" s="62">
        <f t="shared" si="146"/>
        <v>291.78368401945909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0.55504801687217797</v>
      </c>
      <c r="BR134" s="23">
        <f>EXP(-LN(2)/2)*BR133+(1-EXP(-LN(2)/2))/(LN(2)/2)*BL134*BO134*VLOOKUP('Données projet'!$B$11,Paramètres!$A$1:$I$89,3,0)*0.475*44/12</f>
        <v>9.3638898920378163E-15</v>
      </c>
      <c r="BS134" s="24">
        <f t="shared" si="117"/>
        <v>0.5550480168721873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68.207008388892291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-5.6843418860808015E-14</v>
      </c>
      <c r="BZ134" s="14">
        <f>BY134*VLOOKUP('Données projet'!$B$12,Paramètres!$A$1:$I$89,3,0)*VLOOKUP('Données projet'!$B$12,Paramètres!$A$1:$I$89,5,0)</f>
        <v>-3.1036506698001178E-14</v>
      </c>
      <c r="CA134" s="14" t="e">
        <f t="shared" si="147"/>
        <v>#NUM!</v>
      </c>
      <c r="CB134" s="22" t="e">
        <f t="shared" si="118"/>
        <v>#NUM!</v>
      </c>
      <c r="CC134" s="62" t="e">
        <f t="shared" si="119"/>
        <v>#NUM!</v>
      </c>
      <c r="CD134" s="62">
        <f ca="1">AVERAGE(OFFSET($CC$3,0,0,'Données projet'!$E$12+1,1))-AVERAGE(OFFSET($H$3,0,0,'Données projet'!$E$12+1,1))</f>
        <v>302.37244372118971</v>
      </c>
      <c r="CE134" s="62">
        <f t="shared" si="148"/>
        <v>439.56450354660171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1.0198431570147111</v>
      </c>
      <c r="CL134" s="23">
        <f>EXP(-LN(2)/25)*CL133+(1-EXP(-LN(2)/25))/(LN(2)/25)*Calculateur!CG134*Calculateur!CI134*VLOOKUP('Données projet'!$B$12,Paramètres!$A$1:$I$89,3,0)*0.475*44/12</f>
        <v>1.0275492634055601</v>
      </c>
      <c r="CM134" s="23">
        <f>EXP(-LN(2)/2)*CM133+(1-EXP(-LN(2)/2))/(LN(2)/2)*CG134*CJ134*VLOOKUP('Données projet'!$B$12,Paramètres!$A$1:$I$89,3,0)*0.475*44/12</f>
        <v>1.0080674147747379E-14</v>
      </c>
      <c r="CN134" s="24">
        <f t="shared" si="120"/>
        <v>2.0473924204202816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68.207008388892291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2.8421709430404007E-14</v>
      </c>
      <c r="CU134" s="18">
        <f>CT134*VLOOKUP('Données projet'!$B$13,Paramètres!$A$1:$I$89,3,0)*VLOOKUP('Données projet'!$B$13,Paramètres!$A$1:$I$89,5,0)</f>
        <v>2.0838797354372217E-14</v>
      </c>
      <c r="CV134" s="14">
        <f t="shared" si="149"/>
        <v>3.7575774393093487E-13</v>
      </c>
      <c r="CW134" s="22">
        <f t="shared" si="121"/>
        <v>6.9073897607190981E-13</v>
      </c>
      <c r="CX134" s="62">
        <f t="shared" si="122"/>
        <v>286.75903075927243</v>
      </c>
      <c r="CY134" s="62">
        <f ca="1">AVERAGE(OFFSET($CX$3,0,0,'Données projet'!$E$13+1,1))-AVERAGE(OFFSET($H$3,0,0,'Données projet'!$E$13+1,1))</f>
        <v>300.12722359176314</v>
      </c>
      <c r="CZ134" s="62">
        <f t="shared" si="150"/>
        <v>313.35115626175946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0.73030565282257287</v>
      </c>
      <c r="DH134" s="23">
        <f>EXP(-LN(2)/2)*DH133+(1-EXP(-LN(2)/2))/(LN(2)/2)*DB134*DE134*VLOOKUP('Données projet'!$B$13,Paramètres!$A$1:$I$89,3,0)*0.475*44/12</f>
        <v>9.4586195183335037E-15</v>
      </c>
      <c r="DI134" s="24">
        <f t="shared" si="123"/>
        <v>0.73030565282258231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68.207008388892291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68.207008388892291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68.207008388892291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68.207008388892291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68.207008388892291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3.55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13.016666666666666</v>
      </c>
      <c r="H135" s="70">
        <f t="shared" si="110"/>
        <v>204.6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68.238112784816281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-2.2737367544323206E-13</v>
      </c>
      <c r="O135" s="14">
        <f>N135*VLOOKUP('Données projet'!$B$9,Paramètres!$A$1:$I$89,3,0)*VLOOKUP('Données projet'!$B$9,Paramètres!$A$1:$I$89,5,0)</f>
        <v>-1.2710188457276673E-13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455.44531340185631</v>
      </c>
      <c r="T135" s="62">
        <f t="shared" si="142"/>
        <v>560.14861617544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1.4332180821245333</v>
      </c>
      <c r="AA135" s="23">
        <f>EXP(-LN(2)/25)*AA134+(1-EXP(-LN(2)/25))/(LN(2)/25)*Calculateur!V135*Calculateur!X135*VLOOKUP('Données projet'!$B$9,Paramètres!$A$1:$I$89,3,0)*0.475*44/12</f>
        <v>0.84082080781727198</v>
      </c>
      <c r="AB135" s="23">
        <f>EXP(-LN(2)/2)*AB134+(1-EXP(-LN(2)/2))/(LN(2)/2)*V135*Y135*VLOOKUP('Données projet'!$B$9,Paramètres!$A$1:$I$89,3,0)*0.475*44/12</f>
        <v>5.8949146276853544E-15</v>
      </c>
      <c r="AC135" s="24">
        <f t="shared" si="111"/>
        <v>2.2740388899418109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68.238112784816281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1.9895196601282805E-13</v>
      </c>
      <c r="AJ135" s="14">
        <f>AI135*VLOOKUP('Données projet'!$B$10,Paramètres!$A$1:$I$89,3,0)*VLOOKUP('Données projet'!$B$10,Paramètres!$A$1:$I$89,5,0)</f>
        <v>1.738044375088066E-13</v>
      </c>
      <c r="AK135" s="14">
        <f t="shared" si="143"/>
        <v>2.4483293633950478E-12</v>
      </c>
      <c r="AL135" s="22">
        <f t="shared" si="112"/>
        <v>4.566883036574213E-12</v>
      </c>
      <c r="AM135" s="62">
        <f t="shared" si="113"/>
        <v>286.87308021099756</v>
      </c>
      <c r="AN135" s="62">
        <f ca="1">AVERAGE(OFFSET($AM$3,0,0,'Données projet'!$E$10+1,1))-AVERAGE(OFFSET($H$3,0,0,'Données projet'!$E$10+1,1))</f>
        <v>335.71510570470264</v>
      </c>
      <c r="AO135" s="62">
        <f t="shared" si="144"/>
        <v>401.61823018046482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1.5126015002675417</v>
      </c>
      <c r="AW135" s="23">
        <f>EXP(-LN(2)/2)*AW134+(1-EXP(-LN(2)/2))/(LN(2)/2)*AQ135*AT135*VLOOKUP('Données projet'!$B$10,Paramètres!$A$1:$I$89,3,0)*0.475*44/12</f>
        <v>8.1119591411456599E-15</v>
      </c>
      <c r="AX135" s="23">
        <f t="shared" si="114"/>
        <v>1.5126015002675499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68.238112784816281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-5.6843418860808015E-14</v>
      </c>
      <c r="BE135" s="14">
        <f>BD135*VLOOKUP('Données projet'!$B$11,Paramètres!$A$1:$I$89,3,0)*VLOOKUP('Données projet'!$B$11,Paramètres!$A$1:$I$89,5,0)</f>
        <v>-5.1431925385259088E-14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462.677457131175</v>
      </c>
      <c r="BJ135" s="62">
        <f t="shared" si="146"/>
        <v>291.78368401945909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0.53987019966210159</v>
      </c>
      <c r="BR135" s="23">
        <f>EXP(-LN(2)/2)*BR134+(1-EXP(-LN(2)/2))/(LN(2)/2)*BL135*BO135*VLOOKUP('Données projet'!$B$11,Paramètres!$A$1:$I$89,3,0)*0.475*44/12</f>
        <v>6.6212700409441083E-15</v>
      </c>
      <c r="BS135" s="24">
        <f t="shared" si="117"/>
        <v>0.53987019966210825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68.238112784816281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-5.6843418860808015E-14</v>
      </c>
      <c r="BZ135" s="14">
        <f>BY135*VLOOKUP('Données projet'!$B$12,Paramètres!$A$1:$I$89,3,0)*VLOOKUP('Données projet'!$B$12,Paramètres!$A$1:$I$89,5,0)</f>
        <v>-3.1036506698001178E-14</v>
      </c>
      <c r="CA135" s="14" t="e">
        <f t="shared" si="147"/>
        <v>#NUM!</v>
      </c>
      <c r="CB135" s="22" t="e">
        <f t="shared" si="118"/>
        <v>#NUM!</v>
      </c>
      <c r="CC135" s="62" t="e">
        <f t="shared" si="119"/>
        <v>#NUM!</v>
      </c>
      <c r="CD135" s="62">
        <f ca="1">AVERAGE(OFFSET($CC$3,0,0,'Données projet'!$E$12+1,1))-AVERAGE(OFFSET($H$3,0,0,'Données projet'!$E$12+1,1))</f>
        <v>302.37244372118971</v>
      </c>
      <c r="CE135" s="62">
        <f t="shared" si="148"/>
        <v>439.56450354660171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0.99984465474855677</v>
      </c>
      <c r="CL135" s="23">
        <f>EXP(-LN(2)/25)*CL134+(1-EXP(-LN(2)/25))/(LN(2)/25)*Calculateur!CG135*Calculateur!CI135*VLOOKUP('Données projet'!$B$12,Paramètres!$A$1:$I$89,3,0)*0.475*44/12</f>
        <v>0.99945087476126782</v>
      </c>
      <c r="CM135" s="23">
        <f>EXP(-LN(2)/2)*CM134+(1-EXP(-LN(2)/2))/(LN(2)/2)*CG135*CJ135*VLOOKUP('Données projet'!$B$12,Paramètres!$A$1:$I$89,3,0)*0.475*44/12</f>
        <v>7.1281130488040924E-15</v>
      </c>
      <c r="CN135" s="24">
        <f t="shared" si="120"/>
        <v>1.9992955295098316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68.238112784816281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2.8421709430404007E-14</v>
      </c>
      <c r="CU135" s="18">
        <f>CT135*VLOOKUP('Données projet'!$B$13,Paramètres!$A$1:$I$89,3,0)*VLOOKUP('Données projet'!$B$13,Paramètres!$A$1:$I$89,5,0)</f>
        <v>2.0838797354372217E-14</v>
      </c>
      <c r="CV135" s="14">
        <f t="shared" si="149"/>
        <v>3.7575774393093487E-13</v>
      </c>
      <c r="CW135" s="22">
        <f t="shared" si="121"/>
        <v>6.9073897607190981E-13</v>
      </c>
      <c r="CX135" s="62">
        <f t="shared" si="122"/>
        <v>286.87308021099369</v>
      </c>
      <c r="CY135" s="62">
        <f ca="1">AVERAGE(OFFSET($CX$3,0,0,'Données projet'!$E$13+1,1))-AVERAGE(OFFSET($H$3,0,0,'Données projet'!$E$13+1,1))</f>
        <v>300.12722359176314</v>
      </c>
      <c r="CZ135" s="62">
        <f t="shared" si="150"/>
        <v>313.35115626175946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0.71033540634103443</v>
      </c>
      <c r="DH135" s="23">
        <f>EXP(-LN(2)/2)*DH134+(1-EXP(-LN(2)/2))/(LN(2)/2)*DB135*DE135*VLOOKUP('Données projet'!$B$13,Paramètres!$A$1:$I$89,3,0)*0.475*44/12</f>
        <v>6.6882540020770564E-15</v>
      </c>
      <c r="DI135" s="24">
        <f t="shared" si="123"/>
        <v>0.71033540634104109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68.238112784816281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68.238112784816281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68.238112784816281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68.238112784816281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68.238112784816281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3.55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13.016666666666666</v>
      </c>
      <c r="H136" s="70">
        <f t="shared" si="110"/>
        <v>204.6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68.268677589010011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-2.2737367544323206E-13</v>
      </c>
      <c r="O136" s="14">
        <f>N136*VLOOKUP('Données projet'!$B$9,Paramètres!$A$1:$I$89,3,0)*VLOOKUP('Données projet'!$B$9,Paramètres!$A$1:$I$89,5,0)</f>
        <v>-1.2710188457276673E-13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455.44531340185631</v>
      </c>
      <c r="T136" s="62">
        <f t="shared" si="142"/>
        <v>560.14861617544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1.4051135497107834</v>
      </c>
      <c r="AA136" s="23">
        <f>EXP(-LN(2)/25)*AA135+(1-EXP(-LN(2)/25))/(LN(2)/25)*Calculateur!V136*Calculateur!X136*VLOOKUP('Données projet'!$B$9,Paramètres!$A$1:$I$89,3,0)*0.475*44/12</f>
        <v>0.81782851861066408</v>
      </c>
      <c r="AB136" s="23">
        <f>EXP(-LN(2)/2)*AB135+(1-EXP(-LN(2)/2))/(LN(2)/2)*V136*Y136*VLOOKUP('Données projet'!$B$9,Paramètres!$A$1:$I$89,3,0)*0.475*44/12</f>
        <v>4.1683341077520861E-15</v>
      </c>
      <c r="AC136" s="24">
        <f t="shared" si="111"/>
        <v>2.2229420683214514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68.268677589010011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1.9895196601282805E-13</v>
      </c>
      <c r="AJ136" s="14">
        <f>AI136*VLOOKUP('Données projet'!$B$10,Paramètres!$A$1:$I$89,3,0)*VLOOKUP('Données projet'!$B$10,Paramètres!$A$1:$I$89,5,0)</f>
        <v>1.738044375088066E-13</v>
      </c>
      <c r="AK136" s="14">
        <f t="shared" si="143"/>
        <v>2.4483293633950478E-12</v>
      </c>
      <c r="AL136" s="22">
        <f t="shared" si="112"/>
        <v>4.566883036574213E-12</v>
      </c>
      <c r="AM136" s="62">
        <f t="shared" si="113"/>
        <v>286.98515115970793</v>
      </c>
      <c r="AN136" s="62">
        <f ca="1">AVERAGE(OFFSET($AM$3,0,0,'Données projet'!$E$10+1,1))-AVERAGE(OFFSET($H$3,0,0,'Données projet'!$E$10+1,1))</f>
        <v>335.71510570470264</v>
      </c>
      <c r="AO136" s="62">
        <f t="shared" si="144"/>
        <v>401.61823018046482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1.4712393326984701</v>
      </c>
      <c r="AW136" s="23">
        <f>EXP(-LN(2)/2)*AW135+(1-EXP(-LN(2)/2))/(LN(2)/2)*AQ136*AT136*VLOOKUP('Données projet'!$B$10,Paramètres!$A$1:$I$89,3,0)*0.475*44/12</f>
        <v>5.7360213174122982E-15</v>
      </c>
      <c r="AX136" s="23">
        <f t="shared" si="114"/>
        <v>1.4712393326984758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68.268677589010011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-5.6843418860808015E-14</v>
      </c>
      <c r="BE136" s="14">
        <f>BD136*VLOOKUP('Données projet'!$B$11,Paramètres!$A$1:$I$89,3,0)*VLOOKUP('Données projet'!$B$11,Paramètres!$A$1:$I$89,5,0)</f>
        <v>-5.1431925385259088E-14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462.677457131175</v>
      </c>
      <c r="BJ136" s="62">
        <f t="shared" si="146"/>
        <v>291.78368401945909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0.52510742066180149</v>
      </c>
      <c r="BR136" s="23">
        <f>EXP(-LN(2)/2)*BR135+(1-EXP(-LN(2)/2))/(LN(2)/2)*BL136*BO136*VLOOKUP('Données projet'!$B$11,Paramètres!$A$1:$I$89,3,0)*0.475*44/12</f>
        <v>4.6819449460189081E-15</v>
      </c>
      <c r="BS136" s="24">
        <f t="shared" si="117"/>
        <v>0.52510742066180616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68.268677589010011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-5.6843418860808015E-14</v>
      </c>
      <c r="BZ136" s="14">
        <f>BY136*VLOOKUP('Données projet'!$B$12,Paramètres!$A$1:$I$89,3,0)*VLOOKUP('Données projet'!$B$12,Paramètres!$A$1:$I$89,5,0)</f>
        <v>-3.1036506698001178E-14</v>
      </c>
      <c r="CA136" s="14" t="e">
        <f t="shared" si="147"/>
        <v>#NUM!</v>
      </c>
      <c r="CB136" s="22" t="e">
        <f t="shared" si="118"/>
        <v>#NUM!</v>
      </c>
      <c r="CC136" s="62" t="e">
        <f t="shared" si="119"/>
        <v>#NUM!</v>
      </c>
      <c r="CD136" s="62">
        <f ca="1">AVERAGE(OFFSET($CC$3,0,0,'Données projet'!$E$12+1,1))-AVERAGE(OFFSET($H$3,0,0,'Données projet'!$E$12+1,1))</f>
        <v>302.37244372118971</v>
      </c>
      <c r="CE136" s="62">
        <f t="shared" si="148"/>
        <v>439.56450354660171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0.98023831091395974</v>
      </c>
      <c r="CL136" s="23">
        <f>EXP(-LN(2)/25)*CL135+(1-EXP(-LN(2)/25))/(LN(2)/25)*Calculateur!CG136*Calculateur!CI136*VLOOKUP('Données projet'!$B$12,Paramètres!$A$1:$I$89,3,0)*0.475*44/12</f>
        <v>0.97212083803208371</v>
      </c>
      <c r="CM136" s="23">
        <f>EXP(-LN(2)/2)*CM135+(1-EXP(-LN(2)/2))/(LN(2)/2)*CG136*CJ136*VLOOKUP('Données projet'!$B$12,Paramètres!$A$1:$I$89,3,0)*0.475*44/12</f>
        <v>5.0403370738736896E-15</v>
      </c>
      <c r="CN136" s="24">
        <f t="shared" si="120"/>
        <v>1.9523591489460486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68.268677589010011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2.8421709430404007E-14</v>
      </c>
      <c r="CU136" s="18">
        <f>CT136*VLOOKUP('Données projet'!$B$13,Paramètres!$A$1:$I$89,3,0)*VLOOKUP('Données projet'!$B$13,Paramètres!$A$1:$I$89,5,0)</f>
        <v>2.0838797354372217E-14</v>
      </c>
      <c r="CV136" s="14">
        <f t="shared" si="149"/>
        <v>3.7575774393093487E-13</v>
      </c>
      <c r="CW136" s="22">
        <f t="shared" si="121"/>
        <v>6.9073897607190981E-13</v>
      </c>
      <c r="CX136" s="62">
        <f t="shared" si="122"/>
        <v>286.98515115970406</v>
      </c>
      <c r="CY136" s="62">
        <f ca="1">AVERAGE(OFFSET($CX$3,0,0,'Données projet'!$E$13+1,1))-AVERAGE(OFFSET($H$3,0,0,'Données projet'!$E$13+1,1))</f>
        <v>300.12722359176314</v>
      </c>
      <c r="CZ136" s="62">
        <f t="shared" si="150"/>
        <v>313.35115626175946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0.69091124729972331</v>
      </c>
      <c r="DH136" s="23">
        <f>EXP(-LN(2)/2)*DH135+(1-EXP(-LN(2)/2))/(LN(2)/2)*DB136*DE136*VLOOKUP('Données projet'!$B$13,Paramètres!$A$1:$I$89,3,0)*0.475*44/12</f>
        <v>4.7293097591667518E-15</v>
      </c>
      <c r="DI136" s="24">
        <f t="shared" si="123"/>
        <v>0.69091124729972808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68.268677589010011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68.268677589010011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68.268677589010011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68.268677589010011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68.268677589010011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3.55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13.016666666666666</v>
      </c>
      <c r="H137" s="70">
        <f t="shared" si="110"/>
        <v>204.6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68.298712162183648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-2.2737367544323206E-13</v>
      </c>
      <c r="O137" s="14">
        <f>N137*VLOOKUP('Données projet'!$B$9,Paramètres!$A$1:$I$89,3,0)*VLOOKUP('Données projet'!$B$9,Paramètres!$A$1:$I$89,5,0)</f>
        <v>-1.2710188457276673E-13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455.44531340185631</v>
      </c>
      <c r="T137" s="62">
        <f t="shared" si="142"/>
        <v>560.14861617544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1.3775601300355951</v>
      </c>
      <c r="AA137" s="23">
        <f>EXP(-LN(2)/25)*AA136+(1-EXP(-LN(2)/25))/(LN(2)/25)*Calculateur!V137*Calculateur!X137*VLOOKUP('Données projet'!$B$9,Paramètres!$A$1:$I$89,3,0)*0.475*44/12</f>
        <v>0.7954649547615229</v>
      </c>
      <c r="AB137" s="23">
        <f>EXP(-LN(2)/2)*AB136+(1-EXP(-LN(2)/2))/(LN(2)/2)*V137*Y137*VLOOKUP('Données projet'!$B$9,Paramètres!$A$1:$I$89,3,0)*0.475*44/12</f>
        <v>2.9474573138426772E-15</v>
      </c>
      <c r="AC137" s="24">
        <f t="shared" si="111"/>
        <v>2.1730250847971209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68.298712162183648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1.9895196601282805E-13</v>
      </c>
      <c r="AJ137" s="14">
        <f>AI137*VLOOKUP('Données projet'!$B$10,Paramètres!$A$1:$I$89,3,0)*VLOOKUP('Données projet'!$B$10,Paramètres!$A$1:$I$89,5,0)</f>
        <v>1.738044375088066E-13</v>
      </c>
      <c r="AK137" s="14">
        <f t="shared" si="143"/>
        <v>2.4483293633950478E-12</v>
      </c>
      <c r="AL137" s="22">
        <f t="shared" si="112"/>
        <v>4.566883036574213E-12</v>
      </c>
      <c r="AM137" s="62">
        <f t="shared" si="113"/>
        <v>287.09527792801128</v>
      </c>
      <c r="AN137" s="62">
        <f ca="1">AVERAGE(OFFSET($AM$3,0,0,'Données projet'!$E$10+1,1))-AVERAGE(OFFSET($H$3,0,0,'Données projet'!$E$10+1,1))</f>
        <v>335.71510570470264</v>
      </c>
      <c r="AO137" s="62">
        <f t="shared" si="144"/>
        <v>401.61823018046482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1.4310082157767166</v>
      </c>
      <c r="AW137" s="23">
        <f>EXP(-LN(2)/2)*AW136+(1-EXP(-LN(2)/2))/(LN(2)/2)*AQ137*AT137*VLOOKUP('Données projet'!$B$10,Paramètres!$A$1:$I$89,3,0)*0.475*44/12</f>
        <v>4.0559795705728299E-15</v>
      </c>
      <c r="AX137" s="23">
        <f t="shared" si="114"/>
        <v>1.4310082157767205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68.298712162183648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-5.6843418860808015E-14</v>
      </c>
      <c r="BE137" s="14">
        <f>BD137*VLOOKUP('Données projet'!$B$11,Paramètres!$A$1:$I$89,3,0)*VLOOKUP('Données projet'!$B$11,Paramètres!$A$1:$I$89,5,0)</f>
        <v>-5.1431925385259088E-14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462.677457131175</v>
      </c>
      <c r="BJ137" s="62">
        <f t="shared" si="146"/>
        <v>291.78368401945909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0.51074833062960545</v>
      </c>
      <c r="BR137" s="23">
        <f>EXP(-LN(2)/2)*BR136+(1-EXP(-LN(2)/2))/(LN(2)/2)*BL137*BO137*VLOOKUP('Données projet'!$B$11,Paramètres!$A$1:$I$89,3,0)*0.475*44/12</f>
        <v>3.3106350204720542E-15</v>
      </c>
      <c r="BS137" s="24">
        <f t="shared" si="117"/>
        <v>0.51074833062960878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68.298712162183648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-5.6843418860808015E-14</v>
      </c>
      <c r="BZ137" s="14">
        <f>BY137*VLOOKUP('Données projet'!$B$12,Paramètres!$A$1:$I$89,3,0)*VLOOKUP('Données projet'!$B$12,Paramètres!$A$1:$I$89,5,0)</f>
        <v>-3.1036506698001178E-14</v>
      </c>
      <c r="CA137" s="14" t="e">
        <f t="shared" si="147"/>
        <v>#NUM!</v>
      </c>
      <c r="CB137" s="22" t="e">
        <f t="shared" si="118"/>
        <v>#NUM!</v>
      </c>
      <c r="CC137" s="62" t="e">
        <f t="shared" si="119"/>
        <v>#NUM!</v>
      </c>
      <c r="CD137" s="62">
        <f ca="1">AVERAGE(OFFSET($CC$3,0,0,'Données projet'!$E$12+1,1))-AVERAGE(OFFSET($H$3,0,0,'Données projet'!$E$12+1,1))</f>
        <v>302.37244372118971</v>
      </c>
      <c r="CE137" s="62">
        <f t="shared" si="148"/>
        <v>439.56450354660171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0.96101643552327032</v>
      </c>
      <c r="CL137" s="23">
        <f>EXP(-LN(2)/25)*CL136+(1-EXP(-LN(2)/25))/(LN(2)/25)*Calculateur!CG137*Calculateur!CI137*VLOOKUP('Données projet'!$B$12,Paramètres!$A$1:$I$89,3,0)*0.475*44/12</f>
        <v>0.94553814259448332</v>
      </c>
      <c r="CM137" s="23">
        <f>EXP(-LN(2)/2)*CM136+(1-EXP(-LN(2)/2))/(LN(2)/2)*CG137*CJ137*VLOOKUP('Données projet'!$B$12,Paramètres!$A$1:$I$89,3,0)*0.475*44/12</f>
        <v>3.5640565244020462E-15</v>
      </c>
      <c r="CN137" s="24">
        <f t="shared" si="120"/>
        <v>1.9065545781177571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68.298712162183648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2.8421709430404007E-14</v>
      </c>
      <c r="CU137" s="18">
        <f>CT137*VLOOKUP('Données projet'!$B$13,Paramètres!$A$1:$I$89,3,0)*VLOOKUP('Données projet'!$B$13,Paramètres!$A$1:$I$89,5,0)</f>
        <v>2.0838797354372217E-14</v>
      </c>
      <c r="CV137" s="14">
        <f t="shared" si="149"/>
        <v>3.7575774393093487E-13</v>
      </c>
      <c r="CW137" s="22">
        <f t="shared" si="121"/>
        <v>6.9073897607190981E-13</v>
      </c>
      <c r="CX137" s="62">
        <f t="shared" si="122"/>
        <v>287.09527792800742</v>
      </c>
      <c r="CY137" s="62">
        <f ca="1">AVERAGE(OFFSET($CX$3,0,0,'Données projet'!$E$13+1,1))-AVERAGE(OFFSET($H$3,0,0,'Données projet'!$E$13+1,1))</f>
        <v>300.12722359176314</v>
      </c>
      <c r="CZ137" s="62">
        <f t="shared" si="150"/>
        <v>313.35115626175946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0.67201824290886902</v>
      </c>
      <c r="DH137" s="23">
        <f>EXP(-LN(2)/2)*DH136+(1-EXP(-LN(2)/2))/(LN(2)/2)*DB137*DE137*VLOOKUP('Données projet'!$B$13,Paramètres!$A$1:$I$89,3,0)*0.475*44/12</f>
        <v>3.3441270010385282E-15</v>
      </c>
      <c r="DI137" s="24">
        <f t="shared" si="123"/>
        <v>0.67201824290887235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68.298712162183648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68.298712162183648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68.298712162183648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68.298712162183648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68.298712162183648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3.55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13.016666666666666</v>
      </c>
      <c r="H138" s="70">
        <f t="shared" si="110"/>
        <v>204.6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68.32822570265995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-2.2737367544323206E-13</v>
      </c>
      <c r="O138" s="14">
        <f>N138*VLOOKUP('Données projet'!$B$9,Paramètres!$A$1:$I$89,3,0)*VLOOKUP('Données projet'!$B$9,Paramètres!$A$1:$I$89,5,0)</f>
        <v>-1.2710188457276673E-13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455.44531340185631</v>
      </c>
      <c r="T138" s="62">
        <f t="shared" si="142"/>
        <v>560.14861617544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1.3505470161143107</v>
      </c>
      <c r="AA138" s="23">
        <f>EXP(-LN(2)/25)*AA137+(1-EXP(-LN(2)/25))/(LN(2)/25)*Calculateur!V138*Calculateur!X138*VLOOKUP('Données projet'!$B$9,Paramètres!$A$1:$I$89,3,0)*0.475*44/12</f>
        <v>0.77371292374188516</v>
      </c>
      <c r="AB138" s="23">
        <f>EXP(-LN(2)/2)*AB137+(1-EXP(-LN(2)/2))/(LN(2)/2)*V138*Y138*VLOOKUP('Données projet'!$B$9,Paramètres!$A$1:$I$89,3,0)*0.475*44/12</f>
        <v>2.0841670538760431E-15</v>
      </c>
      <c r="AC138" s="24">
        <f t="shared" si="111"/>
        <v>2.1242599398561981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68.32822570265995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1.9895196601282805E-13</v>
      </c>
      <c r="AJ138" s="14">
        <f>AI138*VLOOKUP('Données projet'!$B$10,Paramètres!$A$1:$I$89,3,0)*VLOOKUP('Données projet'!$B$10,Paramètres!$A$1:$I$89,5,0)</f>
        <v>1.738044375088066E-13</v>
      </c>
      <c r="AK138" s="14">
        <f t="shared" si="143"/>
        <v>2.4483293633950478E-12</v>
      </c>
      <c r="AL138" s="22">
        <f t="shared" si="112"/>
        <v>4.566883036574213E-12</v>
      </c>
      <c r="AM138" s="62">
        <f t="shared" si="113"/>
        <v>287.20349424309103</v>
      </c>
      <c r="AN138" s="62">
        <f ca="1">AVERAGE(OFFSET($AM$3,0,0,'Données projet'!$E$10+1,1))-AVERAGE(OFFSET($H$3,0,0,'Données projet'!$E$10+1,1))</f>
        <v>335.71510570470264</v>
      </c>
      <c r="AO138" s="62">
        <f t="shared" si="144"/>
        <v>401.61823018046482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1.3918772208628507</v>
      </c>
      <c r="AW138" s="23">
        <f>EXP(-LN(2)/2)*AW137+(1-EXP(-LN(2)/2))/(LN(2)/2)*AQ138*AT138*VLOOKUP('Données projet'!$B$10,Paramètres!$A$1:$I$89,3,0)*0.475*44/12</f>
        <v>2.8680106587061491E-15</v>
      </c>
      <c r="AX138" s="23">
        <f t="shared" si="114"/>
        <v>1.3918772208628536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68.32822570265995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-5.6843418860808015E-14</v>
      </c>
      <c r="BE138" s="14">
        <f>BD138*VLOOKUP('Données projet'!$B$11,Paramètres!$A$1:$I$89,3,0)*VLOOKUP('Données projet'!$B$11,Paramètres!$A$1:$I$89,5,0)</f>
        <v>-5.1431925385259088E-14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462.677457131175</v>
      </c>
      <c r="BJ138" s="62">
        <f t="shared" si="146"/>
        <v>291.78368401945909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0.4967818906694515</v>
      </c>
      <c r="BR138" s="23">
        <f>EXP(-LN(2)/2)*BR137+(1-EXP(-LN(2)/2))/(LN(2)/2)*BL138*BO138*VLOOKUP('Données projet'!$B$11,Paramètres!$A$1:$I$89,3,0)*0.475*44/12</f>
        <v>2.3409724730094541E-15</v>
      </c>
      <c r="BS138" s="24">
        <f t="shared" si="117"/>
        <v>0.49678189066945383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68.32822570265995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-5.6843418860808015E-14</v>
      </c>
      <c r="BZ138" s="14">
        <f>BY138*VLOOKUP('Données projet'!$B$12,Paramètres!$A$1:$I$89,3,0)*VLOOKUP('Données projet'!$B$12,Paramètres!$A$1:$I$89,5,0)</f>
        <v>-3.1036506698001178E-14</v>
      </c>
      <c r="CA138" s="14" t="e">
        <f t="shared" si="147"/>
        <v>#NUM!</v>
      </c>
      <c r="CB138" s="22" t="e">
        <f t="shared" si="118"/>
        <v>#NUM!</v>
      </c>
      <c r="CC138" s="62" t="e">
        <f t="shared" si="119"/>
        <v>#NUM!</v>
      </c>
      <c r="CD138" s="62">
        <f ca="1">AVERAGE(OFFSET($CC$3,0,0,'Données projet'!$E$12+1,1))-AVERAGE(OFFSET($H$3,0,0,'Données projet'!$E$12+1,1))</f>
        <v>302.37244372118971</v>
      </c>
      <c r="CE138" s="62">
        <f t="shared" si="148"/>
        <v>439.56450354660171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0.94217148938480599</v>
      </c>
      <c r="CL138" s="23">
        <f>EXP(-LN(2)/25)*CL137+(1-EXP(-LN(2)/25))/(LN(2)/25)*Calculateur!CG138*Calculateur!CI138*VLOOKUP('Données projet'!$B$12,Paramètres!$A$1:$I$89,3,0)*0.475*44/12</f>
        <v>0.91968235236154727</v>
      </c>
      <c r="CM138" s="23">
        <f>EXP(-LN(2)/2)*CM137+(1-EXP(-LN(2)/2))/(LN(2)/2)*CG138*CJ138*VLOOKUP('Données projet'!$B$12,Paramètres!$A$1:$I$89,3,0)*0.475*44/12</f>
        <v>2.5201685369368448E-15</v>
      </c>
      <c r="CN138" s="24">
        <f t="shared" si="120"/>
        <v>1.8618538417463557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68.32822570265995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2.8421709430404007E-14</v>
      </c>
      <c r="CU138" s="18">
        <f>CT138*VLOOKUP('Données projet'!$B$13,Paramètres!$A$1:$I$89,3,0)*VLOOKUP('Données projet'!$B$13,Paramètres!$A$1:$I$89,5,0)</f>
        <v>2.0838797354372217E-14</v>
      </c>
      <c r="CV138" s="14">
        <f t="shared" si="149"/>
        <v>3.7575774393093487E-13</v>
      </c>
      <c r="CW138" s="22">
        <f t="shared" si="121"/>
        <v>6.9073897607190981E-13</v>
      </c>
      <c r="CX138" s="62">
        <f t="shared" si="122"/>
        <v>287.20349424308716</v>
      </c>
      <c r="CY138" s="62">
        <f ca="1">AVERAGE(OFFSET($CX$3,0,0,'Données projet'!$E$13+1,1))-AVERAGE(OFFSET($H$3,0,0,'Données projet'!$E$13+1,1))</f>
        <v>300.12722359176314</v>
      </c>
      <c r="CZ138" s="62">
        <f t="shared" si="150"/>
        <v>313.35115626175946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0.65364186871662255</v>
      </c>
      <c r="DH138" s="23">
        <f>EXP(-LN(2)/2)*DH137+(1-EXP(-LN(2)/2))/(LN(2)/2)*DB138*DE138*VLOOKUP('Données projet'!$B$13,Paramètres!$A$1:$I$89,3,0)*0.475*44/12</f>
        <v>2.3646548795833759E-15</v>
      </c>
      <c r="DI138" s="24">
        <f t="shared" si="123"/>
        <v>0.65364186871662489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68.32822570265995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68.32822570265995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68.32822570265995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68.32822570265995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68.32822570265995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3.55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13.016666666666666</v>
      </c>
      <c r="H139" s="70">
        <f t="shared" si="110"/>
        <v>204.6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68.357227249191396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-2.2737367544323206E-13</v>
      </c>
      <c r="O139" s="14">
        <f>N139*VLOOKUP('Données projet'!$B$9,Paramètres!$A$1:$I$89,3,0)*VLOOKUP('Données projet'!$B$9,Paramètres!$A$1:$I$89,5,0)</f>
        <v>-1.2710188457276673E-13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455.44531340185631</v>
      </c>
      <c r="T139" s="62">
        <f t="shared" si="142"/>
        <v>560.14861617544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1.3240636128806502</v>
      </c>
      <c r="AA139" s="23">
        <f>EXP(-LN(2)/25)*AA138+(1-EXP(-LN(2)/25))/(LN(2)/25)*Calculateur!V139*Calculateur!X139*VLOOKUP('Données projet'!$B$9,Paramètres!$A$1:$I$89,3,0)*0.475*44/12</f>
        <v>0.75255570315436904</v>
      </c>
      <c r="AB139" s="23">
        <f>EXP(-LN(2)/2)*AB138+(1-EXP(-LN(2)/2))/(LN(2)/2)*V139*Y139*VLOOKUP('Données projet'!$B$9,Paramètres!$A$1:$I$89,3,0)*0.475*44/12</f>
        <v>1.4737286569213386E-15</v>
      </c>
      <c r="AC139" s="24">
        <f t="shared" si="111"/>
        <v>2.0766193160350208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68.357227249191396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1.9895196601282805E-13</v>
      </c>
      <c r="AJ139" s="14">
        <f>AI139*VLOOKUP('Données projet'!$B$10,Paramètres!$A$1:$I$89,3,0)*VLOOKUP('Données projet'!$B$10,Paramètres!$A$1:$I$89,5,0)</f>
        <v>1.738044375088066E-13</v>
      </c>
      <c r="AK139" s="14">
        <f t="shared" si="143"/>
        <v>2.4483293633950478E-12</v>
      </c>
      <c r="AL139" s="22">
        <f t="shared" si="112"/>
        <v>4.566883036574213E-12</v>
      </c>
      <c r="AM139" s="62">
        <f t="shared" si="113"/>
        <v>287.30983324703965</v>
      </c>
      <c r="AN139" s="62">
        <f ca="1">AVERAGE(OFFSET($AM$3,0,0,'Données projet'!$E$10+1,1))-AVERAGE(OFFSET($H$3,0,0,'Données projet'!$E$10+1,1))</f>
        <v>335.71510570470264</v>
      </c>
      <c r="AO139" s="62">
        <f t="shared" si="144"/>
        <v>401.61823018046482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1.3538162650627141</v>
      </c>
      <c r="AW139" s="23">
        <f>EXP(-LN(2)/2)*AW138+(1-EXP(-LN(2)/2))/(LN(2)/2)*AQ139*AT139*VLOOKUP('Données projet'!$B$10,Paramètres!$A$1:$I$89,3,0)*0.475*44/12</f>
        <v>2.027989785286415E-15</v>
      </c>
      <c r="AX139" s="23">
        <f t="shared" si="114"/>
        <v>1.3538162650627161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68.357227249191396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-5.6843418860808015E-14</v>
      </c>
      <c r="BE139" s="14">
        <f>BD139*VLOOKUP('Données projet'!$B$11,Paramètres!$A$1:$I$89,3,0)*VLOOKUP('Données projet'!$B$11,Paramètres!$A$1:$I$89,5,0)</f>
        <v>-5.1431925385259088E-14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462.677457131175</v>
      </c>
      <c r="BJ139" s="62">
        <f t="shared" si="146"/>
        <v>291.78368401945909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0.48319736374447114</v>
      </c>
      <c r="BR139" s="23">
        <f>EXP(-LN(2)/2)*BR138+(1-EXP(-LN(2)/2))/(LN(2)/2)*BL139*BO139*VLOOKUP('Données projet'!$B$11,Paramètres!$A$1:$I$89,3,0)*0.475*44/12</f>
        <v>1.6553175102360271E-15</v>
      </c>
      <c r="BS139" s="24">
        <f t="shared" si="117"/>
        <v>0.48319736374447281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68.357227249191396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-5.6843418860808015E-14</v>
      </c>
      <c r="BZ139" s="14">
        <f>BY139*VLOOKUP('Données projet'!$B$12,Paramètres!$A$1:$I$89,3,0)*VLOOKUP('Données projet'!$B$12,Paramètres!$A$1:$I$89,5,0)</f>
        <v>-3.1036506698001178E-14</v>
      </c>
      <c r="CA139" s="14" t="e">
        <f t="shared" si="147"/>
        <v>#NUM!</v>
      </c>
      <c r="CB139" s="22" t="e">
        <f t="shared" si="118"/>
        <v>#NUM!</v>
      </c>
      <c r="CC139" s="62" t="e">
        <f t="shared" si="119"/>
        <v>#NUM!</v>
      </c>
      <c r="CD139" s="62">
        <f ca="1">AVERAGE(OFFSET($CC$3,0,0,'Données projet'!$E$12+1,1))-AVERAGE(OFFSET($H$3,0,0,'Données projet'!$E$12+1,1))</f>
        <v>302.37244372118971</v>
      </c>
      <c r="CE139" s="62">
        <f t="shared" si="148"/>
        <v>439.56450354660171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0.92369608114583468</v>
      </c>
      <c r="CL139" s="23">
        <f>EXP(-LN(2)/25)*CL138+(1-EXP(-LN(2)/25))/(LN(2)/25)*Calculateur!CG139*Calculateur!CI139*VLOOKUP('Données projet'!$B$12,Paramètres!$A$1:$I$89,3,0)*0.475*44/12</f>
        <v>0.89453359007222777</v>
      </c>
      <c r="CM139" s="23">
        <f>EXP(-LN(2)/2)*CM138+(1-EXP(-LN(2)/2))/(LN(2)/2)*CG139*CJ139*VLOOKUP('Données projet'!$B$12,Paramètres!$A$1:$I$89,3,0)*0.475*44/12</f>
        <v>1.7820282622010231E-15</v>
      </c>
      <c r="CN139" s="24">
        <f t="shared" si="120"/>
        <v>1.8182296712180643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68.357227249191396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2.8421709430404007E-14</v>
      </c>
      <c r="CU139" s="18">
        <f>CT139*VLOOKUP('Données projet'!$B$13,Paramètres!$A$1:$I$89,3,0)*VLOOKUP('Données projet'!$B$13,Paramètres!$A$1:$I$89,5,0)</f>
        <v>2.0838797354372217E-14</v>
      </c>
      <c r="CV139" s="14">
        <f t="shared" si="149"/>
        <v>3.7575774393093487E-13</v>
      </c>
      <c r="CW139" s="22">
        <f t="shared" si="121"/>
        <v>6.9073897607190981E-13</v>
      </c>
      <c r="CX139" s="62">
        <f t="shared" si="122"/>
        <v>287.30983324703578</v>
      </c>
      <c r="CY139" s="62">
        <f ca="1">AVERAGE(OFFSET($CX$3,0,0,'Données projet'!$E$13+1,1))-AVERAGE(OFFSET($H$3,0,0,'Données projet'!$E$13+1,1))</f>
        <v>300.12722359176314</v>
      </c>
      <c r="CZ139" s="62">
        <f t="shared" si="150"/>
        <v>313.35115626175946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0.63576799744303458</v>
      </c>
      <c r="DH139" s="23">
        <f>EXP(-LN(2)/2)*DH138+(1-EXP(-LN(2)/2))/(LN(2)/2)*DB139*DE139*VLOOKUP('Données projet'!$B$13,Paramètres!$A$1:$I$89,3,0)*0.475*44/12</f>
        <v>1.6720635005192641E-15</v>
      </c>
      <c r="DI139" s="24">
        <f t="shared" si="123"/>
        <v>0.63576799744303625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68.357227249191396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68.357227249191396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68.357227249191396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68.357227249191396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68.357227249191396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3.55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13.016666666666666</v>
      </c>
      <c r="H140" s="70">
        <f t="shared" si="110"/>
        <v>204.6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68.385725683728268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-2.2737367544323206E-13</v>
      </c>
      <c r="O140" s="14">
        <f>N140*VLOOKUP('Données projet'!$B$9,Paramètres!$A$1:$I$89,3,0)*VLOOKUP('Données projet'!$B$9,Paramètres!$A$1:$I$89,5,0)</f>
        <v>-1.2710188457276673E-13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455.44531340185631</v>
      </c>
      <c r="T140" s="62">
        <f t="shared" si="142"/>
        <v>560.14861617544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1.2980995330311207</v>
      </c>
      <c r="AA140" s="23">
        <f>EXP(-LN(2)/25)*AA139+(1-EXP(-LN(2)/25))/(LN(2)/25)*Calculateur!V140*Calculateur!X140*VLOOKUP('Données projet'!$B$9,Paramètres!$A$1:$I$89,3,0)*0.475*44/12</f>
        <v>0.73197702787642838</v>
      </c>
      <c r="AB140" s="23">
        <f>EXP(-LN(2)/2)*AB139+(1-EXP(-LN(2)/2))/(LN(2)/2)*V140*Y140*VLOOKUP('Données projet'!$B$9,Paramètres!$A$1:$I$89,3,0)*0.475*44/12</f>
        <v>1.0420835269380215E-15</v>
      </c>
      <c r="AC140" s="24">
        <f t="shared" si="111"/>
        <v>2.03007656090755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68.385725683728268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1.9895196601282805E-13</v>
      </c>
      <c r="AJ140" s="14">
        <f>AI140*VLOOKUP('Données projet'!$B$10,Paramètres!$A$1:$I$89,3,0)*VLOOKUP('Données projet'!$B$10,Paramètres!$A$1:$I$89,5,0)</f>
        <v>1.738044375088066E-13</v>
      </c>
      <c r="AK140" s="14">
        <f t="shared" si="143"/>
        <v>2.4483293633950478E-12</v>
      </c>
      <c r="AL140" s="22">
        <f t="shared" si="112"/>
        <v>4.566883036574213E-12</v>
      </c>
      <c r="AM140" s="62">
        <f t="shared" si="113"/>
        <v>287.41432750700818</v>
      </c>
      <c r="AN140" s="62">
        <f ca="1">AVERAGE(OFFSET($AM$3,0,0,'Données projet'!$E$10+1,1))-AVERAGE(OFFSET($H$3,0,0,'Données projet'!$E$10+1,1))</f>
        <v>335.71510570470264</v>
      </c>
      <c r="AO140" s="62">
        <f t="shared" si="144"/>
        <v>401.61823018046482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1.316796088100471</v>
      </c>
      <c r="AW140" s="23">
        <f>EXP(-LN(2)/2)*AW139+(1-EXP(-LN(2)/2))/(LN(2)/2)*AQ140*AT140*VLOOKUP('Données projet'!$B$10,Paramètres!$A$1:$I$89,3,0)*0.475*44/12</f>
        <v>1.4340053293530746E-15</v>
      </c>
      <c r="AX140" s="23">
        <f t="shared" si="114"/>
        <v>1.3167960881004723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68.385725683728268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-5.6843418860808015E-14</v>
      </c>
      <c r="BE140" s="14">
        <f>BD140*VLOOKUP('Données projet'!$B$11,Paramètres!$A$1:$I$89,3,0)*VLOOKUP('Données projet'!$B$11,Paramètres!$A$1:$I$89,5,0)</f>
        <v>-5.1431925385259088E-14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462.677457131175</v>
      </c>
      <c r="BJ140" s="62">
        <f t="shared" si="146"/>
        <v>291.78368401945909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0.46998430642263356</v>
      </c>
      <c r="BR140" s="23">
        <f>EXP(-LN(2)/2)*BR139+(1-EXP(-LN(2)/2))/(LN(2)/2)*BL140*BO140*VLOOKUP('Données projet'!$B$11,Paramètres!$A$1:$I$89,3,0)*0.475*44/12</f>
        <v>1.170486236504727E-15</v>
      </c>
      <c r="BS140" s="24">
        <f t="shared" si="117"/>
        <v>0.46998430642263472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68.385725683728268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-5.6843418860808015E-14</v>
      </c>
      <c r="BZ140" s="14">
        <f>BY140*VLOOKUP('Données projet'!$B$12,Paramètres!$A$1:$I$89,3,0)*VLOOKUP('Données projet'!$B$12,Paramètres!$A$1:$I$89,5,0)</f>
        <v>-3.1036506698001178E-14</v>
      </c>
      <c r="CA140" s="14" t="e">
        <f t="shared" si="147"/>
        <v>#NUM!</v>
      </c>
      <c r="CB140" s="22" t="e">
        <f t="shared" si="118"/>
        <v>#NUM!</v>
      </c>
      <c r="CC140" s="62" t="e">
        <f t="shared" si="119"/>
        <v>#NUM!</v>
      </c>
      <c r="CD140" s="62">
        <f ca="1">AVERAGE(OFFSET($CC$3,0,0,'Données projet'!$E$12+1,1))-AVERAGE(OFFSET($H$3,0,0,'Données projet'!$E$12+1,1))</f>
        <v>302.37244372118971</v>
      </c>
      <c r="CE140" s="62">
        <f t="shared" si="148"/>
        <v>439.56450354660171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0.90558296439354335</v>
      </c>
      <c r="CL140" s="23">
        <f>EXP(-LN(2)/25)*CL139+(1-EXP(-LN(2)/25))/(LN(2)/25)*Calculateur!CG140*Calculateur!CI140*VLOOKUP('Données projet'!$B$12,Paramètres!$A$1:$I$89,3,0)*0.475*44/12</f>
        <v>0.87007252201022567</v>
      </c>
      <c r="CM140" s="23">
        <f>EXP(-LN(2)/2)*CM139+(1-EXP(-LN(2)/2))/(LN(2)/2)*CG140*CJ140*VLOOKUP('Données projet'!$B$12,Paramètres!$A$1:$I$89,3,0)*0.475*44/12</f>
        <v>1.2600842684684224E-15</v>
      </c>
      <c r="CN140" s="24">
        <f t="shared" si="120"/>
        <v>1.7756554864037704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68.385725683728268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2.8421709430404007E-14</v>
      </c>
      <c r="CU140" s="18">
        <f>CT140*VLOOKUP('Données projet'!$B$13,Paramètres!$A$1:$I$89,3,0)*VLOOKUP('Données projet'!$B$13,Paramètres!$A$1:$I$89,5,0)</f>
        <v>2.0838797354372217E-14</v>
      </c>
      <c r="CV140" s="14">
        <f t="shared" si="149"/>
        <v>3.7575774393093487E-13</v>
      </c>
      <c r="CW140" s="22">
        <f t="shared" si="121"/>
        <v>6.9073897607190981E-13</v>
      </c>
      <c r="CX140" s="62">
        <f t="shared" si="122"/>
        <v>287.41432750700432</v>
      </c>
      <c r="CY140" s="62">
        <f ca="1">AVERAGE(OFFSET($CX$3,0,0,'Données projet'!$E$13+1,1))-AVERAGE(OFFSET($H$3,0,0,'Données projet'!$E$13+1,1))</f>
        <v>300.12722359176314</v>
      </c>
      <c r="CZ140" s="62">
        <f t="shared" si="150"/>
        <v>313.35115626175946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0.61838288811936892</v>
      </c>
      <c r="DH140" s="23">
        <f>EXP(-LN(2)/2)*DH139+(1-EXP(-LN(2)/2))/(LN(2)/2)*DB140*DE140*VLOOKUP('Données projet'!$B$13,Paramètres!$A$1:$I$89,3,0)*0.475*44/12</f>
        <v>1.182327439791688E-15</v>
      </c>
      <c r="DI140" s="24">
        <f t="shared" si="123"/>
        <v>0.61838288811937014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68.385725683728268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68.385725683728268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68.385725683728268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68.385725683728268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68.385725683728268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3.55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13.016666666666666</v>
      </c>
      <c r="H141" s="70">
        <f t="shared" si="110"/>
        <v>204.6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68.413729734138883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-2.2737367544323206E-13</v>
      </c>
      <c r="O141" s="14">
        <f>N141*VLOOKUP('Données projet'!$B$9,Paramètres!$A$1:$I$89,3,0)*VLOOKUP('Données projet'!$B$9,Paramètres!$A$1:$I$89,5,0)</f>
        <v>-1.2710188457276673E-13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455.44531340185631</v>
      </c>
      <c r="T141" s="62">
        <f t="shared" si="142"/>
        <v>560.14861617544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1.2726445929509156</v>
      </c>
      <c r="AA141" s="23">
        <f>EXP(-LN(2)/25)*AA140+(1-EXP(-LN(2)/25))/(LN(2)/25)*Calculateur!V141*Calculateur!X141*VLOOKUP('Données projet'!$B$9,Paramètres!$A$1:$I$89,3,0)*0.475*44/12</f>
        <v>0.71196107755614846</v>
      </c>
      <c r="AB141" s="23">
        <f>EXP(-LN(2)/2)*AB140+(1-EXP(-LN(2)/2))/(LN(2)/2)*V141*Y141*VLOOKUP('Données projet'!$B$9,Paramètres!$A$1:$I$89,3,0)*0.475*44/12</f>
        <v>7.368643284606693E-16</v>
      </c>
      <c r="AC141" s="24">
        <f t="shared" si="111"/>
        <v>1.9846056705070647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68.413729734138883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1.9895196601282805E-13</v>
      </c>
      <c r="AJ141" s="14">
        <f>AI141*VLOOKUP('Données projet'!$B$10,Paramètres!$A$1:$I$89,3,0)*VLOOKUP('Données projet'!$B$10,Paramètres!$A$1:$I$89,5,0)</f>
        <v>1.738044375088066E-13</v>
      </c>
      <c r="AK141" s="14">
        <f t="shared" si="143"/>
        <v>2.4483293633950478E-12</v>
      </c>
      <c r="AL141" s="22">
        <f t="shared" si="112"/>
        <v>4.566883036574213E-12</v>
      </c>
      <c r="AM141" s="62">
        <f t="shared" si="113"/>
        <v>287.51700902518047</v>
      </c>
      <c r="AN141" s="62">
        <f ca="1">AVERAGE(OFFSET($AM$3,0,0,'Données projet'!$E$10+1,1))-AVERAGE(OFFSET($H$3,0,0,'Données projet'!$E$10+1,1))</f>
        <v>335.71510570470264</v>
      </c>
      <c r="AO141" s="62">
        <f t="shared" si="144"/>
        <v>401.61823018046482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1.2807882298240669</v>
      </c>
      <c r="AW141" s="23">
        <f>EXP(-LN(2)/2)*AW140+(1-EXP(-LN(2)/2))/(LN(2)/2)*AQ141*AT141*VLOOKUP('Données projet'!$B$10,Paramètres!$A$1:$I$89,3,0)*0.475*44/12</f>
        <v>1.0139948926432075E-15</v>
      </c>
      <c r="AX141" s="23">
        <f t="shared" si="114"/>
        <v>1.280788229824068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68.413729734138883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-5.6843418860808015E-14</v>
      </c>
      <c r="BE141" s="14">
        <f>BD141*VLOOKUP('Données projet'!$B$11,Paramètres!$A$1:$I$89,3,0)*VLOOKUP('Données projet'!$B$11,Paramètres!$A$1:$I$89,5,0)</f>
        <v>-5.1431925385259088E-14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462.677457131175</v>
      </c>
      <c r="BJ141" s="62">
        <f t="shared" si="146"/>
        <v>291.78368401945909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0.45713256084810611</v>
      </c>
      <c r="BR141" s="23">
        <f>EXP(-LN(2)/2)*BR140+(1-EXP(-LN(2)/2))/(LN(2)/2)*BL141*BO141*VLOOKUP('Données projet'!$B$11,Paramètres!$A$1:$I$89,3,0)*0.475*44/12</f>
        <v>8.2765875511801354E-16</v>
      </c>
      <c r="BS141" s="24">
        <f t="shared" si="117"/>
        <v>0.45713256084810694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68.413729734138883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-5.6843418860808015E-14</v>
      </c>
      <c r="BZ141" s="14">
        <f>BY141*VLOOKUP('Données projet'!$B$12,Paramètres!$A$1:$I$89,3,0)*VLOOKUP('Données projet'!$B$12,Paramètres!$A$1:$I$89,5,0)</f>
        <v>-3.1036506698001178E-14</v>
      </c>
      <c r="CA141" s="14" t="e">
        <f t="shared" si="147"/>
        <v>#NUM!</v>
      </c>
      <c r="CB141" s="22" t="e">
        <f t="shared" si="118"/>
        <v>#NUM!</v>
      </c>
      <c r="CC141" s="62" t="e">
        <f t="shared" si="119"/>
        <v>#NUM!</v>
      </c>
      <c r="CD141" s="62">
        <f ca="1">AVERAGE(OFFSET($CC$3,0,0,'Données projet'!$E$12+1,1))-AVERAGE(OFFSET($H$3,0,0,'Données projet'!$E$12+1,1))</f>
        <v>302.37244372118971</v>
      </c>
      <c r="CE141" s="62">
        <f t="shared" si="148"/>
        <v>439.56450354660171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0.88782503481285413</v>
      </c>
      <c r="CL141" s="23">
        <f>EXP(-LN(2)/25)*CL140+(1-EXP(-LN(2)/25))/(LN(2)/25)*Calculateur!CG141*Calculateur!CI141*VLOOKUP('Données projet'!$B$12,Paramètres!$A$1:$I$89,3,0)*0.475*44/12</f>
        <v>0.84628034314073064</v>
      </c>
      <c r="CM141" s="23">
        <f>EXP(-LN(2)/2)*CM140+(1-EXP(-LN(2)/2))/(LN(2)/2)*CG141*CJ141*VLOOKUP('Données projet'!$B$12,Paramètres!$A$1:$I$89,3,0)*0.475*44/12</f>
        <v>8.9101413110051155E-16</v>
      </c>
      <c r="CN141" s="24">
        <f t="shared" si="120"/>
        <v>1.7341053779535858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68.413729734138883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2.8421709430404007E-14</v>
      </c>
      <c r="CU141" s="18">
        <f>CT141*VLOOKUP('Données projet'!$B$13,Paramètres!$A$1:$I$89,3,0)*VLOOKUP('Données projet'!$B$13,Paramètres!$A$1:$I$89,5,0)</f>
        <v>2.0838797354372217E-14</v>
      </c>
      <c r="CV141" s="14">
        <f t="shared" si="149"/>
        <v>3.7575774393093487E-13</v>
      </c>
      <c r="CW141" s="22">
        <f t="shared" si="121"/>
        <v>6.9073897607190981E-13</v>
      </c>
      <c r="CX141" s="62">
        <f t="shared" si="122"/>
        <v>287.51700902517661</v>
      </c>
      <c r="CY141" s="62">
        <f ca="1">AVERAGE(OFFSET($CX$3,0,0,'Données projet'!$E$13+1,1))-AVERAGE(OFFSET($H$3,0,0,'Données projet'!$E$13+1,1))</f>
        <v>300.12722359176314</v>
      </c>
      <c r="CZ141" s="62">
        <f t="shared" si="150"/>
        <v>313.35115626175946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0.60147317552440205</v>
      </c>
      <c r="DH141" s="23">
        <f>EXP(-LN(2)/2)*DH140+(1-EXP(-LN(2)/2))/(LN(2)/2)*DB141*DE141*VLOOKUP('Données projet'!$B$13,Paramètres!$A$1:$I$89,3,0)*0.475*44/12</f>
        <v>8.3603175025963205E-16</v>
      </c>
      <c r="DI141" s="24">
        <f t="shared" si="123"/>
        <v>0.60147317552440294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68.413729734138883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68.413729734138883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68.413729734138883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68.413729734138883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68.413729734138883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3.55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13.016666666666666</v>
      </c>
      <c r="H142" s="70">
        <f t="shared" si="110"/>
        <v>204.6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68.441247976882536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-2.2737367544323206E-13</v>
      </c>
      <c r="O142" s="14">
        <f>N142*VLOOKUP('Données projet'!$B$9,Paramètres!$A$1:$I$89,3,0)*VLOOKUP('Données projet'!$B$9,Paramètres!$A$1:$I$89,5,0)</f>
        <v>-1.2710188457276673E-13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455.44531340185631</v>
      </c>
      <c r="T142" s="62">
        <f t="shared" si="142"/>
        <v>560.14861617544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1.2476888087197029</v>
      </c>
      <c r="AA142" s="23">
        <f>EXP(-LN(2)/25)*AA141+(1-EXP(-LN(2)/25))/(LN(2)/25)*Calculateur!V142*Calculateur!X142*VLOOKUP('Données projet'!$B$9,Paramètres!$A$1:$I$89,3,0)*0.475*44/12</f>
        <v>0.6924924644499697</v>
      </c>
      <c r="AB142" s="23">
        <f>EXP(-LN(2)/2)*AB141+(1-EXP(-LN(2)/2))/(LN(2)/2)*V142*Y142*VLOOKUP('Données projet'!$B$9,Paramètres!$A$1:$I$89,3,0)*0.475*44/12</f>
        <v>5.2104176346901076E-16</v>
      </c>
      <c r="AC142" s="24">
        <f t="shared" si="111"/>
        <v>1.940181273169673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68.441247976882536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1.9895196601282805E-13</v>
      </c>
      <c r="AJ142" s="14">
        <f>AI142*VLOOKUP('Données projet'!$B$10,Paramètres!$A$1:$I$89,3,0)*VLOOKUP('Données projet'!$B$10,Paramètres!$A$1:$I$89,5,0)</f>
        <v>1.738044375088066E-13</v>
      </c>
      <c r="AK142" s="14">
        <f t="shared" si="143"/>
        <v>2.4483293633950478E-12</v>
      </c>
      <c r="AL142" s="22">
        <f t="shared" si="112"/>
        <v>4.566883036574213E-12</v>
      </c>
      <c r="AM142" s="62">
        <f t="shared" si="113"/>
        <v>287.61790924857388</v>
      </c>
      <c r="AN142" s="62">
        <f ca="1">AVERAGE(OFFSET($AM$3,0,0,'Données projet'!$E$10+1,1))-AVERAGE(OFFSET($H$3,0,0,'Données projet'!$E$10+1,1))</f>
        <v>335.71510570470264</v>
      </c>
      <c r="AO142" s="62">
        <f t="shared" si="144"/>
        <v>401.61823018046482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1.2457650083258021</v>
      </c>
      <c r="AW142" s="23">
        <f>EXP(-LN(2)/2)*AW141+(1-EXP(-LN(2)/2))/(LN(2)/2)*AQ142*AT142*VLOOKUP('Données projet'!$B$10,Paramètres!$A$1:$I$89,3,0)*0.475*44/12</f>
        <v>7.1700266467653728E-16</v>
      </c>
      <c r="AX142" s="23">
        <f t="shared" si="114"/>
        <v>1.2457650083258027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68.441247976882536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-5.6843418860808015E-14</v>
      </c>
      <c r="BE142" s="14">
        <f>BD142*VLOOKUP('Données projet'!$B$11,Paramètres!$A$1:$I$89,3,0)*VLOOKUP('Données projet'!$B$11,Paramètres!$A$1:$I$89,5,0)</f>
        <v>-5.1431925385259088E-14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462.677457131175</v>
      </c>
      <c r="BJ142" s="62">
        <f t="shared" si="146"/>
        <v>291.78368401945909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0.44463224693215808</v>
      </c>
      <c r="BR142" s="23">
        <f>EXP(-LN(2)/2)*BR141+(1-EXP(-LN(2)/2))/(LN(2)/2)*BL142*BO142*VLOOKUP('Données projet'!$B$11,Paramètres!$A$1:$I$89,3,0)*0.475*44/12</f>
        <v>5.8524311825236352E-16</v>
      </c>
      <c r="BS142" s="24">
        <f t="shared" si="117"/>
        <v>0.44463224693215869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68.441247976882536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-5.6843418860808015E-14</v>
      </c>
      <c r="BZ142" s="14">
        <f>BY142*VLOOKUP('Données projet'!$B$12,Paramètres!$A$1:$I$89,3,0)*VLOOKUP('Données projet'!$B$12,Paramètres!$A$1:$I$89,5,0)</f>
        <v>-3.1036506698001178E-14</v>
      </c>
      <c r="CA142" s="14" t="e">
        <f t="shared" si="147"/>
        <v>#NUM!</v>
      </c>
      <c r="CB142" s="22" t="e">
        <f t="shared" si="118"/>
        <v>#NUM!</v>
      </c>
      <c r="CC142" s="62" t="e">
        <f t="shared" si="119"/>
        <v>#NUM!</v>
      </c>
      <c r="CD142" s="62">
        <f ca="1">AVERAGE(OFFSET($CC$3,0,0,'Données projet'!$E$12+1,1))-AVERAGE(OFFSET($H$3,0,0,'Données projet'!$E$12+1,1))</f>
        <v>302.37244372118971</v>
      </c>
      <c r="CE142" s="62">
        <f t="shared" si="148"/>
        <v>439.56450354660171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0.87041532739997463</v>
      </c>
      <c r="CL142" s="23">
        <f>EXP(-LN(2)/25)*CL141+(1-EXP(-LN(2)/25))/(LN(2)/25)*Calculateur!CG142*Calculateur!CI142*VLOOKUP('Données projet'!$B$12,Paramètres!$A$1:$I$89,3,0)*0.475*44/12</f>
        <v>0.82313876265359831</v>
      </c>
      <c r="CM142" s="23">
        <f>EXP(-LN(2)/2)*CM141+(1-EXP(-LN(2)/2))/(LN(2)/2)*CG142*CJ142*VLOOKUP('Données projet'!$B$12,Paramètres!$A$1:$I$89,3,0)*0.475*44/12</f>
        <v>6.3004213423421119E-16</v>
      </c>
      <c r="CN142" s="24">
        <f t="shared" si="120"/>
        <v>1.6935540900535735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68.441247976882536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2.8421709430404007E-14</v>
      </c>
      <c r="CU142" s="18">
        <f>CT142*VLOOKUP('Données projet'!$B$13,Paramètres!$A$1:$I$89,3,0)*VLOOKUP('Données projet'!$B$13,Paramètres!$A$1:$I$89,5,0)</f>
        <v>2.0838797354372217E-14</v>
      </c>
      <c r="CV142" s="14">
        <f t="shared" si="149"/>
        <v>3.7575774393093487E-13</v>
      </c>
      <c r="CW142" s="22">
        <f t="shared" si="121"/>
        <v>6.9073897607190981E-13</v>
      </c>
      <c r="CX142" s="62">
        <f t="shared" si="122"/>
        <v>287.61790924857002</v>
      </c>
      <c r="CY142" s="62">
        <f ca="1">AVERAGE(OFFSET($CX$3,0,0,'Données projet'!$E$13+1,1))-AVERAGE(OFFSET($H$3,0,0,'Données projet'!$E$13+1,1))</f>
        <v>300.12722359176314</v>
      </c>
      <c r="CZ142" s="62">
        <f t="shared" si="150"/>
        <v>313.35115626175946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0.58502585990958766</v>
      </c>
      <c r="DH142" s="23">
        <f>EXP(-LN(2)/2)*DH141+(1-EXP(-LN(2)/2))/(LN(2)/2)*DB142*DE142*VLOOKUP('Données projet'!$B$13,Paramètres!$A$1:$I$89,3,0)*0.475*44/12</f>
        <v>5.9116371989584398E-16</v>
      </c>
      <c r="DI142" s="24">
        <f t="shared" si="123"/>
        <v>0.58502585990958822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68.441247976882536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68.441247976882536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68.441247976882536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68.441247976882536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68.441247976882536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3.55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13.016666666666666</v>
      </c>
      <c r="H143" s="70">
        <f t="shared" si="110"/>
        <v>204.6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68.468288839636159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-2.2737367544323206E-13</v>
      </c>
      <c r="O143" s="14">
        <f>N143*VLOOKUP('Données projet'!$B$9,Paramètres!$A$1:$I$89,3,0)*VLOOKUP('Données projet'!$B$9,Paramètres!$A$1:$I$89,5,0)</f>
        <v>-1.2710188457276673E-13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455.44531340185631</v>
      </c>
      <c r="T143" s="62">
        <f t="shared" si="142"/>
        <v>560.14861617544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1.2232223921957388</v>
      </c>
      <c r="AA143" s="23">
        <f>EXP(-LN(2)/25)*AA142+(1-EXP(-LN(2)/25))/(LN(2)/25)*Calculateur!V143*Calculateur!X143*VLOOKUP('Données projet'!$B$9,Paramètres!$A$1:$I$89,3,0)*0.475*44/12</f>
        <v>0.67355622159298933</v>
      </c>
      <c r="AB143" s="23">
        <f>EXP(-LN(2)/2)*AB142+(1-EXP(-LN(2)/2))/(LN(2)/2)*V143*Y143*VLOOKUP('Données projet'!$B$9,Paramètres!$A$1:$I$89,3,0)*0.475*44/12</f>
        <v>3.6843216423033465E-16</v>
      </c>
      <c r="AC143" s="24">
        <f t="shared" si="111"/>
        <v>1.8967786137887286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68.468288839636159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1.9895196601282805E-13</v>
      </c>
      <c r="AJ143" s="14">
        <f>AI143*VLOOKUP('Données projet'!$B$10,Paramètres!$A$1:$I$89,3,0)*VLOOKUP('Données projet'!$B$10,Paramètres!$A$1:$I$89,5,0)</f>
        <v>1.738044375088066E-13</v>
      </c>
      <c r="AK143" s="14">
        <f t="shared" si="143"/>
        <v>2.4483293633950478E-12</v>
      </c>
      <c r="AL143" s="22">
        <f t="shared" si="112"/>
        <v>4.566883036574213E-12</v>
      </c>
      <c r="AM143" s="62">
        <f t="shared" si="113"/>
        <v>287.71705907867045</v>
      </c>
      <c r="AN143" s="62">
        <f ca="1">AVERAGE(OFFSET($AM$3,0,0,'Données projet'!$E$10+1,1))-AVERAGE(OFFSET($H$3,0,0,'Données projet'!$E$10+1,1))</f>
        <v>335.71510570470264</v>
      </c>
      <c r="AO143" s="62">
        <f t="shared" si="144"/>
        <v>401.61823018046482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1.2116994986611984</v>
      </c>
      <c r="AW143" s="23">
        <f>EXP(-LN(2)/2)*AW142+(1-EXP(-LN(2)/2))/(LN(2)/2)*AQ143*AT143*VLOOKUP('Données projet'!$B$10,Paramètres!$A$1:$I$89,3,0)*0.475*44/12</f>
        <v>5.0699744632160374E-16</v>
      </c>
      <c r="AX143" s="23">
        <f t="shared" si="114"/>
        <v>1.2116994986611989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68.468288839636159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-5.6843418860808015E-14</v>
      </c>
      <c r="BE143" s="14">
        <f>BD143*VLOOKUP('Données projet'!$B$11,Paramètres!$A$1:$I$89,3,0)*VLOOKUP('Données projet'!$B$11,Paramètres!$A$1:$I$89,5,0)</f>
        <v>-5.1431925385259088E-14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462.677457131175</v>
      </c>
      <c r="BJ143" s="62">
        <f t="shared" si="146"/>
        <v>291.78368401945909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0.43247375475760458</v>
      </c>
      <c r="BR143" s="23">
        <f>EXP(-LN(2)/2)*BR142+(1-EXP(-LN(2)/2))/(LN(2)/2)*BL143*BO143*VLOOKUP('Données projet'!$B$11,Paramètres!$A$1:$I$89,3,0)*0.475*44/12</f>
        <v>4.1382937755900677E-16</v>
      </c>
      <c r="BS143" s="24">
        <f t="shared" si="117"/>
        <v>0.43247375475760497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68.468288839636159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-5.6843418860808015E-14</v>
      </c>
      <c r="BZ143" s="14">
        <f>BY143*VLOOKUP('Données projet'!$B$12,Paramètres!$A$1:$I$89,3,0)*VLOOKUP('Données projet'!$B$12,Paramètres!$A$1:$I$89,5,0)</f>
        <v>-3.1036506698001178E-14</v>
      </c>
      <c r="CA143" s="14" t="e">
        <f t="shared" si="147"/>
        <v>#NUM!</v>
      </c>
      <c r="CB143" s="22" t="e">
        <f t="shared" si="118"/>
        <v>#NUM!</v>
      </c>
      <c r="CC143" s="62" t="e">
        <f t="shared" si="119"/>
        <v>#NUM!</v>
      </c>
      <c r="CD143" s="62">
        <f ca="1">AVERAGE(OFFSET($CC$3,0,0,'Données projet'!$E$12+1,1))-AVERAGE(OFFSET($H$3,0,0,'Données projet'!$E$12+1,1))</f>
        <v>302.37244372118971</v>
      </c>
      <c r="CE143" s="62">
        <f t="shared" si="148"/>
        <v>439.56450354660171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0.85334701373058874</v>
      </c>
      <c r="CL143" s="23">
        <f>EXP(-LN(2)/25)*CL142+(1-EXP(-LN(2)/25))/(LN(2)/25)*Calculateur!CG143*Calculateur!CI143*VLOOKUP('Données projet'!$B$12,Paramètres!$A$1:$I$89,3,0)*0.475*44/12</f>
        <v>0.80062998990184941</v>
      </c>
      <c r="CM143" s="23">
        <f>EXP(-LN(2)/2)*CM142+(1-EXP(-LN(2)/2))/(LN(2)/2)*CG143*CJ143*VLOOKUP('Données projet'!$B$12,Paramètres!$A$1:$I$89,3,0)*0.475*44/12</f>
        <v>4.4550706555025578E-16</v>
      </c>
      <c r="CN143" s="24">
        <f t="shared" si="120"/>
        <v>1.6539770036324386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68.468288839636159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2.8421709430404007E-14</v>
      </c>
      <c r="CU143" s="18">
        <f>CT143*VLOOKUP('Données projet'!$B$13,Paramètres!$A$1:$I$89,3,0)*VLOOKUP('Données projet'!$B$13,Paramètres!$A$1:$I$89,5,0)</f>
        <v>2.0838797354372217E-14</v>
      </c>
      <c r="CV143" s="14">
        <f t="shared" si="149"/>
        <v>3.7575774393093487E-13</v>
      </c>
      <c r="CW143" s="22">
        <f t="shared" si="121"/>
        <v>6.9073897607190981E-13</v>
      </c>
      <c r="CX143" s="62">
        <f t="shared" si="122"/>
        <v>287.71705907866658</v>
      </c>
      <c r="CY143" s="62">
        <f ca="1">AVERAGE(OFFSET($CX$3,0,0,'Données projet'!$E$13+1,1))-AVERAGE(OFFSET($H$3,0,0,'Données projet'!$E$13+1,1))</f>
        <v>300.12722359176314</v>
      </c>
      <c r="CZ143" s="62">
        <f t="shared" si="150"/>
        <v>313.35115626175946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0.56902829700518709</v>
      </c>
      <c r="DH143" s="23">
        <f>EXP(-LN(2)/2)*DH142+(1-EXP(-LN(2)/2))/(LN(2)/2)*DB143*DE143*VLOOKUP('Données projet'!$B$13,Paramètres!$A$1:$I$89,3,0)*0.475*44/12</f>
        <v>4.1801587512981603E-16</v>
      </c>
      <c r="DI143" s="24">
        <f t="shared" si="123"/>
        <v>0.56902829700518753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68.468288839636159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68.468288839636159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68.468288839636159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68.468288839636159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68.468288839636159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3.55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13.016666666666666</v>
      </c>
      <c r="H144" s="70">
        <f t="shared" si="110"/>
        <v>204.6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68.494860603875338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-2.2737367544323206E-13</v>
      </c>
      <c r="O144" s="14">
        <f>N144*VLOOKUP('Données projet'!$B$9,Paramètres!$A$1:$I$89,3,0)*VLOOKUP('Données projet'!$B$9,Paramètres!$A$1:$I$89,5,0)</f>
        <v>-1.2710188457276673E-13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455.44531340185631</v>
      </c>
      <c r="T144" s="62">
        <f t="shared" si="142"/>
        <v>560.14861617544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1.1992357471767692</v>
      </c>
      <c r="AA144" s="23">
        <f>EXP(-LN(2)/25)*AA143+(1-EXP(-LN(2)/25))/(LN(2)/25)*Calculateur!V144*Calculateur!X144*VLOOKUP('Données projet'!$B$9,Paramètres!$A$1:$I$89,3,0)*0.475*44/12</f>
        <v>0.65513779129274674</v>
      </c>
      <c r="AB144" s="23">
        <f>EXP(-LN(2)/2)*AB143+(1-EXP(-LN(2)/2))/(LN(2)/2)*V144*Y144*VLOOKUP('Données projet'!$B$9,Paramètres!$A$1:$I$89,3,0)*0.475*44/12</f>
        <v>2.6052088173450538E-16</v>
      </c>
      <c r="AC144" s="24">
        <f t="shared" si="111"/>
        <v>1.8543735384695161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68.494860603875338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1.9895196601282805E-13</v>
      </c>
      <c r="AJ144" s="14">
        <f>AI144*VLOOKUP('Données projet'!$B$10,Paramètres!$A$1:$I$89,3,0)*VLOOKUP('Données projet'!$B$10,Paramètres!$A$1:$I$89,5,0)</f>
        <v>1.738044375088066E-13</v>
      </c>
      <c r="AK144" s="14">
        <f t="shared" si="143"/>
        <v>2.4483293633950478E-12</v>
      </c>
      <c r="AL144" s="22">
        <f t="shared" si="112"/>
        <v>4.566883036574213E-12</v>
      </c>
      <c r="AM144" s="62">
        <f t="shared" si="113"/>
        <v>287.81448888088079</v>
      </c>
      <c r="AN144" s="62">
        <f ca="1">AVERAGE(OFFSET($AM$3,0,0,'Données projet'!$E$10+1,1))-AVERAGE(OFFSET($H$3,0,0,'Données projet'!$E$10+1,1))</f>
        <v>335.71510570470264</v>
      </c>
      <c r="AO144" s="62">
        <f t="shared" si="144"/>
        <v>401.61823018046482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1.1785655121498007</v>
      </c>
      <c r="AW144" s="23">
        <f>EXP(-LN(2)/2)*AW143+(1-EXP(-LN(2)/2))/(LN(2)/2)*AQ144*AT144*VLOOKUP('Données projet'!$B$10,Paramètres!$A$1:$I$89,3,0)*0.475*44/12</f>
        <v>3.5850133233826864E-16</v>
      </c>
      <c r="AX144" s="23">
        <f t="shared" si="114"/>
        <v>1.1785655121498011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68.494860603875338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-5.6843418860808015E-14</v>
      </c>
      <c r="BE144" s="14">
        <f>BD144*VLOOKUP('Données projet'!$B$11,Paramètres!$A$1:$I$89,3,0)*VLOOKUP('Données projet'!$B$11,Paramètres!$A$1:$I$89,5,0)</f>
        <v>-5.1431925385259088E-14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462.677457131175</v>
      </c>
      <c r="BJ144" s="62">
        <f t="shared" si="146"/>
        <v>291.78368401945909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0.42064773719095155</v>
      </c>
      <c r="BR144" s="23">
        <f>EXP(-LN(2)/2)*BR143+(1-EXP(-LN(2)/2))/(LN(2)/2)*BL144*BO144*VLOOKUP('Données projet'!$B$11,Paramètres!$A$1:$I$89,3,0)*0.475*44/12</f>
        <v>2.9262155912618176E-16</v>
      </c>
      <c r="BS144" s="24">
        <f t="shared" si="117"/>
        <v>0.42064773719095183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68.494860603875338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-5.6843418860808015E-14</v>
      </c>
      <c r="BZ144" s="14">
        <f>BY144*VLOOKUP('Données projet'!$B$12,Paramètres!$A$1:$I$89,3,0)*VLOOKUP('Données projet'!$B$12,Paramètres!$A$1:$I$89,5,0)</f>
        <v>-3.1036506698001178E-14</v>
      </c>
      <c r="CA144" s="14" t="e">
        <f t="shared" si="147"/>
        <v>#NUM!</v>
      </c>
      <c r="CB144" s="22" t="e">
        <f t="shared" si="118"/>
        <v>#NUM!</v>
      </c>
      <c r="CC144" s="62" t="e">
        <f t="shared" si="119"/>
        <v>#NUM!</v>
      </c>
      <c r="CD144" s="62">
        <f ca="1">AVERAGE(OFFSET($CC$3,0,0,'Données projet'!$E$12+1,1))-AVERAGE(OFFSET($H$3,0,0,'Données projet'!$E$12+1,1))</f>
        <v>302.37244372118971</v>
      </c>
      <c r="CE144" s="62">
        <f t="shared" si="148"/>
        <v>439.56450354660171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0.83661339928161615</v>
      </c>
      <c r="CL144" s="23">
        <f>EXP(-LN(2)/25)*CL143+(1-EXP(-LN(2)/25))/(LN(2)/25)*Calculateur!CG144*Calculateur!CI144*VLOOKUP('Données projet'!$B$12,Paramètres!$A$1:$I$89,3,0)*0.475*44/12</f>
        <v>0.77873672072468203</v>
      </c>
      <c r="CM144" s="23">
        <f>EXP(-LN(2)/2)*CM143+(1-EXP(-LN(2)/2))/(LN(2)/2)*CG144*CJ144*VLOOKUP('Données projet'!$B$12,Paramètres!$A$1:$I$89,3,0)*0.475*44/12</f>
        <v>3.150210671171056E-16</v>
      </c>
      <c r="CN144" s="24">
        <f t="shared" si="120"/>
        <v>1.6153501200062983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68.494860603875338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2.8421709430404007E-14</v>
      </c>
      <c r="CU144" s="18">
        <f>CT144*VLOOKUP('Données projet'!$B$13,Paramètres!$A$1:$I$89,3,0)*VLOOKUP('Données projet'!$B$13,Paramètres!$A$1:$I$89,5,0)</f>
        <v>2.0838797354372217E-14</v>
      </c>
      <c r="CV144" s="14">
        <f t="shared" si="149"/>
        <v>3.7575774393093487E-13</v>
      </c>
      <c r="CW144" s="22">
        <f t="shared" si="121"/>
        <v>6.9073897607190981E-13</v>
      </c>
      <c r="CX144" s="62">
        <f t="shared" si="122"/>
        <v>287.81448888087692</v>
      </c>
      <c r="CY144" s="62">
        <f ca="1">AVERAGE(OFFSET($CX$3,0,0,'Données projet'!$E$13+1,1))-AVERAGE(OFFSET($H$3,0,0,'Données projet'!$E$13+1,1))</f>
        <v>300.12722359176314</v>
      </c>
      <c r="CZ144" s="62">
        <f t="shared" si="150"/>
        <v>313.35115626175946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0.5534681882996827</v>
      </c>
      <c r="DH144" s="23">
        <f>EXP(-LN(2)/2)*DH143+(1-EXP(-LN(2)/2))/(LN(2)/2)*DB144*DE144*VLOOKUP('Données projet'!$B$13,Paramètres!$A$1:$I$89,3,0)*0.475*44/12</f>
        <v>2.9558185994792199E-16</v>
      </c>
      <c r="DI144" s="24">
        <f t="shared" si="123"/>
        <v>0.55346818829968303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68.494860603875338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68.494860603875338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68.494860603875338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68.494860603875338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68.494860603875338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3.55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13.016666666666666</v>
      </c>
      <c r="H145" s="70">
        <f t="shared" si="110"/>
        <v>204.6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68.520971407410514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-2.2737367544323206E-13</v>
      </c>
      <c r="O145" s="14">
        <f>N145*VLOOKUP('Données projet'!$B$9,Paramètres!$A$1:$I$89,3,0)*VLOOKUP('Données projet'!$B$9,Paramètres!$A$1:$I$89,5,0)</f>
        <v>-1.2710188457276673E-13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455.44531340185631</v>
      </c>
      <c r="T145" s="62">
        <f t="shared" si="142"/>
        <v>560.14861617544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1.1757194656362127</v>
      </c>
      <c r="AA145" s="23">
        <f>EXP(-LN(2)/25)*AA144+(1-EXP(-LN(2)/25))/(LN(2)/25)*Calculateur!V145*Calculateur!X145*VLOOKUP('Données projet'!$B$9,Paramètres!$A$1:$I$89,3,0)*0.475*44/12</f>
        <v>0.63722301393764746</v>
      </c>
      <c r="AB145" s="23">
        <f>EXP(-LN(2)/2)*AB144+(1-EXP(-LN(2)/2))/(LN(2)/2)*V145*Y145*VLOOKUP('Données projet'!$B$9,Paramètres!$A$1:$I$89,3,0)*0.475*44/12</f>
        <v>1.8421608211516733E-16</v>
      </c>
      <c r="AC145" s="24">
        <f t="shared" si="111"/>
        <v>1.8129424795738605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68.520971407410514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1.9895196601282805E-13</v>
      </c>
      <c r="AJ145" s="14">
        <f>AI145*VLOOKUP('Données projet'!$B$10,Paramètres!$A$1:$I$89,3,0)*VLOOKUP('Données projet'!$B$10,Paramètres!$A$1:$I$89,5,0)</f>
        <v>1.738044375088066E-13</v>
      </c>
      <c r="AK145" s="14">
        <f t="shared" si="143"/>
        <v>2.4483293633950478E-12</v>
      </c>
      <c r="AL145" s="22">
        <f t="shared" si="112"/>
        <v>4.566883036574213E-12</v>
      </c>
      <c r="AM145" s="62">
        <f t="shared" si="113"/>
        <v>287.91022849384308</v>
      </c>
      <c r="AN145" s="62">
        <f ca="1">AVERAGE(OFFSET($AM$3,0,0,'Données projet'!$E$10+1,1))-AVERAGE(OFFSET($H$3,0,0,'Données projet'!$E$10+1,1))</f>
        <v>335.71510570470264</v>
      </c>
      <c r="AO145" s="62">
        <f t="shared" si="144"/>
        <v>401.61823018046482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1.1463375762419976</v>
      </c>
      <c r="AW145" s="23">
        <f>EXP(-LN(2)/2)*AW144+(1-EXP(-LN(2)/2))/(LN(2)/2)*AQ145*AT145*VLOOKUP('Données projet'!$B$10,Paramètres!$A$1:$I$89,3,0)*0.475*44/12</f>
        <v>2.5349872316080187E-16</v>
      </c>
      <c r="AX145" s="23">
        <f t="shared" si="114"/>
        <v>1.1463375762419978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68.520971407410514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-5.6843418860808015E-14</v>
      </c>
      <c r="BE145" s="14">
        <f>BD145*VLOOKUP('Données projet'!$B$11,Paramètres!$A$1:$I$89,3,0)*VLOOKUP('Données projet'!$B$11,Paramètres!$A$1:$I$89,5,0)</f>
        <v>-5.1431925385259088E-14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462.677457131175</v>
      </c>
      <c r="BJ145" s="62">
        <f t="shared" si="146"/>
        <v>291.78368401945909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0.4091451026965619</v>
      </c>
      <c r="BR145" s="23">
        <f>EXP(-LN(2)/2)*BR144+(1-EXP(-LN(2)/2))/(LN(2)/2)*BL145*BO145*VLOOKUP('Données projet'!$B$11,Paramètres!$A$1:$I$89,3,0)*0.475*44/12</f>
        <v>2.0691468877950339E-16</v>
      </c>
      <c r="BS145" s="24">
        <f t="shared" si="117"/>
        <v>0.40914510269656212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68.520971407410514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-5.6843418860808015E-14</v>
      </c>
      <c r="BZ145" s="14">
        <f>BY145*VLOOKUP('Données projet'!$B$12,Paramètres!$A$1:$I$89,3,0)*VLOOKUP('Données projet'!$B$12,Paramètres!$A$1:$I$89,5,0)</f>
        <v>-3.1036506698001178E-14</v>
      </c>
      <c r="CA145" s="14" t="e">
        <f t="shared" si="147"/>
        <v>#NUM!</v>
      </c>
      <c r="CB145" s="22" t="e">
        <f t="shared" si="118"/>
        <v>#NUM!</v>
      </c>
      <c r="CC145" s="62" t="e">
        <f t="shared" si="119"/>
        <v>#NUM!</v>
      </c>
      <c r="CD145" s="62">
        <f ca="1">AVERAGE(OFFSET($CC$3,0,0,'Données projet'!$E$12+1,1))-AVERAGE(OFFSET($H$3,0,0,'Données projet'!$E$12+1,1))</f>
        <v>302.37244372118971</v>
      </c>
      <c r="CE145" s="62">
        <f t="shared" si="148"/>
        <v>439.56450354660171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0.82020792080549088</v>
      </c>
      <c r="CL145" s="23">
        <f>EXP(-LN(2)/25)*CL144+(1-EXP(-LN(2)/25))/(LN(2)/25)*Calculateur!CG145*Calculateur!CI145*VLOOKUP('Données projet'!$B$12,Paramètres!$A$1:$I$89,3,0)*0.475*44/12</f>
        <v>0.75744212414448131</v>
      </c>
      <c r="CM145" s="23">
        <f>EXP(-LN(2)/2)*CM144+(1-EXP(-LN(2)/2))/(LN(2)/2)*CG145*CJ145*VLOOKUP('Données projet'!$B$12,Paramètres!$A$1:$I$89,3,0)*0.475*44/12</f>
        <v>2.2275353277512789E-16</v>
      </c>
      <c r="CN145" s="24">
        <f t="shared" si="120"/>
        <v>1.5776500449499724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68.520971407410514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2.8421709430404007E-14</v>
      </c>
      <c r="CU145" s="18">
        <f>CT145*VLOOKUP('Données projet'!$B$13,Paramètres!$A$1:$I$89,3,0)*VLOOKUP('Données projet'!$B$13,Paramètres!$A$1:$I$89,5,0)</f>
        <v>2.0838797354372217E-14</v>
      </c>
      <c r="CV145" s="14">
        <f t="shared" si="149"/>
        <v>3.7575774393093487E-13</v>
      </c>
      <c r="CW145" s="22">
        <f t="shared" si="121"/>
        <v>6.9073897607190981E-13</v>
      </c>
      <c r="CX145" s="62">
        <f t="shared" si="122"/>
        <v>287.91022849383921</v>
      </c>
      <c r="CY145" s="62">
        <f ca="1">AVERAGE(OFFSET($CX$3,0,0,'Données projet'!$E$13+1,1))-AVERAGE(OFFSET($H$3,0,0,'Données projet'!$E$13+1,1))</f>
        <v>300.12722359176314</v>
      </c>
      <c r="CZ145" s="62">
        <f t="shared" si="150"/>
        <v>313.35115626175946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0.53833357158500084</v>
      </c>
      <c r="DH145" s="23">
        <f>EXP(-LN(2)/2)*DH144+(1-EXP(-LN(2)/2))/(LN(2)/2)*DB145*DE145*VLOOKUP('Données projet'!$B$13,Paramètres!$A$1:$I$89,3,0)*0.475*44/12</f>
        <v>2.0900793756490801E-16</v>
      </c>
      <c r="DI145" s="24">
        <f t="shared" si="123"/>
        <v>0.53833357158500106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68.520971407410514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68.520971407410514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68.520971407410514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68.520971407410514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68.520971407410514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3.55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13.016666666666666</v>
      </c>
      <c r="H146" s="70">
        <f t="shared" si="110"/>
        <v>204.6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68.546629246879377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-2.2737367544323206E-13</v>
      </c>
      <c r="O146" s="14">
        <f>N146*VLOOKUP('Données projet'!$B$9,Paramètres!$A$1:$I$89,3,0)*VLOOKUP('Données projet'!$B$9,Paramètres!$A$1:$I$89,5,0)</f>
        <v>-1.2710188457276673E-13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455.44531340185631</v>
      </c>
      <c r="T146" s="62">
        <f t="shared" si="142"/>
        <v>560.14861617544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1.1526643240331511</v>
      </c>
      <c r="AA146" s="23">
        <f>EXP(-LN(2)/25)*AA145+(1-EXP(-LN(2)/25))/(LN(2)/25)*Calculateur!V146*Calculateur!X146*VLOOKUP('Données projet'!$B$9,Paramètres!$A$1:$I$89,3,0)*0.475*44/12</f>
        <v>0.61979811711142063</v>
      </c>
      <c r="AB146" s="23">
        <f>EXP(-LN(2)/2)*AB145+(1-EXP(-LN(2)/2))/(LN(2)/2)*V146*Y146*VLOOKUP('Données projet'!$B$9,Paramètres!$A$1:$I$89,3,0)*0.475*44/12</f>
        <v>1.3026044086725269E-16</v>
      </c>
      <c r="AC146" s="24">
        <f t="shared" si="111"/>
        <v>1.772462441144572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68.546629246879377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1.9895196601282805E-13</v>
      </c>
      <c r="AJ146" s="14">
        <f>AI146*VLOOKUP('Données projet'!$B$10,Paramètres!$A$1:$I$89,3,0)*VLOOKUP('Données projet'!$B$10,Paramètres!$A$1:$I$89,5,0)</f>
        <v>1.738044375088066E-13</v>
      </c>
      <c r="AK146" s="14">
        <f t="shared" si="143"/>
        <v>2.4483293633950478E-12</v>
      </c>
      <c r="AL146" s="22">
        <f t="shared" si="112"/>
        <v>4.566883036574213E-12</v>
      </c>
      <c r="AM146" s="62">
        <f t="shared" si="113"/>
        <v>288.00430723856226</v>
      </c>
      <c r="AN146" s="62">
        <f ca="1">AVERAGE(OFFSET($AM$3,0,0,'Données projet'!$E$10+1,1))-AVERAGE(OFFSET($H$3,0,0,'Données projet'!$E$10+1,1))</f>
        <v>335.71510570470264</v>
      </c>
      <c r="AO146" s="62">
        <f t="shared" si="144"/>
        <v>401.61823018046482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1.114990914936387</v>
      </c>
      <c r="AW146" s="23">
        <f>EXP(-LN(2)/2)*AW145+(1-EXP(-LN(2)/2))/(LN(2)/2)*AQ146*AT146*VLOOKUP('Données projet'!$B$10,Paramètres!$A$1:$I$89,3,0)*0.475*44/12</f>
        <v>1.7925066616913432E-16</v>
      </c>
      <c r="AX146" s="23">
        <f t="shared" si="114"/>
        <v>1.1149909149363872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68.546629246879377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-5.6843418860808015E-14</v>
      </c>
      <c r="BE146" s="14">
        <f>BD146*VLOOKUP('Données projet'!$B$11,Paramètres!$A$1:$I$89,3,0)*VLOOKUP('Données projet'!$B$11,Paramètres!$A$1:$I$89,5,0)</f>
        <v>-5.1431925385259088E-14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462.677457131175</v>
      </c>
      <c r="BJ146" s="62">
        <f t="shared" si="146"/>
        <v>291.78368401945909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0.39795700834731856</v>
      </c>
      <c r="BR146" s="23">
        <f>EXP(-LN(2)/2)*BR145+(1-EXP(-LN(2)/2))/(LN(2)/2)*BL146*BO146*VLOOKUP('Données projet'!$B$11,Paramètres!$A$1:$I$89,3,0)*0.475*44/12</f>
        <v>1.4631077956309088E-16</v>
      </c>
      <c r="BS146" s="24">
        <f t="shared" si="117"/>
        <v>0.39795700834731873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68.546629246879377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-5.6843418860808015E-14</v>
      </c>
      <c r="BZ146" s="14">
        <f>BY146*VLOOKUP('Données projet'!$B$12,Paramètres!$A$1:$I$89,3,0)*VLOOKUP('Données projet'!$B$12,Paramètres!$A$1:$I$89,5,0)</f>
        <v>-3.1036506698001178E-14</v>
      </c>
      <c r="CA146" s="14" t="e">
        <f t="shared" si="147"/>
        <v>#NUM!</v>
      </c>
      <c r="CB146" s="22" t="e">
        <f t="shared" si="118"/>
        <v>#NUM!</v>
      </c>
      <c r="CC146" s="62" t="e">
        <f t="shared" si="119"/>
        <v>#NUM!</v>
      </c>
      <c r="CD146" s="62">
        <f ca="1">AVERAGE(OFFSET($CC$3,0,0,'Données projet'!$E$12+1,1))-AVERAGE(OFFSET($H$3,0,0,'Données projet'!$E$12+1,1))</f>
        <v>302.37244372118971</v>
      </c>
      <c r="CE146" s="62">
        <f t="shared" si="148"/>
        <v>439.56450354660171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0.80412414375592856</v>
      </c>
      <c r="CL146" s="23">
        <f>EXP(-LN(2)/25)*CL145+(1-EXP(-LN(2)/25))/(LN(2)/25)*Calculateur!CG146*Calculateur!CI146*VLOOKUP('Données projet'!$B$12,Paramètres!$A$1:$I$89,3,0)*0.475*44/12</f>
        <v>0.73672982942760035</v>
      </c>
      <c r="CM146" s="23">
        <f>EXP(-LN(2)/2)*CM145+(1-EXP(-LN(2)/2))/(LN(2)/2)*CG146*CJ146*VLOOKUP('Données projet'!$B$12,Paramètres!$A$1:$I$89,3,0)*0.475*44/12</f>
        <v>1.575105335585528E-16</v>
      </c>
      <c r="CN146" s="24">
        <f t="shared" si="120"/>
        <v>1.5408539731835291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68.546629246879377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2.8421709430404007E-14</v>
      </c>
      <c r="CU146" s="18">
        <f>CT146*VLOOKUP('Données projet'!$B$13,Paramètres!$A$1:$I$89,3,0)*VLOOKUP('Données projet'!$B$13,Paramètres!$A$1:$I$89,5,0)</f>
        <v>2.0838797354372217E-14</v>
      </c>
      <c r="CV146" s="14">
        <f t="shared" si="149"/>
        <v>3.7575774393093487E-13</v>
      </c>
      <c r="CW146" s="22">
        <f t="shared" si="121"/>
        <v>6.9073897607190981E-13</v>
      </c>
      <c r="CX146" s="62">
        <f t="shared" si="122"/>
        <v>288.0043072385584</v>
      </c>
      <c r="CY146" s="62">
        <f ca="1">AVERAGE(OFFSET($CX$3,0,0,'Données projet'!$E$13+1,1))-AVERAGE(OFFSET($H$3,0,0,'Données projet'!$E$13+1,1))</f>
        <v>300.12722359176314</v>
      </c>
      <c r="CZ146" s="62">
        <f t="shared" si="150"/>
        <v>313.35115626175946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0.52361281176027685</v>
      </c>
      <c r="DH146" s="23">
        <f>EXP(-LN(2)/2)*DH145+(1-EXP(-LN(2)/2))/(LN(2)/2)*DB146*DE146*VLOOKUP('Données projet'!$B$13,Paramètres!$A$1:$I$89,3,0)*0.475*44/12</f>
        <v>1.4779092997396099E-16</v>
      </c>
      <c r="DI146" s="24">
        <f t="shared" si="123"/>
        <v>0.52361281176027696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68.546629246879377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68.546629246879377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68.546629246879377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68.546629246879377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68.546629246879377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3.55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13.016666666666666</v>
      </c>
      <c r="H147" s="70">
        <f t="shared" si="110"/>
        <v>204.6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68.571841980195799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-2.2737367544323206E-13</v>
      </c>
      <c r="O147" s="14">
        <f>N147*VLOOKUP('Données projet'!$B$9,Paramètres!$A$1:$I$89,3,0)*VLOOKUP('Données projet'!$B$9,Paramètres!$A$1:$I$89,5,0)</f>
        <v>-1.2710188457276673E-13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455.44531340185631</v>
      </c>
      <c r="T147" s="62">
        <f t="shared" si="142"/>
        <v>560.14861617544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1.1300612796946776</v>
      </c>
      <c r="AA147" s="23">
        <f>EXP(-LN(2)/25)*AA146+(1-EXP(-LN(2)/25))/(LN(2)/25)*Calculateur!V147*Calculateur!X147*VLOOKUP('Données projet'!$B$9,Paramètres!$A$1:$I$89,3,0)*0.475*44/12</f>
        <v>0.60284970500524238</v>
      </c>
      <c r="AB147" s="23">
        <f>EXP(-LN(2)/2)*AB146+(1-EXP(-LN(2)/2))/(LN(2)/2)*V147*Y147*VLOOKUP('Données projet'!$B$9,Paramètres!$A$1:$I$89,3,0)*0.475*44/12</f>
        <v>9.2108041057583663E-17</v>
      </c>
      <c r="AC147" s="24">
        <f t="shared" si="111"/>
        <v>1.73291098469992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68.571841980195799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1.9895196601282805E-13</v>
      </c>
      <c r="AJ147" s="14">
        <f>AI147*VLOOKUP('Données projet'!$B$10,Paramètres!$A$1:$I$89,3,0)*VLOOKUP('Données projet'!$B$10,Paramètres!$A$1:$I$89,5,0)</f>
        <v>1.738044375088066E-13</v>
      </c>
      <c r="AK147" s="14">
        <f t="shared" si="143"/>
        <v>2.4483293633950478E-12</v>
      </c>
      <c r="AL147" s="22">
        <f t="shared" si="112"/>
        <v>4.566883036574213E-12</v>
      </c>
      <c r="AM147" s="62">
        <f t="shared" si="113"/>
        <v>288.09675392738916</v>
      </c>
      <c r="AN147" s="62">
        <f ca="1">AVERAGE(OFFSET($AM$3,0,0,'Données projet'!$E$10+1,1))-AVERAGE(OFFSET($H$3,0,0,'Données projet'!$E$10+1,1))</f>
        <v>335.71510570470264</v>
      </c>
      <c r="AO147" s="62">
        <f t="shared" si="144"/>
        <v>401.61823018046482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1.0845014297326276</v>
      </c>
      <c r="AW147" s="23">
        <f>EXP(-LN(2)/2)*AW146+(1-EXP(-LN(2)/2))/(LN(2)/2)*AQ147*AT147*VLOOKUP('Données projet'!$B$10,Paramètres!$A$1:$I$89,3,0)*0.475*44/12</f>
        <v>1.2674936158040094E-16</v>
      </c>
      <c r="AX147" s="23">
        <f t="shared" si="114"/>
        <v>1.0845014297326279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68.571841980195799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-5.6843418860808015E-14</v>
      </c>
      <c r="BE147" s="14">
        <f>BD147*VLOOKUP('Données projet'!$B$11,Paramètres!$A$1:$I$89,3,0)*VLOOKUP('Données projet'!$B$11,Paramètres!$A$1:$I$89,5,0)</f>
        <v>-5.1431925385259088E-14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462.677457131175</v>
      </c>
      <c r="BJ147" s="62">
        <f t="shared" si="146"/>
        <v>291.78368401945909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0.38707485302641159</v>
      </c>
      <c r="BR147" s="23">
        <f>EXP(-LN(2)/2)*BR146+(1-EXP(-LN(2)/2))/(LN(2)/2)*BL147*BO147*VLOOKUP('Données projet'!$B$11,Paramètres!$A$1:$I$89,3,0)*0.475*44/12</f>
        <v>1.0345734438975169E-16</v>
      </c>
      <c r="BS147" s="24">
        <f t="shared" si="117"/>
        <v>0.3870748530264117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68.571841980195799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-5.6843418860808015E-14</v>
      </c>
      <c r="BZ147" s="14">
        <f>BY147*VLOOKUP('Données projet'!$B$12,Paramètres!$A$1:$I$89,3,0)*VLOOKUP('Données projet'!$B$12,Paramètres!$A$1:$I$89,5,0)</f>
        <v>-3.1036506698001178E-14</v>
      </c>
      <c r="CA147" s="14" t="e">
        <f t="shared" si="147"/>
        <v>#NUM!</v>
      </c>
      <c r="CB147" s="22" t="e">
        <f t="shared" si="118"/>
        <v>#NUM!</v>
      </c>
      <c r="CC147" s="62" t="e">
        <f t="shared" si="119"/>
        <v>#NUM!</v>
      </c>
      <c r="CD147" s="62">
        <f ca="1">AVERAGE(OFFSET($CC$3,0,0,'Données projet'!$E$12+1,1))-AVERAGE(OFFSET($H$3,0,0,'Données projet'!$E$12+1,1))</f>
        <v>302.37244372118971</v>
      </c>
      <c r="CE147" s="62">
        <f t="shared" si="148"/>
        <v>439.56450354660171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0.78835575976417283</v>
      </c>
      <c r="CL147" s="23">
        <f>EXP(-LN(2)/25)*CL146+(1-EXP(-LN(2)/25))/(LN(2)/25)*Calculateur!CG147*Calculateur!CI147*VLOOKUP('Données projet'!$B$12,Paramètres!$A$1:$I$89,3,0)*0.475*44/12</f>
        <v>0.71658391349896466</v>
      </c>
      <c r="CM147" s="23">
        <f>EXP(-LN(2)/2)*CM146+(1-EXP(-LN(2)/2))/(LN(2)/2)*CG147*CJ147*VLOOKUP('Données projet'!$B$12,Paramètres!$A$1:$I$89,3,0)*0.475*44/12</f>
        <v>1.1137676638756394E-16</v>
      </c>
      <c r="CN147" s="24">
        <f t="shared" si="120"/>
        <v>1.5049396732631377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68.571841980195799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2.8421709430404007E-14</v>
      </c>
      <c r="CU147" s="18">
        <f>CT147*VLOOKUP('Données projet'!$B$13,Paramètres!$A$1:$I$89,3,0)*VLOOKUP('Données projet'!$B$13,Paramètres!$A$1:$I$89,5,0)</f>
        <v>2.0838797354372217E-14</v>
      </c>
      <c r="CV147" s="14">
        <f t="shared" si="149"/>
        <v>3.7575774393093487E-13</v>
      </c>
      <c r="CW147" s="22">
        <f t="shared" si="121"/>
        <v>6.9073897607190981E-13</v>
      </c>
      <c r="CX147" s="62">
        <f t="shared" si="122"/>
        <v>288.09675392738529</v>
      </c>
      <c r="CY147" s="62">
        <f ca="1">AVERAGE(OFFSET($CX$3,0,0,'Données projet'!$E$13+1,1))-AVERAGE(OFFSET($H$3,0,0,'Données projet'!$E$13+1,1))</f>
        <v>300.12722359176314</v>
      </c>
      <c r="CZ147" s="62">
        <f t="shared" si="150"/>
        <v>313.35115626175946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0.50929459188709103</v>
      </c>
      <c r="DH147" s="23">
        <f>EXP(-LN(2)/2)*DH146+(1-EXP(-LN(2)/2))/(LN(2)/2)*DB147*DE147*VLOOKUP('Données projet'!$B$13,Paramètres!$A$1:$I$89,3,0)*0.475*44/12</f>
        <v>1.0450396878245401E-16</v>
      </c>
      <c r="DI147" s="24">
        <f t="shared" si="123"/>
        <v>0.50929459188709114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68.571841980195799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68.571841980195799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68.571841980195799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68.571841980195799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68.571841980195799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3.55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13.016666666666666</v>
      </c>
      <c r="H148" s="70">
        <f t="shared" si="110"/>
        <v>204.6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68.596617328956398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-2.2737367544323206E-13</v>
      </c>
      <c r="O148" s="14">
        <f>N148*VLOOKUP('Données projet'!$B$9,Paramètres!$A$1:$I$89,3,0)*VLOOKUP('Données projet'!$B$9,Paramètres!$A$1:$I$89,5,0)</f>
        <v>-1.2710188457276673E-13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455.44531340185631</v>
      </c>
      <c r="T148" s="62">
        <f t="shared" si="142"/>
        <v>560.14861617544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1.1079014672691858</v>
      </c>
      <c r="AA148" s="23">
        <f>EXP(-LN(2)/25)*AA147+(1-EXP(-LN(2)/25))/(LN(2)/25)*Calculateur!V148*Calculateur!X148*VLOOKUP('Données projet'!$B$9,Paramètres!$A$1:$I$89,3,0)*0.475*44/12</f>
        <v>0.58636474811938588</v>
      </c>
      <c r="AB148" s="23">
        <f>EXP(-LN(2)/2)*AB147+(1-EXP(-LN(2)/2))/(LN(2)/2)*V148*Y148*VLOOKUP('Données projet'!$B$9,Paramètres!$A$1:$I$89,3,0)*0.475*44/12</f>
        <v>6.5130220433626345E-17</v>
      </c>
      <c r="AC148" s="24">
        <f t="shared" si="111"/>
        <v>1.6942662153885717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68.596617328956398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1.9895196601282805E-13</v>
      </c>
      <c r="AJ148" s="14">
        <f>AI148*VLOOKUP('Données projet'!$B$10,Paramètres!$A$1:$I$89,3,0)*VLOOKUP('Données projet'!$B$10,Paramètres!$A$1:$I$89,5,0)</f>
        <v>1.738044375088066E-13</v>
      </c>
      <c r="AK148" s="14">
        <f t="shared" si="143"/>
        <v>2.4483293633950478E-12</v>
      </c>
      <c r="AL148" s="22">
        <f t="shared" si="112"/>
        <v>4.566883036574213E-12</v>
      </c>
      <c r="AM148" s="62">
        <f t="shared" si="113"/>
        <v>288.18759687284467</v>
      </c>
      <c r="AN148" s="62">
        <f ca="1">AVERAGE(OFFSET($AM$3,0,0,'Données projet'!$E$10+1,1))-AVERAGE(OFFSET($H$3,0,0,'Données projet'!$E$10+1,1))</f>
        <v>335.71510570470264</v>
      </c>
      <c r="AO148" s="62">
        <f t="shared" si="144"/>
        <v>401.61823018046482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1.0548456811051374</v>
      </c>
      <c r="AW148" s="23">
        <f>EXP(-LN(2)/2)*AW147+(1-EXP(-LN(2)/2))/(LN(2)/2)*AQ148*AT148*VLOOKUP('Données projet'!$B$10,Paramètres!$A$1:$I$89,3,0)*0.475*44/12</f>
        <v>8.962533308456716E-17</v>
      </c>
      <c r="AX148" s="23">
        <f t="shared" si="114"/>
        <v>1.0548456811051374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68.596617328956398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-5.6843418860808015E-14</v>
      </c>
      <c r="BE148" s="14">
        <f>BD148*VLOOKUP('Données projet'!$B$11,Paramètres!$A$1:$I$89,3,0)*VLOOKUP('Données projet'!$B$11,Paramètres!$A$1:$I$89,5,0)</f>
        <v>-5.1431925385259088E-14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462.677457131175</v>
      </c>
      <c r="BJ148" s="62">
        <f t="shared" si="146"/>
        <v>291.78368401945909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0.37649027081502251</v>
      </c>
      <c r="BR148" s="23">
        <f>EXP(-LN(2)/2)*BR147+(1-EXP(-LN(2)/2))/(LN(2)/2)*BL148*BO148*VLOOKUP('Données projet'!$B$11,Paramètres!$A$1:$I$89,3,0)*0.475*44/12</f>
        <v>7.315538978154544E-17</v>
      </c>
      <c r="BS148" s="24">
        <f t="shared" si="117"/>
        <v>0.37649027081502257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68.596617328956398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-5.6843418860808015E-14</v>
      </c>
      <c r="BZ148" s="14">
        <f>BY148*VLOOKUP('Données projet'!$B$12,Paramètres!$A$1:$I$89,3,0)*VLOOKUP('Données projet'!$B$12,Paramètres!$A$1:$I$89,5,0)</f>
        <v>-3.1036506698001178E-14</v>
      </c>
      <c r="CA148" s="14" t="e">
        <f t="shared" si="147"/>
        <v>#NUM!</v>
      </c>
      <c r="CB148" s="22" t="e">
        <f t="shared" si="118"/>
        <v>#NUM!</v>
      </c>
      <c r="CC148" s="62" t="e">
        <f t="shared" si="119"/>
        <v>#NUM!</v>
      </c>
      <c r="CD148" s="62">
        <f ca="1">AVERAGE(OFFSET($CC$3,0,0,'Données projet'!$E$12+1,1))-AVERAGE(OFFSET($H$3,0,0,'Données projet'!$E$12+1,1))</f>
        <v>302.37244372118971</v>
      </c>
      <c r="CE148" s="62">
        <f t="shared" si="148"/>
        <v>439.56450354660171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0.77289658416473095</v>
      </c>
      <c r="CL148" s="23">
        <f>EXP(-LN(2)/25)*CL147+(1-EXP(-LN(2)/25))/(LN(2)/25)*Calculateur!CG148*Calculateur!CI148*VLOOKUP('Données projet'!$B$12,Paramètres!$A$1:$I$89,3,0)*0.475*44/12</f>
        <v>0.6969888887008252</v>
      </c>
      <c r="CM148" s="23">
        <f>EXP(-LN(2)/2)*CM147+(1-EXP(-LN(2)/2))/(LN(2)/2)*CG148*CJ148*VLOOKUP('Données projet'!$B$12,Paramètres!$A$1:$I$89,3,0)*0.475*44/12</f>
        <v>7.8755266779276399E-17</v>
      </c>
      <c r="CN148" s="24">
        <f t="shared" si="120"/>
        <v>1.4698854728655562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68.596617328956398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2.8421709430404007E-14</v>
      </c>
      <c r="CU148" s="18">
        <f>CT148*VLOOKUP('Données projet'!$B$13,Paramètres!$A$1:$I$89,3,0)*VLOOKUP('Données projet'!$B$13,Paramètres!$A$1:$I$89,5,0)</f>
        <v>2.0838797354372217E-14</v>
      </c>
      <c r="CV148" s="14">
        <f t="shared" si="149"/>
        <v>3.7575774393093487E-13</v>
      </c>
      <c r="CW148" s="22">
        <f t="shared" si="121"/>
        <v>6.9073897607190981E-13</v>
      </c>
      <c r="CX148" s="62">
        <f t="shared" si="122"/>
        <v>288.1875968728408</v>
      </c>
      <c r="CY148" s="62">
        <f ca="1">AVERAGE(OFFSET($CX$3,0,0,'Données projet'!$E$13+1,1))-AVERAGE(OFFSET($H$3,0,0,'Données projet'!$E$13+1,1))</f>
        <v>300.12722359176314</v>
      </c>
      <c r="CZ148" s="62">
        <f t="shared" si="150"/>
        <v>313.35115626175946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0.49536790448929996</v>
      </c>
      <c r="DH148" s="23">
        <f>EXP(-LN(2)/2)*DH147+(1-EXP(-LN(2)/2))/(LN(2)/2)*DB148*DE148*VLOOKUP('Données projet'!$B$13,Paramètres!$A$1:$I$89,3,0)*0.475*44/12</f>
        <v>7.3895464986980497E-17</v>
      </c>
      <c r="DI148" s="24">
        <f t="shared" si="123"/>
        <v>0.49536790448930001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68.596617328956398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68.596617328956398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68.596617328956398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68.596617328956398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68.596617328956398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3.55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13.016666666666666</v>
      </c>
      <c r="H149" s="70">
        <f t="shared" si="110"/>
        <v>204.6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68.620962880805394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-2.2737367544323206E-13</v>
      </c>
      <c r="O149" s="14">
        <f>N149*VLOOKUP('Données projet'!$B$9,Paramètres!$A$1:$I$89,3,0)*VLOOKUP('Données projet'!$B$9,Paramètres!$A$1:$I$89,5,0)</f>
        <v>-1.2710188457276673E-13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455.44531340185631</v>
      </c>
      <c r="T149" s="62">
        <f t="shared" si="142"/>
        <v>560.14861617544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1.0861761952492071</v>
      </c>
      <c r="AA149" s="23">
        <f>EXP(-LN(2)/25)*AA148+(1-EXP(-LN(2)/25))/(LN(2)/25)*Calculateur!V149*Calculateur!X149*VLOOKUP('Données projet'!$B$9,Paramètres!$A$1:$I$89,3,0)*0.475*44/12</f>
        <v>0.57033057324647929</v>
      </c>
      <c r="AB149" s="23">
        <f>EXP(-LN(2)/2)*AB148+(1-EXP(-LN(2)/2))/(LN(2)/2)*V149*Y149*VLOOKUP('Données projet'!$B$9,Paramètres!$A$1:$I$89,3,0)*0.475*44/12</f>
        <v>4.6054020528791832E-17</v>
      </c>
      <c r="AC149" s="24">
        <f t="shared" si="111"/>
        <v>1.6565067684956865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68.620962880805394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1.9895196601282805E-13</v>
      </c>
      <c r="AJ149" s="14">
        <f>AI149*VLOOKUP('Données projet'!$B$10,Paramètres!$A$1:$I$89,3,0)*VLOOKUP('Données projet'!$B$10,Paramètres!$A$1:$I$89,5,0)</f>
        <v>1.738044375088066E-13</v>
      </c>
      <c r="AK149" s="14">
        <f t="shared" si="143"/>
        <v>2.4483293633950478E-12</v>
      </c>
      <c r="AL149" s="22">
        <f t="shared" si="112"/>
        <v>4.566883036574213E-12</v>
      </c>
      <c r="AM149" s="62">
        <f t="shared" si="113"/>
        <v>288.27686389629099</v>
      </c>
      <c r="AN149" s="62">
        <f ca="1">AVERAGE(OFFSET($AM$3,0,0,'Données projet'!$E$10+1,1))-AVERAGE(OFFSET($H$3,0,0,'Données projet'!$E$10+1,1))</f>
        <v>335.71510570470264</v>
      </c>
      <c r="AO149" s="62">
        <f t="shared" si="144"/>
        <v>401.61823018046482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1.0260008704833941</v>
      </c>
      <c r="AW149" s="23">
        <f>EXP(-LN(2)/2)*AW148+(1-EXP(-LN(2)/2))/(LN(2)/2)*AQ149*AT149*VLOOKUP('Données projet'!$B$10,Paramètres!$A$1:$I$89,3,0)*0.475*44/12</f>
        <v>6.3374680790200468E-17</v>
      </c>
      <c r="AX149" s="23">
        <f t="shared" si="114"/>
        <v>1.0260008704833941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68.620962880805394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-5.6843418860808015E-14</v>
      </c>
      <c r="BE149" s="14">
        <f>BD149*VLOOKUP('Données projet'!$B$11,Paramètres!$A$1:$I$89,3,0)*VLOOKUP('Données projet'!$B$11,Paramètres!$A$1:$I$89,5,0)</f>
        <v>-5.1431925385259088E-14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462.677457131175</v>
      </c>
      <c r="BJ149" s="62">
        <f t="shared" si="146"/>
        <v>291.78368401945909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0.36619512456082287</v>
      </c>
      <c r="BR149" s="23">
        <f>EXP(-LN(2)/2)*BR148+(1-EXP(-LN(2)/2))/(LN(2)/2)*BL149*BO149*VLOOKUP('Données projet'!$B$11,Paramètres!$A$1:$I$89,3,0)*0.475*44/12</f>
        <v>5.1728672194875846E-17</v>
      </c>
      <c r="BS149" s="24">
        <f t="shared" si="117"/>
        <v>0.36619512456082293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68.620962880805394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-5.6843418860808015E-14</v>
      </c>
      <c r="BZ149" s="14">
        <f>BY149*VLOOKUP('Données projet'!$B$12,Paramètres!$A$1:$I$89,3,0)*VLOOKUP('Données projet'!$B$12,Paramètres!$A$1:$I$89,5,0)</f>
        <v>-3.1036506698001178E-14</v>
      </c>
      <c r="CA149" s="14" t="e">
        <f t="shared" si="147"/>
        <v>#NUM!</v>
      </c>
      <c r="CB149" s="22" t="e">
        <f t="shared" si="118"/>
        <v>#NUM!</v>
      </c>
      <c r="CC149" s="62" t="e">
        <f t="shared" si="119"/>
        <v>#NUM!</v>
      </c>
      <c r="CD149" s="62">
        <f ca="1">AVERAGE(OFFSET($CC$3,0,0,'Données projet'!$E$12+1,1))-AVERAGE(OFFSET($H$3,0,0,'Données projet'!$E$12+1,1))</f>
        <v>302.37244372118971</v>
      </c>
      <c r="CE149" s="62">
        <f t="shared" si="148"/>
        <v>439.56450354660171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0.75774055356962799</v>
      </c>
      <c r="CL149" s="23">
        <f>EXP(-LN(2)/25)*CL148+(1-EXP(-LN(2)/25))/(LN(2)/25)*Calculateur!CG149*Calculateur!CI149*VLOOKUP('Données projet'!$B$12,Paramètres!$A$1:$I$89,3,0)*0.475*44/12</f>
        <v>0.67792969088624844</v>
      </c>
      <c r="CM149" s="23">
        <f>EXP(-LN(2)/2)*CM148+(1-EXP(-LN(2)/2))/(LN(2)/2)*CG149*CJ149*VLOOKUP('Données projet'!$B$12,Paramètres!$A$1:$I$89,3,0)*0.475*44/12</f>
        <v>5.5688383193781972E-17</v>
      </c>
      <c r="CN149" s="24">
        <f t="shared" si="120"/>
        <v>1.4356702444558764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68.620962880805394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2.8421709430404007E-14</v>
      </c>
      <c r="CU149" s="18">
        <f>CT149*VLOOKUP('Données projet'!$B$13,Paramètres!$A$1:$I$89,3,0)*VLOOKUP('Données projet'!$B$13,Paramètres!$A$1:$I$89,5,0)</f>
        <v>2.0838797354372217E-14</v>
      </c>
      <c r="CV149" s="14">
        <f t="shared" si="149"/>
        <v>3.7575774393093487E-13</v>
      </c>
      <c r="CW149" s="22">
        <f t="shared" si="121"/>
        <v>6.9073897607190981E-13</v>
      </c>
      <c r="CX149" s="62">
        <f t="shared" si="122"/>
        <v>288.27686389628713</v>
      </c>
      <c r="CY149" s="62">
        <f ca="1">AVERAGE(OFFSET($CX$3,0,0,'Données projet'!$E$13+1,1))-AVERAGE(OFFSET($H$3,0,0,'Données projet'!$E$13+1,1))</f>
        <v>300.12722359176314</v>
      </c>
      <c r="CZ149" s="62">
        <f t="shared" si="150"/>
        <v>313.35115626175946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0.48182204309077414</v>
      </c>
      <c r="DH149" s="23">
        <f>EXP(-LN(2)/2)*DH148+(1-EXP(-LN(2)/2))/(LN(2)/2)*DB149*DE149*VLOOKUP('Données projet'!$B$13,Paramètres!$A$1:$I$89,3,0)*0.475*44/12</f>
        <v>5.2251984391227003E-17</v>
      </c>
      <c r="DI149" s="24">
        <f t="shared" si="123"/>
        <v>0.4818220430907742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68.620962880805394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68.620962880805394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68.620962880805394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68.620962880805394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68.620962880805394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3.55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13.016666666666666</v>
      </c>
      <c r="H150" s="70">
        <f t="shared" si="110"/>
        <v>204.6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68.644886091758281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-2.2737367544323206E-13</v>
      </c>
      <c r="O150" s="14">
        <f>N150*VLOOKUP('Données projet'!$B$9,Paramètres!$A$1:$I$89,3,0)*VLOOKUP('Données projet'!$B$9,Paramètres!$A$1:$I$89,5,0)</f>
        <v>-1.2710188457276673E-13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455.44531340185631</v>
      </c>
      <c r="T150" s="62">
        <f t="shared" si="142"/>
        <v>560.14861617544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1.0648769425624325</v>
      </c>
      <c r="AA150" s="23">
        <f>EXP(-LN(2)/25)*AA149+(1-EXP(-LN(2)/25))/(LN(2)/25)*Calculateur!V150*Calculateur!X150*VLOOKUP('Données projet'!$B$9,Paramètres!$A$1:$I$89,3,0)*0.475*44/12</f>
        <v>0.55473485372867293</v>
      </c>
      <c r="AB150" s="23">
        <f>EXP(-LN(2)/2)*AB149+(1-EXP(-LN(2)/2))/(LN(2)/2)*V150*Y150*VLOOKUP('Données projet'!$B$9,Paramètres!$A$1:$I$89,3,0)*0.475*44/12</f>
        <v>3.2565110216813173E-17</v>
      </c>
      <c r="AC150" s="24">
        <f t="shared" si="111"/>
        <v>1.6196117962911054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68.644886091758281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1.9895196601282805E-13</v>
      </c>
      <c r="AJ150" s="14">
        <f>AI150*VLOOKUP('Données projet'!$B$10,Paramètres!$A$1:$I$89,3,0)*VLOOKUP('Données projet'!$B$10,Paramètres!$A$1:$I$89,5,0)</f>
        <v>1.738044375088066E-13</v>
      </c>
      <c r="AK150" s="14">
        <f t="shared" si="143"/>
        <v>2.4483293633950478E-12</v>
      </c>
      <c r="AL150" s="22">
        <f t="shared" si="112"/>
        <v>4.566883036574213E-12</v>
      </c>
      <c r="AM150" s="62">
        <f t="shared" si="113"/>
        <v>288.36458233645158</v>
      </c>
      <c r="AN150" s="62">
        <f ca="1">AVERAGE(OFFSET($AM$3,0,0,'Données projet'!$E$10+1,1))-AVERAGE(OFFSET($H$3,0,0,'Données projet'!$E$10+1,1))</f>
        <v>335.71510570470264</v>
      </c>
      <c r="AO150" s="62">
        <f t="shared" si="144"/>
        <v>401.61823018046482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0.99794482272498486</v>
      </c>
      <c r="AW150" s="23">
        <f>EXP(-LN(2)/2)*AW149+(1-EXP(-LN(2)/2))/(LN(2)/2)*AQ150*AT150*VLOOKUP('Données projet'!$B$10,Paramètres!$A$1:$I$89,3,0)*0.475*44/12</f>
        <v>4.481266654228358E-17</v>
      </c>
      <c r="AX150" s="23">
        <f t="shared" si="114"/>
        <v>0.99794482272498486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68.644886091758281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-5.6843418860808015E-14</v>
      </c>
      <c r="BE150" s="14">
        <f>BD150*VLOOKUP('Données projet'!$B$11,Paramètres!$A$1:$I$89,3,0)*VLOOKUP('Données projet'!$B$11,Paramètres!$A$1:$I$89,5,0)</f>
        <v>-5.1431925385259088E-14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462.677457131175</v>
      </c>
      <c r="BJ150" s="62">
        <f t="shared" si="146"/>
        <v>291.78368401945909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0.35618149962234252</v>
      </c>
      <c r="BR150" s="23">
        <f>EXP(-LN(2)/2)*BR149+(1-EXP(-LN(2)/2))/(LN(2)/2)*BL150*BO150*VLOOKUP('Données projet'!$B$11,Paramètres!$A$1:$I$89,3,0)*0.475*44/12</f>
        <v>3.657769489077272E-17</v>
      </c>
      <c r="BS150" s="24">
        <f t="shared" si="117"/>
        <v>0.35618149962234258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68.644886091758281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-5.6843418860808015E-14</v>
      </c>
      <c r="BZ150" s="14">
        <f>BY150*VLOOKUP('Données projet'!$B$12,Paramètres!$A$1:$I$89,3,0)*VLOOKUP('Données projet'!$B$12,Paramètres!$A$1:$I$89,5,0)</f>
        <v>-3.1036506698001178E-14</v>
      </c>
      <c r="CA150" s="14" t="e">
        <f t="shared" si="147"/>
        <v>#NUM!</v>
      </c>
      <c r="CB150" s="22" t="e">
        <f t="shared" si="118"/>
        <v>#NUM!</v>
      </c>
      <c r="CC150" s="62" t="e">
        <f t="shared" si="119"/>
        <v>#NUM!</v>
      </c>
      <c r="CD150" s="62">
        <f ca="1">AVERAGE(OFFSET($CC$3,0,0,'Données projet'!$E$12+1,1))-AVERAGE(OFFSET($H$3,0,0,'Données projet'!$E$12+1,1))</f>
        <v>302.37244372118971</v>
      </c>
      <c r="CE150" s="62">
        <f t="shared" si="148"/>
        <v>439.56450354660171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0.74288172349022918</v>
      </c>
      <c r="CL150" s="23">
        <f>EXP(-LN(2)/25)*CL149+(1-EXP(-LN(2)/25))/(LN(2)/25)*Calculateur!CG150*Calculateur!CI150*VLOOKUP('Données projet'!$B$12,Paramètres!$A$1:$I$89,3,0)*0.475*44/12</f>
        <v>0.65939166783819092</v>
      </c>
      <c r="CM150" s="23">
        <f>EXP(-LN(2)/2)*CM149+(1-EXP(-LN(2)/2))/(LN(2)/2)*CG150*CJ150*VLOOKUP('Données projet'!$B$12,Paramètres!$A$1:$I$89,3,0)*0.475*44/12</f>
        <v>3.93776333896382E-17</v>
      </c>
      <c r="CN150" s="24">
        <f t="shared" si="120"/>
        <v>1.40227339132842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68.644886091758281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2.8421709430404007E-14</v>
      </c>
      <c r="CU150" s="18">
        <f>CT150*VLOOKUP('Données projet'!$B$13,Paramètres!$A$1:$I$89,3,0)*VLOOKUP('Données projet'!$B$13,Paramètres!$A$1:$I$89,5,0)</f>
        <v>2.0838797354372217E-14</v>
      </c>
      <c r="CV150" s="14">
        <f t="shared" si="149"/>
        <v>3.7575774393093487E-13</v>
      </c>
      <c r="CW150" s="22">
        <f t="shared" si="121"/>
        <v>6.9073897607190981E-13</v>
      </c>
      <c r="CX150" s="62">
        <f t="shared" si="122"/>
        <v>288.36458233644771</v>
      </c>
      <c r="CY150" s="62">
        <f ca="1">AVERAGE(OFFSET($CX$3,0,0,'Données projet'!$E$13+1,1))-AVERAGE(OFFSET($H$3,0,0,'Données projet'!$E$13+1,1))</f>
        <v>300.12722359176314</v>
      </c>
      <c r="CZ150" s="62">
        <f t="shared" si="150"/>
        <v>313.35115626175946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0.4686465939845369</v>
      </c>
      <c r="DH150" s="23">
        <f>EXP(-LN(2)/2)*DH149+(1-EXP(-LN(2)/2))/(LN(2)/2)*DB150*DE150*VLOOKUP('Données projet'!$B$13,Paramètres!$A$1:$I$89,3,0)*0.475*44/12</f>
        <v>3.6947732493490249E-17</v>
      </c>
      <c r="DI150" s="24">
        <f t="shared" si="123"/>
        <v>0.46864659398453695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68.644886091758281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68.644886091758281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68.644886091758281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68.644886091758281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68.644886091758281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3.55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13.016666666666666</v>
      </c>
      <c r="H151" s="70">
        <f t="shared" si="110"/>
        <v>204.6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68.668394288485445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-2.2737367544323206E-13</v>
      </c>
      <c r="O151" s="14">
        <f>N151*VLOOKUP('Données projet'!$B$9,Paramètres!$A$1:$I$89,3,0)*VLOOKUP('Données projet'!$B$9,Paramètres!$A$1:$I$89,5,0)</f>
        <v>-1.2710188457276673E-13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455.44531340185631</v>
      </c>
      <c r="T151" s="62">
        <f t="shared" si="142"/>
        <v>560.14861617544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1.0439953552295842</v>
      </c>
      <c r="AA151" s="23">
        <f>EXP(-LN(2)/25)*AA150+(1-EXP(-LN(2)/25))/(LN(2)/25)*Calculateur!V151*Calculateur!X151*VLOOKUP('Données projet'!$B$9,Paramètres!$A$1:$I$89,3,0)*0.475*44/12</f>
        <v>0.53956559998122422</v>
      </c>
      <c r="AB151" s="23">
        <f>EXP(-LN(2)/2)*AB150+(1-EXP(-LN(2)/2))/(LN(2)/2)*V151*Y151*VLOOKUP('Données projet'!$B$9,Paramètres!$A$1:$I$89,3,0)*0.475*44/12</f>
        <v>2.3027010264395916E-17</v>
      </c>
      <c r="AC151" s="24">
        <f t="shared" si="111"/>
        <v>1.5835609552108085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68.668394288485445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1.9895196601282805E-13</v>
      </c>
      <c r="AJ151" s="14">
        <f>AI151*VLOOKUP('Données projet'!$B$10,Paramètres!$A$1:$I$89,3,0)*VLOOKUP('Données projet'!$B$10,Paramètres!$A$1:$I$89,5,0)</f>
        <v>1.738044375088066E-13</v>
      </c>
      <c r="AK151" s="14">
        <f t="shared" si="143"/>
        <v>2.4483293633950478E-12</v>
      </c>
      <c r="AL151" s="22">
        <f t="shared" si="112"/>
        <v>4.566883036574213E-12</v>
      </c>
      <c r="AM151" s="62">
        <f t="shared" si="113"/>
        <v>288.45077905778453</v>
      </c>
      <c r="AN151" s="62">
        <f ca="1">AVERAGE(OFFSET($AM$3,0,0,'Données projet'!$E$10+1,1))-AVERAGE(OFFSET($H$3,0,0,'Données projet'!$E$10+1,1))</f>
        <v>335.71510570470264</v>
      </c>
      <c r="AO151" s="62">
        <f t="shared" si="144"/>
        <v>401.61823018046482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0.97065596906793272</v>
      </c>
      <c r="AW151" s="23">
        <f>EXP(-LN(2)/2)*AW150+(1-EXP(-LN(2)/2))/(LN(2)/2)*AQ151*AT151*VLOOKUP('Données projet'!$B$10,Paramètres!$A$1:$I$89,3,0)*0.475*44/12</f>
        <v>3.1687340395100234E-17</v>
      </c>
      <c r="AX151" s="23">
        <f t="shared" si="114"/>
        <v>0.97065596906793272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68.668394288485445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-5.6843418860808015E-14</v>
      </c>
      <c r="BE151" s="14">
        <f>BD151*VLOOKUP('Données projet'!$B$11,Paramètres!$A$1:$I$89,3,0)*VLOOKUP('Données projet'!$B$11,Paramètres!$A$1:$I$89,5,0)</f>
        <v>-5.1431925385259088E-14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462.677457131175</v>
      </c>
      <c r="BJ151" s="62">
        <f t="shared" si="146"/>
        <v>291.78368401945909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0.34644169778439854</v>
      </c>
      <c r="BR151" s="23">
        <f>EXP(-LN(2)/2)*BR150+(1-EXP(-LN(2)/2))/(LN(2)/2)*BL151*BO151*VLOOKUP('Données projet'!$B$11,Paramètres!$A$1:$I$89,3,0)*0.475*44/12</f>
        <v>2.5864336097437923E-17</v>
      </c>
      <c r="BS151" s="24">
        <f t="shared" si="117"/>
        <v>0.34644169778439854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68.668394288485445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-5.6843418860808015E-14</v>
      </c>
      <c r="BZ151" s="14">
        <f>BY151*VLOOKUP('Données projet'!$B$12,Paramètres!$A$1:$I$89,3,0)*VLOOKUP('Données projet'!$B$12,Paramètres!$A$1:$I$89,5,0)</f>
        <v>-3.1036506698001178E-14</v>
      </c>
      <c r="CA151" s="14" t="e">
        <f t="shared" si="147"/>
        <v>#NUM!</v>
      </c>
      <c r="CB151" s="22" t="e">
        <f t="shared" si="118"/>
        <v>#NUM!</v>
      </c>
      <c r="CC151" s="62" t="e">
        <f t="shared" si="119"/>
        <v>#NUM!</v>
      </c>
      <c r="CD151" s="62">
        <f ca="1">AVERAGE(OFFSET($CC$3,0,0,'Données projet'!$E$12+1,1))-AVERAGE(OFFSET($H$3,0,0,'Données projet'!$E$12+1,1))</f>
        <v>302.37244372118971</v>
      </c>
      <c r="CE151" s="62">
        <f t="shared" si="148"/>
        <v>439.56450354660171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0.72831426600569593</v>
      </c>
      <c r="CL151" s="23">
        <f>EXP(-LN(2)/25)*CL150+(1-EXP(-LN(2)/25))/(LN(2)/25)*Calculateur!CG151*Calculateur!CI151*VLOOKUP('Données projet'!$B$12,Paramètres!$A$1:$I$89,3,0)*0.475*44/12</f>
        <v>0.64136056800525487</v>
      </c>
      <c r="CM151" s="23">
        <f>EXP(-LN(2)/2)*CM150+(1-EXP(-LN(2)/2))/(LN(2)/2)*CG151*CJ151*VLOOKUP('Données projet'!$B$12,Paramètres!$A$1:$I$89,3,0)*0.475*44/12</f>
        <v>2.7844191596890986E-17</v>
      </c>
      <c r="CN151" s="24">
        <f t="shared" si="120"/>
        <v>1.3696748340109508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68.668394288485445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2.8421709430404007E-14</v>
      </c>
      <c r="CU151" s="18">
        <f>CT151*VLOOKUP('Données projet'!$B$13,Paramètres!$A$1:$I$89,3,0)*VLOOKUP('Données projet'!$B$13,Paramètres!$A$1:$I$89,5,0)</f>
        <v>2.0838797354372217E-14</v>
      </c>
      <c r="CV151" s="14">
        <f t="shared" si="149"/>
        <v>3.7575774393093487E-13</v>
      </c>
      <c r="CW151" s="22">
        <f t="shared" si="121"/>
        <v>6.9073897607190981E-13</v>
      </c>
      <c r="CX151" s="62">
        <f t="shared" si="122"/>
        <v>288.45077905778066</v>
      </c>
      <c r="CY151" s="62">
        <f ca="1">AVERAGE(OFFSET($CX$3,0,0,'Données projet'!$E$13+1,1))-AVERAGE(OFFSET($H$3,0,0,'Données projet'!$E$13+1,1))</f>
        <v>300.12722359176314</v>
      </c>
      <c r="CZ151" s="62">
        <f t="shared" si="150"/>
        <v>313.35115626175946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0.45583142822697648</v>
      </c>
      <c r="DH151" s="23">
        <f>EXP(-LN(2)/2)*DH150+(1-EXP(-LN(2)/2))/(LN(2)/2)*DB151*DE151*VLOOKUP('Données projet'!$B$13,Paramètres!$A$1:$I$89,3,0)*0.475*44/12</f>
        <v>2.6125992195613502E-17</v>
      </c>
      <c r="DI151" s="24">
        <f t="shared" si="123"/>
        <v>0.45583142822697648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68.668394288485445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68.668394288485445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68.668394288485445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68.668394288485445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68.668394288485445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3.55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13.016666666666666</v>
      </c>
      <c r="H152" s="70">
        <f t="shared" si="110"/>
        <v>204.6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68.691494670555841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-2.2737367544323206E-13</v>
      </c>
      <c r="O152" s="14">
        <f>N152*VLOOKUP('Données projet'!$B$9,Paramètres!$A$1:$I$89,3,0)*VLOOKUP('Données projet'!$B$9,Paramètres!$A$1:$I$89,5,0)</f>
        <v>-1.2710188457276673E-13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455.44531340185631</v>
      </c>
      <c r="T152" s="62">
        <f t="shared" si="142"/>
        <v>560.14861617544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1.0235232430878225</v>
      </c>
      <c r="AA152" s="23">
        <f>EXP(-LN(2)/25)*AA151+(1-EXP(-LN(2)/25))/(LN(2)/25)*Calculateur!V152*Calculateur!X152*VLOOKUP('Données projet'!$B$9,Paramètres!$A$1:$I$89,3,0)*0.475*44/12</f>
        <v>0.52481115027521597</v>
      </c>
      <c r="AB152" s="23">
        <f>EXP(-LN(2)/2)*AB151+(1-EXP(-LN(2)/2))/(LN(2)/2)*V152*Y152*VLOOKUP('Données projet'!$B$9,Paramètres!$A$1:$I$89,3,0)*0.475*44/12</f>
        <v>1.6282555108406586E-17</v>
      </c>
      <c r="AC152" s="24">
        <f t="shared" si="111"/>
        <v>1.5483343933630385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68.691494670555841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1.9895196601282805E-13</v>
      </c>
      <c r="AJ152" s="14">
        <f>AI152*VLOOKUP('Données projet'!$B$10,Paramètres!$A$1:$I$89,3,0)*VLOOKUP('Données projet'!$B$10,Paramètres!$A$1:$I$89,5,0)</f>
        <v>1.738044375088066E-13</v>
      </c>
      <c r="AK152" s="14">
        <f t="shared" si="143"/>
        <v>2.4483293633950478E-12</v>
      </c>
      <c r="AL152" s="22">
        <f t="shared" si="112"/>
        <v>4.566883036574213E-12</v>
      </c>
      <c r="AM152" s="62">
        <f t="shared" si="113"/>
        <v>288.53548045870929</v>
      </c>
      <c r="AN152" s="62">
        <f ca="1">AVERAGE(OFFSET($AM$3,0,0,'Données projet'!$E$10+1,1))-AVERAGE(OFFSET($H$3,0,0,'Données projet'!$E$10+1,1))</f>
        <v>335.71510570470264</v>
      </c>
      <c r="AO152" s="62">
        <f t="shared" si="144"/>
        <v>401.61823018046482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0.94411333054919111</v>
      </c>
      <c r="AW152" s="23">
        <f>EXP(-LN(2)/2)*AW151+(1-EXP(-LN(2)/2))/(LN(2)/2)*AQ152*AT152*VLOOKUP('Données projet'!$B$10,Paramètres!$A$1:$I$89,3,0)*0.475*44/12</f>
        <v>2.240633327114179E-17</v>
      </c>
      <c r="AX152" s="23">
        <f t="shared" si="114"/>
        <v>0.94411333054919111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68.691494670555841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-5.6843418860808015E-14</v>
      </c>
      <c r="BE152" s="14">
        <f>BD152*VLOOKUP('Données projet'!$B$11,Paramètres!$A$1:$I$89,3,0)*VLOOKUP('Données projet'!$B$11,Paramètres!$A$1:$I$89,5,0)</f>
        <v>-5.1431925385259088E-14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462.677457131175</v>
      </c>
      <c r="BJ152" s="62">
        <f t="shared" si="146"/>
        <v>291.78368401945909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0.33696823133990705</v>
      </c>
      <c r="BR152" s="23">
        <f>EXP(-LN(2)/2)*BR151+(1-EXP(-LN(2)/2))/(LN(2)/2)*BL152*BO152*VLOOKUP('Données projet'!$B$11,Paramètres!$A$1:$I$89,3,0)*0.475*44/12</f>
        <v>1.828884744538636E-17</v>
      </c>
      <c r="BS152" s="24">
        <f t="shared" si="117"/>
        <v>0.33696823133990705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68.691494670555841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-5.6843418860808015E-14</v>
      </c>
      <c r="BZ152" s="14">
        <f>BY152*VLOOKUP('Données projet'!$B$12,Paramètres!$A$1:$I$89,3,0)*VLOOKUP('Données projet'!$B$12,Paramètres!$A$1:$I$89,5,0)</f>
        <v>-3.1036506698001178E-14</v>
      </c>
      <c r="CA152" s="14" t="e">
        <f t="shared" si="147"/>
        <v>#NUM!</v>
      </c>
      <c r="CB152" s="22" t="e">
        <f t="shared" si="118"/>
        <v>#NUM!</v>
      </c>
      <c r="CC152" s="62" t="e">
        <f t="shared" si="119"/>
        <v>#NUM!</v>
      </c>
      <c r="CD152" s="62">
        <f ca="1">AVERAGE(OFFSET($CC$3,0,0,'Données projet'!$E$12+1,1))-AVERAGE(OFFSET($H$3,0,0,'Données projet'!$E$12+1,1))</f>
        <v>302.37244372118971</v>
      </c>
      <c r="CE152" s="62">
        <f t="shared" si="148"/>
        <v>439.56450354660171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0.71403246747716265</v>
      </c>
      <c r="CL152" s="23">
        <f>EXP(-LN(2)/25)*CL151+(1-EXP(-LN(2)/25))/(LN(2)/25)*Calculateur!CG152*Calculateur!CI152*VLOOKUP('Données projet'!$B$12,Paramètres!$A$1:$I$89,3,0)*0.475*44/12</f>
        <v>0.6238225295454648</v>
      </c>
      <c r="CM152" s="23">
        <f>EXP(-LN(2)/2)*CM151+(1-EXP(-LN(2)/2))/(LN(2)/2)*CG152*CJ152*VLOOKUP('Données projet'!$B$12,Paramètres!$A$1:$I$89,3,0)*0.475*44/12</f>
        <v>1.96888166948191E-17</v>
      </c>
      <c r="CN152" s="24">
        <f t="shared" si="120"/>
        <v>1.3378549970226274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68.691494670555841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2.8421709430404007E-14</v>
      </c>
      <c r="CU152" s="18">
        <f>CT152*VLOOKUP('Données projet'!$B$13,Paramètres!$A$1:$I$89,3,0)*VLOOKUP('Données projet'!$B$13,Paramètres!$A$1:$I$89,5,0)</f>
        <v>2.0838797354372217E-14</v>
      </c>
      <c r="CV152" s="14">
        <f t="shared" si="149"/>
        <v>3.7575774393093487E-13</v>
      </c>
      <c r="CW152" s="22">
        <f t="shared" si="121"/>
        <v>6.9073897607190981E-13</v>
      </c>
      <c r="CX152" s="62">
        <f t="shared" si="122"/>
        <v>288.53548045870542</v>
      </c>
      <c r="CY152" s="62">
        <f ca="1">AVERAGE(OFFSET($CX$3,0,0,'Données projet'!$E$13+1,1))-AVERAGE(OFFSET($H$3,0,0,'Données projet'!$E$13+1,1))</f>
        <v>300.12722359176314</v>
      </c>
      <c r="CZ152" s="62">
        <f t="shared" si="150"/>
        <v>313.35115626175946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0.44336669385097682</v>
      </c>
      <c r="DH152" s="23">
        <f>EXP(-LN(2)/2)*DH151+(1-EXP(-LN(2)/2))/(LN(2)/2)*DB152*DE152*VLOOKUP('Données projet'!$B$13,Paramètres!$A$1:$I$89,3,0)*0.475*44/12</f>
        <v>1.8473866246745124E-17</v>
      </c>
      <c r="DI152" s="24">
        <f t="shared" si="123"/>
        <v>0.44336669385097682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68.691494670555841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68.691494670555841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68.691494670555841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68.691494670555841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68.691494670555841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3.55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13.016666666666666</v>
      </c>
      <c r="H153" s="70">
        <f t="shared" si="110"/>
        <v>204.6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68.714194312642036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-2.2737367544323206E-13</v>
      </c>
      <c r="O153" s="14">
        <f>N153*VLOOKUP('Données projet'!$B$9,Paramètres!$A$1:$I$89,3,0)*VLOOKUP('Données projet'!$B$9,Paramètres!$A$1:$I$89,5,0)</f>
        <v>-1.2710188457276673E-13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455.44531340185631</v>
      </c>
      <c r="T153" s="62">
        <f t="shared" si="142"/>
        <v>560.14861617544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1.0034525765784053</v>
      </c>
      <c r="AA153" s="23">
        <f>EXP(-LN(2)/25)*AA152+(1-EXP(-LN(2)/25))/(LN(2)/25)*Calculateur!V153*Calculateur!X153*VLOOKUP('Données projet'!$B$9,Paramètres!$A$1:$I$89,3,0)*0.475*44/12</f>
        <v>0.51046016177232123</v>
      </c>
      <c r="AB153" s="23">
        <f>EXP(-LN(2)/2)*AB152+(1-EXP(-LN(2)/2))/(LN(2)/2)*V153*Y153*VLOOKUP('Données projet'!$B$9,Paramètres!$A$1:$I$89,3,0)*0.475*44/12</f>
        <v>1.1513505132197958E-17</v>
      </c>
      <c r="AC153" s="24">
        <f t="shared" si="111"/>
        <v>1.5139127383507265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68.714194312642036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1.9895196601282805E-13</v>
      </c>
      <c r="AJ153" s="14">
        <f>AI153*VLOOKUP('Données projet'!$B$10,Paramètres!$A$1:$I$89,3,0)*VLOOKUP('Données projet'!$B$10,Paramètres!$A$1:$I$89,5,0)</f>
        <v>1.738044375088066E-13</v>
      </c>
      <c r="AK153" s="14">
        <f t="shared" si="143"/>
        <v>2.4483293633950478E-12</v>
      </c>
      <c r="AL153" s="22">
        <f t="shared" si="112"/>
        <v>4.566883036574213E-12</v>
      </c>
      <c r="AM153" s="62">
        <f t="shared" si="113"/>
        <v>288.61871247969202</v>
      </c>
      <c r="AN153" s="62">
        <f ca="1">AVERAGE(OFFSET($AM$3,0,0,'Données projet'!$E$10+1,1))-AVERAGE(OFFSET($H$3,0,0,'Données projet'!$E$10+1,1))</f>
        <v>335.71510570470264</v>
      </c>
      <c r="AO153" s="62">
        <f t="shared" si="144"/>
        <v>401.61823018046482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0.9182965018765612</v>
      </c>
      <c r="AW153" s="23">
        <f>EXP(-LN(2)/2)*AW152+(1-EXP(-LN(2)/2))/(LN(2)/2)*AQ153*AT153*VLOOKUP('Données projet'!$B$10,Paramètres!$A$1:$I$89,3,0)*0.475*44/12</f>
        <v>1.5843670197550117E-17</v>
      </c>
      <c r="AX153" s="23">
        <f t="shared" si="114"/>
        <v>0.9182965018765612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68.714194312642036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-5.6843418860808015E-14</v>
      </c>
      <c r="BE153" s="14">
        <f>BD153*VLOOKUP('Données projet'!$B$11,Paramètres!$A$1:$I$89,3,0)*VLOOKUP('Données projet'!$B$11,Paramètres!$A$1:$I$89,5,0)</f>
        <v>-5.1431925385259088E-14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462.677457131175</v>
      </c>
      <c r="BJ153" s="62">
        <f t="shared" si="146"/>
        <v>291.78368401945909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0.32775381733352815</v>
      </c>
      <c r="BR153" s="23">
        <f>EXP(-LN(2)/2)*BR152+(1-EXP(-LN(2)/2))/(LN(2)/2)*BL153*BO153*VLOOKUP('Données projet'!$B$11,Paramètres!$A$1:$I$89,3,0)*0.475*44/12</f>
        <v>1.2932168048718962E-17</v>
      </c>
      <c r="BS153" s="24">
        <f t="shared" si="117"/>
        <v>0.32775381733352815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68.714194312642036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-5.6843418860808015E-14</v>
      </c>
      <c r="BZ153" s="14">
        <f>BY153*VLOOKUP('Données projet'!$B$12,Paramètres!$A$1:$I$89,3,0)*VLOOKUP('Données projet'!$B$12,Paramètres!$A$1:$I$89,5,0)</f>
        <v>-3.1036506698001178E-14</v>
      </c>
      <c r="CA153" s="14" t="e">
        <f t="shared" si="147"/>
        <v>#NUM!</v>
      </c>
      <c r="CB153" s="22" t="e">
        <f t="shared" si="118"/>
        <v>#NUM!</v>
      </c>
      <c r="CC153" s="62" t="e">
        <f t="shared" si="119"/>
        <v>#NUM!</v>
      </c>
      <c r="CD153" s="62">
        <f ca="1">AVERAGE(OFFSET($CC$3,0,0,'Données projet'!$E$12+1,1))-AVERAGE(OFFSET($H$3,0,0,'Données projet'!$E$12+1,1))</f>
        <v>302.37244372118971</v>
      </c>
      <c r="CE153" s="62">
        <f t="shared" si="148"/>
        <v>439.56450354660171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0.70003072630673691</v>
      </c>
      <c r="CL153" s="23">
        <f>EXP(-LN(2)/25)*CL152+(1-EXP(-LN(2)/25))/(LN(2)/25)*Calculateur!CG153*Calculateur!CI153*VLOOKUP('Données projet'!$B$12,Paramètres!$A$1:$I$89,3,0)*0.475*44/12</f>
        <v>0.60676406966964302</v>
      </c>
      <c r="CM153" s="23">
        <f>EXP(-LN(2)/2)*CM152+(1-EXP(-LN(2)/2))/(LN(2)/2)*CG153*CJ153*VLOOKUP('Données projet'!$B$12,Paramètres!$A$1:$I$89,3,0)*0.475*44/12</f>
        <v>1.3922095798445493E-17</v>
      </c>
      <c r="CN153" s="24">
        <f t="shared" si="120"/>
        <v>1.3067947959763799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68.714194312642036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2.8421709430404007E-14</v>
      </c>
      <c r="CU153" s="18">
        <f>CT153*VLOOKUP('Données projet'!$B$13,Paramètres!$A$1:$I$89,3,0)*VLOOKUP('Données projet'!$B$13,Paramètres!$A$1:$I$89,5,0)</f>
        <v>2.0838797354372217E-14</v>
      </c>
      <c r="CV153" s="14">
        <f t="shared" si="149"/>
        <v>3.7575774393093487E-13</v>
      </c>
      <c r="CW153" s="22">
        <f t="shared" si="121"/>
        <v>6.9073897607190981E-13</v>
      </c>
      <c r="CX153" s="62">
        <f t="shared" si="122"/>
        <v>288.61871247968816</v>
      </c>
      <c r="CY153" s="62">
        <f ca="1">AVERAGE(OFFSET($CX$3,0,0,'Données projet'!$E$13+1,1))-AVERAGE(OFFSET($H$3,0,0,'Données projet'!$E$13+1,1))</f>
        <v>300.12722359176314</v>
      </c>
      <c r="CZ153" s="62">
        <f t="shared" si="150"/>
        <v>313.35115626175946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0.43124280829198075</v>
      </c>
      <c r="DH153" s="23">
        <f>EXP(-LN(2)/2)*DH152+(1-EXP(-LN(2)/2))/(LN(2)/2)*DB153*DE153*VLOOKUP('Données projet'!$B$13,Paramètres!$A$1:$I$89,3,0)*0.475*44/12</f>
        <v>1.3062996097806751E-17</v>
      </c>
      <c r="DI153" s="24">
        <f t="shared" si="123"/>
        <v>0.43124280829198075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68.714194312642036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68.714194312642036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68.714194312642036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68.714194312642036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68.714194312642036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3.55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13.016666666666666</v>
      </c>
      <c r="H154" s="70">
        <f t="shared" si="110"/>
        <v>204.6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68.736500166686824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-2.2737367544323206E-13</v>
      </c>
      <c r="O154" s="14">
        <f>N154*VLOOKUP('Données projet'!$B$9,Paramètres!$A$1:$I$89,3,0)*VLOOKUP('Données projet'!$B$9,Paramètres!$A$1:$I$89,5,0)</f>
        <v>-1.2710188457276673E-13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455.44531340185631</v>
      </c>
      <c r="T154" s="62">
        <f t="shared" si="142"/>
        <v>560.14861617544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0.98377548359733991</v>
      </c>
      <c r="AA154" s="23">
        <f>EXP(-LN(2)/25)*AA153+(1-EXP(-LN(2)/25))/(LN(2)/25)*Calculateur!V154*Calculateur!X154*VLOOKUP('Données projet'!$B$9,Paramètres!$A$1:$I$89,3,0)*0.475*44/12</f>
        <v>0.49650160180472386</v>
      </c>
      <c r="AB154" s="23">
        <f>EXP(-LN(2)/2)*AB153+(1-EXP(-LN(2)/2))/(LN(2)/2)*V154*Y154*VLOOKUP('Données projet'!$B$9,Paramètres!$A$1:$I$89,3,0)*0.475*44/12</f>
        <v>8.1412775542032932E-18</v>
      </c>
      <c r="AC154" s="24">
        <f t="shared" ref="AC154:AC203" si="163">SUM(Z154:AB154)</f>
        <v>1.4802770854020637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68.736500166686824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1.9895196601282805E-13</v>
      </c>
      <c r="AJ154" s="14">
        <f>AI154*VLOOKUP('Données projet'!$B$10,Paramètres!$A$1:$I$89,3,0)*VLOOKUP('Données projet'!$B$10,Paramètres!$A$1:$I$89,5,0)</f>
        <v>1.738044375088066E-13</v>
      </c>
      <c r="AK154" s="14">
        <f t="shared" ref="AK154:AK203" si="164">EXP(-1.0587+0.8836*LN(AJ154)+0.284)</f>
        <v>2.4483293633950478E-12</v>
      </c>
      <c r="AL154" s="22">
        <f t="shared" ref="AL154:AL203" si="165">(AJ154+AK154)*0.475*44/12</f>
        <v>4.566883036574213E-12</v>
      </c>
      <c r="AM154" s="62">
        <f t="shared" si="113"/>
        <v>288.70050061118957</v>
      </c>
      <c r="AN154" s="62">
        <f ca="1">AVERAGE(OFFSET($AM$3,0,0,'Données projet'!$E$10+1,1))-AVERAGE(OFFSET($H$3,0,0,'Données projet'!$E$10+1,1))</f>
        <v>335.71510570470264</v>
      </c>
      <c r="AO154" s="62">
        <f t="shared" si="144"/>
        <v>401.61823018046482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0.89318563574163234</v>
      </c>
      <c r="AW154" s="23">
        <f>EXP(-LN(2)/2)*AW153+(1-EXP(-LN(2)/2))/(LN(2)/2)*AQ154*AT154*VLOOKUP('Données projet'!$B$10,Paramètres!$A$1:$I$89,3,0)*0.475*44/12</f>
        <v>1.1203166635570895E-17</v>
      </c>
      <c r="AX154" s="23">
        <f t="shared" ref="AX154:AX203" si="166">SUM(AU154:AW154)</f>
        <v>0.89318563574163234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68.736500166686824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-5.6843418860808015E-14</v>
      </c>
      <c r="BE154" s="14">
        <f>BD154*VLOOKUP('Données projet'!$B$11,Paramètres!$A$1:$I$89,3,0)*VLOOKUP('Données projet'!$B$11,Paramètres!$A$1:$I$89,5,0)</f>
        <v>-5.1431925385259088E-14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462.677457131175</v>
      </c>
      <c r="BJ154" s="62">
        <f t="shared" si="146"/>
        <v>291.78368401945909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0.31879137196271867</v>
      </c>
      <c r="BR154" s="23">
        <f>EXP(-LN(2)/2)*BR153+(1-EXP(-LN(2)/2))/(LN(2)/2)*BL154*BO154*VLOOKUP('Données projet'!$B$11,Paramètres!$A$1:$I$89,3,0)*0.475*44/12</f>
        <v>9.1444237226931799E-18</v>
      </c>
      <c r="BS154" s="24">
        <f t="shared" ref="BS154:BS203" si="169">SUM(BP154:BR154)</f>
        <v>0.31879137196271867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68.736500166686824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-5.6843418860808015E-14</v>
      </c>
      <c r="BZ154" s="14">
        <f>BY154*VLOOKUP('Données projet'!$B$12,Paramètres!$A$1:$I$89,3,0)*VLOOKUP('Données projet'!$B$12,Paramètres!$A$1:$I$89,5,0)</f>
        <v>-3.1036506698001178E-14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302.37244372118971</v>
      </c>
      <c r="CE154" s="62">
        <f t="shared" si="148"/>
        <v>439.56450354660171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0.68630355074044436</v>
      </c>
      <c r="CL154" s="23">
        <f>EXP(-LN(2)/25)*CL153+(1-EXP(-LN(2)/25))/(LN(2)/25)*Calculateur!CG154*Calculateur!CI154*VLOOKUP('Données projet'!$B$12,Paramètres!$A$1:$I$89,3,0)*0.475*44/12</f>
        <v>0.59017207427619101</v>
      </c>
      <c r="CM154" s="23">
        <f>EXP(-LN(2)/2)*CM153+(1-EXP(-LN(2)/2))/(LN(2)/2)*CG154*CJ154*VLOOKUP('Données projet'!$B$12,Paramètres!$A$1:$I$89,3,0)*0.475*44/12</f>
        <v>9.8444083474095499E-18</v>
      </c>
      <c r="CN154" s="24">
        <f t="shared" ref="CN154:CN203" si="172">SUM(CK154:CM154)</f>
        <v>1.2764756250166354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68.736500166686824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2.8421709430404007E-14</v>
      </c>
      <c r="CU154" s="18">
        <f>CT154*VLOOKUP('Données projet'!$B$13,Paramètres!$A$1:$I$89,3,0)*VLOOKUP('Données projet'!$B$13,Paramètres!$A$1:$I$89,5,0)</f>
        <v>2.0838797354372217E-14</v>
      </c>
      <c r="CV154" s="14">
        <f t="shared" ref="CV154:CV203" si="173">EXP(-1.0587+0.8836*LN(CU154)+0.284)</f>
        <v>3.7575774393093487E-13</v>
      </c>
      <c r="CW154" s="22">
        <f t="shared" ref="CW154:CW203" si="174">(CU154+CV154)*0.475*44/12</f>
        <v>6.9073897607190981E-13</v>
      </c>
      <c r="CX154" s="62">
        <f t="shared" si="122"/>
        <v>288.7005006111857</v>
      </c>
      <c r="CY154" s="62">
        <f ca="1">AVERAGE(OFFSET($CX$3,0,0,'Données projet'!$E$13+1,1))-AVERAGE(OFFSET($H$3,0,0,'Données projet'!$E$13+1,1))</f>
        <v>300.12722359176314</v>
      </c>
      <c r="CZ154" s="62">
        <f t="shared" si="150"/>
        <v>313.35115626175946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0.41945045102116285</v>
      </c>
      <c r="DH154" s="23">
        <f>EXP(-LN(2)/2)*DH153+(1-EXP(-LN(2)/2))/(LN(2)/2)*DB154*DE154*VLOOKUP('Données projet'!$B$13,Paramètres!$A$1:$I$89,3,0)*0.475*44/12</f>
        <v>9.2369331233725622E-18</v>
      </c>
      <c r="DI154" s="24">
        <f t="shared" ref="DI154:DI203" si="175">SUM(DF154:DH154)</f>
        <v>0.41945045102116285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68.736500166686824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68.736500166686824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68.736500166686824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68.736500166686824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68.736500166686824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3.55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13.016666666666666</v>
      </c>
      <c r="H155" s="70">
        <f t="shared" si="110"/>
        <v>204.6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68.758419064032367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-2.2737367544323206E-13</v>
      </c>
      <c r="O155" s="14">
        <f>N155*VLOOKUP('Données projet'!$B$9,Paramètres!$A$1:$I$89,3,0)*VLOOKUP('Données projet'!$B$9,Paramètres!$A$1:$I$89,5,0)</f>
        <v>-1.2710188457276673E-13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455.44531340185631</v>
      </c>
      <c r="T155" s="62">
        <f t="shared" si="142"/>
        <v>560.14861617544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0.96448424640779162</v>
      </c>
      <c r="AA155" s="23">
        <f>EXP(-LN(2)/25)*AA154+(1-EXP(-LN(2)/25))/(LN(2)/25)*Calculateur!V155*Calculateur!X155*VLOOKUP('Données projet'!$B$9,Paramètres!$A$1:$I$89,3,0)*0.475*44/12</f>
        <v>0.48292473939348923</v>
      </c>
      <c r="AB155" s="23">
        <f>EXP(-LN(2)/2)*AB154+(1-EXP(-LN(2)/2))/(LN(2)/2)*V155*Y155*VLOOKUP('Données projet'!$B$9,Paramètres!$A$1:$I$89,3,0)*0.475*44/12</f>
        <v>5.7567525660989789E-18</v>
      </c>
      <c r="AC155" s="24">
        <f t="shared" si="163"/>
        <v>1.4474089858012809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68.758419064032367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1.9895196601282805E-13</v>
      </c>
      <c r="AJ155" s="14">
        <f>AI155*VLOOKUP('Données projet'!$B$10,Paramètres!$A$1:$I$89,3,0)*VLOOKUP('Données projet'!$B$10,Paramètres!$A$1:$I$89,5,0)</f>
        <v>1.738044375088066E-13</v>
      </c>
      <c r="AK155" s="14">
        <f t="shared" si="164"/>
        <v>2.4483293633950478E-12</v>
      </c>
      <c r="AL155" s="22">
        <f t="shared" si="165"/>
        <v>4.566883036574213E-12</v>
      </c>
      <c r="AM155" s="62">
        <f t="shared" si="113"/>
        <v>288.78086990145658</v>
      </c>
      <c r="AN155" s="62">
        <f ca="1">AVERAGE(OFFSET($AM$3,0,0,'Données projet'!$E$10+1,1))-AVERAGE(OFFSET($H$3,0,0,'Données projet'!$E$10+1,1))</f>
        <v>335.71510570470264</v>
      </c>
      <c r="AO155" s="62">
        <f t="shared" si="144"/>
        <v>401.61823018046482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0.86876142756168617</v>
      </c>
      <c r="AW155" s="23">
        <f>EXP(-LN(2)/2)*AW154+(1-EXP(-LN(2)/2))/(LN(2)/2)*AQ155*AT155*VLOOKUP('Données projet'!$B$10,Paramètres!$A$1:$I$89,3,0)*0.475*44/12</f>
        <v>7.9218350987750585E-18</v>
      </c>
      <c r="AX155" s="23">
        <f t="shared" si="166"/>
        <v>0.86876142756168617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68.758419064032367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-5.6843418860808015E-14</v>
      </c>
      <c r="BE155" s="14">
        <f>BD155*VLOOKUP('Données projet'!$B$11,Paramètres!$A$1:$I$89,3,0)*VLOOKUP('Données projet'!$B$11,Paramètres!$A$1:$I$89,5,0)</f>
        <v>-5.1431925385259088E-14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462.677457131175</v>
      </c>
      <c r="BJ155" s="62">
        <f t="shared" si="146"/>
        <v>291.78368401945909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0.31007400513188849</v>
      </c>
      <c r="BR155" s="23">
        <f>EXP(-LN(2)/2)*BR154+(1-EXP(-LN(2)/2))/(LN(2)/2)*BL155*BO155*VLOOKUP('Données projet'!$B$11,Paramètres!$A$1:$I$89,3,0)*0.475*44/12</f>
        <v>6.4660840243594808E-18</v>
      </c>
      <c r="BS155" s="24">
        <f t="shared" si="169"/>
        <v>0.31007400513188849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68.758419064032367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-5.6843418860808015E-14</v>
      </c>
      <c r="BZ155" s="14">
        <f>BY155*VLOOKUP('Données projet'!$B$12,Paramètres!$A$1:$I$89,3,0)*VLOOKUP('Données projet'!$B$12,Paramètres!$A$1:$I$89,5,0)</f>
        <v>-3.1036506698001178E-14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302.37244372118971</v>
      </c>
      <c r="CE155" s="62">
        <f t="shared" si="148"/>
        <v>439.56450354660171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0.6728455567142565</v>
      </c>
      <c r="CL155" s="23">
        <f>EXP(-LN(2)/25)*CL154+(1-EXP(-LN(2)/25))/(LN(2)/25)*Calculateur!CG155*Calculateur!CI155*VLOOKUP('Données projet'!$B$12,Paramètres!$A$1:$I$89,3,0)*0.475*44/12</f>
        <v>0.57403378786930803</v>
      </c>
      <c r="CM155" s="23">
        <f>EXP(-LN(2)/2)*CM154+(1-EXP(-LN(2)/2))/(LN(2)/2)*CG155*CJ155*VLOOKUP('Données projet'!$B$12,Paramètres!$A$1:$I$89,3,0)*0.475*44/12</f>
        <v>6.9610478992227465E-18</v>
      </c>
      <c r="CN155" s="24">
        <f t="shared" si="172"/>
        <v>1.2468793445835646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68.758419064032367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2.8421709430404007E-14</v>
      </c>
      <c r="CU155" s="18">
        <f>CT155*VLOOKUP('Données projet'!$B$13,Paramètres!$A$1:$I$89,3,0)*VLOOKUP('Données projet'!$B$13,Paramètres!$A$1:$I$89,5,0)</f>
        <v>2.0838797354372217E-14</v>
      </c>
      <c r="CV155" s="14">
        <f t="shared" si="173"/>
        <v>3.7575774393093487E-13</v>
      </c>
      <c r="CW155" s="22">
        <f t="shared" si="174"/>
        <v>6.9073897607190981E-13</v>
      </c>
      <c r="CX155" s="62">
        <f t="shared" si="122"/>
        <v>288.78086990145272</v>
      </c>
      <c r="CY155" s="62">
        <f ca="1">AVERAGE(OFFSET($CX$3,0,0,'Données projet'!$E$13+1,1))-AVERAGE(OFFSET($H$3,0,0,'Données projet'!$E$13+1,1))</f>
        <v>300.12722359176314</v>
      </c>
      <c r="CZ155" s="62">
        <f t="shared" si="150"/>
        <v>313.35115626175946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0.4079805563800486</v>
      </c>
      <c r="DH155" s="23">
        <f>EXP(-LN(2)/2)*DH154+(1-EXP(-LN(2)/2))/(LN(2)/2)*DB155*DE155*VLOOKUP('Données projet'!$B$13,Paramètres!$A$1:$I$89,3,0)*0.475*44/12</f>
        <v>6.5314980489033754E-18</v>
      </c>
      <c r="DI155" s="24">
        <f t="shared" si="175"/>
        <v>0.4079805563800486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68.758419064032367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68.758419064032367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68.758419064032367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68.758419064032367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68.758419064032367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3.55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13.016666666666666</v>
      </c>
      <c r="H156" s="70">
        <f t="shared" si="110"/>
        <v>204.6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68.779957717512275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-2.2737367544323206E-13</v>
      </c>
      <c r="O156" s="14">
        <f>N156*VLOOKUP('Données projet'!$B$9,Paramètres!$A$1:$I$89,3,0)*VLOOKUP('Données projet'!$B$9,Paramètres!$A$1:$I$89,5,0)</f>
        <v>-1.2710188457276673E-13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455.44531340185631</v>
      </c>
      <c r="T156" s="62">
        <f t="shared" si="142"/>
        <v>560.14861617544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0.94557129861303757</v>
      </c>
      <c r="AA156" s="23">
        <f>EXP(-LN(2)/25)*AA155+(1-EXP(-LN(2)/25))/(LN(2)/25)*Calculateur!V156*Calculateur!X156*VLOOKUP('Données projet'!$B$9,Paramètres!$A$1:$I$89,3,0)*0.475*44/12</f>
        <v>0.46971913699886597</v>
      </c>
      <c r="AB156" s="23">
        <f>EXP(-LN(2)/2)*AB155+(1-EXP(-LN(2)/2))/(LN(2)/2)*V156*Y156*VLOOKUP('Données projet'!$B$9,Paramètres!$A$1:$I$89,3,0)*0.475*44/12</f>
        <v>4.0706387771016466E-18</v>
      </c>
      <c r="AC156" s="24">
        <f t="shared" si="163"/>
        <v>1.4152904356119036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68.779957717512275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1.9895196601282805E-13</v>
      </c>
      <c r="AJ156" s="14">
        <f>AI156*VLOOKUP('Données projet'!$B$10,Paramètres!$A$1:$I$89,3,0)*VLOOKUP('Données projet'!$B$10,Paramètres!$A$1:$I$89,5,0)</f>
        <v>1.738044375088066E-13</v>
      </c>
      <c r="AK156" s="14">
        <f t="shared" si="164"/>
        <v>2.4483293633950478E-12</v>
      </c>
      <c r="AL156" s="22">
        <f t="shared" si="165"/>
        <v>4.566883036574213E-12</v>
      </c>
      <c r="AM156" s="62">
        <f t="shared" si="113"/>
        <v>288.85984496421622</v>
      </c>
      <c r="AN156" s="62">
        <f ca="1">AVERAGE(OFFSET($AM$3,0,0,'Données projet'!$E$10+1,1))-AVERAGE(OFFSET($H$3,0,0,'Données projet'!$E$10+1,1))</f>
        <v>335.71510570470264</v>
      </c>
      <c r="AO156" s="62">
        <f t="shared" si="144"/>
        <v>401.61823018046482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0.84500510063883394</v>
      </c>
      <c r="AW156" s="23">
        <f>EXP(-LN(2)/2)*AW155+(1-EXP(-LN(2)/2))/(LN(2)/2)*AQ156*AT156*VLOOKUP('Données projet'!$B$10,Paramètres!$A$1:$I$89,3,0)*0.475*44/12</f>
        <v>5.6015833177854475E-18</v>
      </c>
      <c r="AX156" s="23">
        <f t="shared" si="166"/>
        <v>0.84500510063883394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68.779957717512275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-5.6843418860808015E-14</v>
      </c>
      <c r="BE156" s="14">
        <f>BD156*VLOOKUP('Données projet'!$B$11,Paramètres!$A$1:$I$89,3,0)*VLOOKUP('Données projet'!$B$11,Paramètres!$A$1:$I$89,5,0)</f>
        <v>-5.1431925385259088E-14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462.677457131175</v>
      </c>
      <c r="BJ156" s="62">
        <f t="shared" si="146"/>
        <v>291.78368401945909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0.30159501515547377</v>
      </c>
      <c r="BR156" s="23">
        <f>EXP(-LN(2)/2)*BR155+(1-EXP(-LN(2)/2))/(LN(2)/2)*BL156*BO156*VLOOKUP('Données projet'!$B$11,Paramètres!$A$1:$I$89,3,0)*0.475*44/12</f>
        <v>4.57221186134659E-18</v>
      </c>
      <c r="BS156" s="24">
        <f t="shared" si="169"/>
        <v>0.30159501515547377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68.779957717512275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-5.6843418860808015E-14</v>
      </c>
      <c r="BZ156" s="14">
        <f>BY156*VLOOKUP('Données projet'!$B$12,Paramètres!$A$1:$I$89,3,0)*VLOOKUP('Données projet'!$B$12,Paramètres!$A$1:$I$89,5,0)</f>
        <v>-3.1036506698001178E-14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302.37244372118971</v>
      </c>
      <c r="CE156" s="62">
        <f t="shared" si="148"/>
        <v>439.56450354660171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0.65965146574235634</v>
      </c>
      <c r="CL156" s="23">
        <f>EXP(-LN(2)/25)*CL155+(1-EXP(-LN(2)/25))/(LN(2)/25)*Calculateur!CG156*Calculateur!CI156*VLOOKUP('Données projet'!$B$12,Paramètres!$A$1:$I$89,3,0)*0.475*44/12</f>
        <v>0.55833680375289685</v>
      </c>
      <c r="CM156" s="23">
        <f>EXP(-LN(2)/2)*CM155+(1-EXP(-LN(2)/2))/(LN(2)/2)*CG156*CJ156*VLOOKUP('Données projet'!$B$12,Paramètres!$A$1:$I$89,3,0)*0.475*44/12</f>
        <v>4.922204173704775E-18</v>
      </c>
      <c r="CN156" s="24">
        <f t="shared" si="172"/>
        <v>1.2179882694952533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68.779957717512275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2.8421709430404007E-14</v>
      </c>
      <c r="CU156" s="18">
        <f>CT156*VLOOKUP('Données projet'!$B$13,Paramètres!$A$1:$I$89,3,0)*VLOOKUP('Données projet'!$B$13,Paramètres!$A$1:$I$89,5,0)</f>
        <v>2.0838797354372217E-14</v>
      </c>
      <c r="CV156" s="14">
        <f t="shared" si="173"/>
        <v>3.7575774393093487E-13</v>
      </c>
      <c r="CW156" s="22">
        <f t="shared" si="174"/>
        <v>6.9073897607190981E-13</v>
      </c>
      <c r="CX156" s="62">
        <f t="shared" si="122"/>
        <v>288.85984496421236</v>
      </c>
      <c r="CY156" s="62">
        <f ca="1">AVERAGE(OFFSET($CX$3,0,0,'Données projet'!$E$13+1,1))-AVERAGE(OFFSET($H$3,0,0,'Données projet'!$E$13+1,1))</f>
        <v>300.12722359176314</v>
      </c>
      <c r="CZ156" s="62">
        <f t="shared" si="150"/>
        <v>313.35115626175946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0.39682430661107115</v>
      </c>
      <c r="DH156" s="23">
        <f>EXP(-LN(2)/2)*DH155+(1-EXP(-LN(2)/2))/(LN(2)/2)*DB156*DE156*VLOOKUP('Données projet'!$B$13,Paramètres!$A$1:$I$89,3,0)*0.475*44/12</f>
        <v>4.6184665616862811E-18</v>
      </c>
      <c r="DI156" s="24">
        <f t="shared" si="175"/>
        <v>0.39682430661107115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68.779957717512275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68.779957717512275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68.779957717512275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68.779957717512275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68.779957717512275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3.55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13.016666666666666</v>
      </c>
      <c r="H157" s="70">
        <f t="shared" si="110"/>
        <v>204.6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68.801122723507518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-2.2737367544323206E-13</v>
      </c>
      <c r="O157" s="14">
        <f>N157*VLOOKUP('Données projet'!$B$9,Paramètres!$A$1:$I$89,3,0)*VLOOKUP('Données projet'!$B$9,Paramètres!$A$1:$I$89,5,0)</f>
        <v>-1.2710188457276673E-13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455.44531340185631</v>
      </c>
      <c r="T157" s="62">
        <f t="shared" si="142"/>
        <v>560.14861617544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0.92702922218877959</v>
      </c>
      <c r="AA157" s="23">
        <f>EXP(-LN(2)/25)*AA156+(1-EXP(-LN(2)/25))/(LN(2)/25)*Calculateur!V157*Calculateur!X157*VLOOKUP('Données projet'!$B$9,Paramètres!$A$1:$I$89,3,0)*0.475*44/12</f>
        <v>0.4568746424961761</v>
      </c>
      <c r="AB157" s="23">
        <f>EXP(-LN(2)/2)*AB156+(1-EXP(-LN(2)/2))/(LN(2)/2)*V157*Y157*VLOOKUP('Données projet'!$B$9,Paramètres!$A$1:$I$89,3,0)*0.475*44/12</f>
        <v>2.8783762830494895E-18</v>
      </c>
      <c r="AC157" s="24">
        <f t="shared" si="163"/>
        <v>1.3839038646849557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68.801122723507518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1.9895196601282805E-13</v>
      </c>
      <c r="AJ157" s="14">
        <f>AI157*VLOOKUP('Données projet'!$B$10,Paramètres!$A$1:$I$89,3,0)*VLOOKUP('Données projet'!$B$10,Paramètres!$A$1:$I$89,5,0)</f>
        <v>1.738044375088066E-13</v>
      </c>
      <c r="AK157" s="14">
        <f t="shared" si="164"/>
        <v>2.4483293633950478E-12</v>
      </c>
      <c r="AL157" s="22">
        <f t="shared" si="165"/>
        <v>4.566883036574213E-12</v>
      </c>
      <c r="AM157" s="62">
        <f t="shared" si="113"/>
        <v>288.93744998619877</v>
      </c>
      <c r="AN157" s="62">
        <f ca="1">AVERAGE(OFFSET($AM$3,0,0,'Données projet'!$E$10+1,1))-AVERAGE(OFFSET($H$3,0,0,'Données projet'!$E$10+1,1))</f>
        <v>335.71510570470264</v>
      </c>
      <c r="AO157" s="62">
        <f t="shared" si="144"/>
        <v>401.61823018046482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0.82189839172497803</v>
      </c>
      <c r="AW157" s="23">
        <f>EXP(-LN(2)/2)*AW156+(1-EXP(-LN(2)/2))/(LN(2)/2)*AQ157*AT157*VLOOKUP('Données projet'!$B$10,Paramètres!$A$1:$I$89,3,0)*0.475*44/12</f>
        <v>3.9609175493875292E-18</v>
      </c>
      <c r="AX157" s="23">
        <f t="shared" si="166"/>
        <v>0.82189839172497803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68.801122723507518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-5.6843418860808015E-14</v>
      </c>
      <c r="BE157" s="14">
        <f>BD157*VLOOKUP('Données projet'!$B$11,Paramètres!$A$1:$I$89,3,0)*VLOOKUP('Données projet'!$B$11,Paramètres!$A$1:$I$89,5,0)</f>
        <v>-5.1431925385259088E-14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462.677457131175</v>
      </c>
      <c r="BJ157" s="62">
        <f t="shared" si="146"/>
        <v>291.78368401945909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0.29334788360585479</v>
      </c>
      <c r="BR157" s="23">
        <f>EXP(-LN(2)/2)*BR156+(1-EXP(-LN(2)/2))/(LN(2)/2)*BL157*BO157*VLOOKUP('Données projet'!$B$11,Paramètres!$A$1:$I$89,3,0)*0.475*44/12</f>
        <v>3.2330420121797404E-18</v>
      </c>
      <c r="BS157" s="24">
        <f t="shared" si="169"/>
        <v>0.29334788360585479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68.801122723507518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-5.6843418860808015E-14</v>
      </c>
      <c r="BZ157" s="14">
        <f>BY157*VLOOKUP('Données projet'!$B$12,Paramètres!$A$1:$I$89,3,0)*VLOOKUP('Données projet'!$B$12,Paramètres!$A$1:$I$89,5,0)</f>
        <v>-3.1036506698001178E-14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302.37244372118971</v>
      </c>
      <c r="CE157" s="62">
        <f t="shared" si="148"/>
        <v>439.56450354660171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0.64671610284681424</v>
      </c>
      <c r="CL157" s="23">
        <f>EXP(-LN(2)/25)*CL156+(1-EXP(-LN(2)/25))/(LN(2)/25)*Calculateur!CG157*Calculateur!CI157*VLOOKUP('Données projet'!$B$12,Paramètres!$A$1:$I$89,3,0)*0.475*44/12</f>
        <v>0.54306905449261744</v>
      </c>
      <c r="CM157" s="23">
        <f>EXP(-LN(2)/2)*CM156+(1-EXP(-LN(2)/2))/(LN(2)/2)*CG157*CJ157*VLOOKUP('Données projet'!$B$12,Paramètres!$A$1:$I$89,3,0)*0.475*44/12</f>
        <v>3.4805239496113732E-18</v>
      </c>
      <c r="CN157" s="24">
        <f t="shared" si="172"/>
        <v>1.1897851573394318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68.801122723507518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2.8421709430404007E-14</v>
      </c>
      <c r="CU157" s="18">
        <f>CT157*VLOOKUP('Données projet'!$B$13,Paramètres!$A$1:$I$89,3,0)*VLOOKUP('Données projet'!$B$13,Paramètres!$A$1:$I$89,5,0)</f>
        <v>2.0838797354372217E-14</v>
      </c>
      <c r="CV157" s="14">
        <f t="shared" si="173"/>
        <v>3.7575774393093487E-13</v>
      </c>
      <c r="CW157" s="22">
        <f t="shared" si="174"/>
        <v>6.9073897607190981E-13</v>
      </c>
      <c r="CX157" s="62">
        <f t="shared" si="122"/>
        <v>288.93744998619491</v>
      </c>
      <c r="CY157" s="62">
        <f ca="1">AVERAGE(OFFSET($CX$3,0,0,'Données projet'!$E$13+1,1))-AVERAGE(OFFSET($H$3,0,0,'Données projet'!$E$13+1,1))</f>
        <v>300.12722359176314</v>
      </c>
      <c r="CZ157" s="62">
        <f t="shared" si="150"/>
        <v>313.35115626175946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0.38597312507870807</v>
      </c>
      <c r="DH157" s="23">
        <f>EXP(-LN(2)/2)*DH156+(1-EXP(-LN(2)/2))/(LN(2)/2)*DB157*DE157*VLOOKUP('Données projet'!$B$13,Paramètres!$A$1:$I$89,3,0)*0.475*44/12</f>
        <v>3.2657490244516877E-18</v>
      </c>
      <c r="DI157" s="24">
        <f t="shared" si="175"/>
        <v>0.38597312507870807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68.801122723507518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68.801122723507518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68.801122723507518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68.801122723507518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68.801122723507518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3.55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13.016666666666666</v>
      </c>
      <c r="H158" s="70">
        <f t="shared" si="110"/>
        <v>204.6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68.8219205639666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-2.2737367544323206E-13</v>
      </c>
      <c r="O158" s="14">
        <f>N158*VLOOKUP('Données projet'!$B$9,Paramètres!$A$1:$I$89,3,0)*VLOOKUP('Données projet'!$B$9,Paramètres!$A$1:$I$89,5,0)</f>
        <v>-1.2710188457276673E-13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455.44531340185631</v>
      </c>
      <c r="T158" s="62">
        <f t="shared" si="142"/>
        <v>560.14861617544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0.90885074457365134</v>
      </c>
      <c r="AA158" s="23">
        <f>EXP(-LN(2)/25)*AA157+(1-EXP(-LN(2)/25))/(LN(2)/25)*Calculateur!V158*Calculateur!X158*VLOOKUP('Données projet'!$B$9,Paramètres!$A$1:$I$89,3,0)*0.475*44/12</f>
        <v>0.44438138137112493</v>
      </c>
      <c r="AB158" s="23">
        <f>EXP(-LN(2)/2)*AB157+(1-EXP(-LN(2)/2))/(LN(2)/2)*V158*Y158*VLOOKUP('Données projet'!$B$9,Paramètres!$A$1:$I$89,3,0)*0.475*44/12</f>
        <v>2.0353193885508233E-18</v>
      </c>
      <c r="AC158" s="24">
        <f t="shared" si="163"/>
        <v>1.3532321259447762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68.8219205639666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1.9895196601282805E-13</v>
      </c>
      <c r="AJ158" s="14">
        <f>AI158*VLOOKUP('Données projet'!$B$10,Paramètres!$A$1:$I$89,3,0)*VLOOKUP('Données projet'!$B$10,Paramètres!$A$1:$I$89,5,0)</f>
        <v>1.738044375088066E-13</v>
      </c>
      <c r="AK158" s="14">
        <f t="shared" si="164"/>
        <v>2.4483293633950478E-12</v>
      </c>
      <c r="AL158" s="22">
        <f t="shared" si="165"/>
        <v>4.566883036574213E-12</v>
      </c>
      <c r="AM158" s="62">
        <f t="shared" si="113"/>
        <v>289.01370873454874</v>
      </c>
      <c r="AN158" s="62">
        <f ca="1">AVERAGE(OFFSET($AM$3,0,0,'Données projet'!$E$10+1,1))-AVERAGE(OFFSET($H$3,0,0,'Données projet'!$E$10+1,1))</f>
        <v>335.71510570470264</v>
      </c>
      <c r="AO158" s="62">
        <f t="shared" si="144"/>
        <v>401.61823018046482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0.79942353698150059</v>
      </c>
      <c r="AW158" s="23">
        <f>EXP(-LN(2)/2)*AW157+(1-EXP(-LN(2)/2))/(LN(2)/2)*AQ158*AT158*VLOOKUP('Données projet'!$B$10,Paramètres!$A$1:$I$89,3,0)*0.475*44/12</f>
        <v>2.8007916588927237E-18</v>
      </c>
      <c r="AX158" s="23">
        <f t="shared" si="166"/>
        <v>0.79942353698150059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68.8219205639666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-5.6843418860808015E-14</v>
      </c>
      <c r="BE158" s="14">
        <f>BD158*VLOOKUP('Données projet'!$B$11,Paramètres!$A$1:$I$89,3,0)*VLOOKUP('Données projet'!$B$11,Paramètres!$A$1:$I$89,5,0)</f>
        <v>-5.1431925385259088E-14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462.677457131175</v>
      </c>
      <c r="BJ158" s="62">
        <f t="shared" si="146"/>
        <v>291.78368401945909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0.28532627030215796</v>
      </c>
      <c r="BR158" s="23">
        <f>EXP(-LN(2)/2)*BR157+(1-EXP(-LN(2)/2))/(LN(2)/2)*BL158*BO158*VLOOKUP('Données projet'!$B$11,Paramètres!$A$1:$I$89,3,0)*0.475*44/12</f>
        <v>2.286105930673295E-18</v>
      </c>
      <c r="BS158" s="24">
        <f t="shared" si="169"/>
        <v>0.28532627030215796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68.8219205639666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-5.6843418860808015E-14</v>
      </c>
      <c r="BZ158" s="14">
        <f>BY158*VLOOKUP('Données projet'!$B$12,Paramètres!$A$1:$I$89,3,0)*VLOOKUP('Données projet'!$B$12,Paramètres!$A$1:$I$89,5,0)</f>
        <v>-3.1036506698001178E-14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302.37244372118971</v>
      </c>
      <c r="CE158" s="62">
        <f t="shared" si="148"/>
        <v>439.56450354660171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0.63403439452786148</v>
      </c>
      <c r="CL158" s="23">
        <f>EXP(-LN(2)/25)*CL157+(1-EXP(-LN(2)/25))/(LN(2)/25)*Calculateur!CG158*Calculateur!CI158*VLOOKUP('Données projet'!$B$12,Paramètres!$A$1:$I$89,3,0)*0.475*44/12</f>
        <v>0.52821880263875642</v>
      </c>
      <c r="CM158" s="23">
        <f>EXP(-LN(2)/2)*CM157+(1-EXP(-LN(2)/2))/(LN(2)/2)*CG158*CJ158*VLOOKUP('Données projet'!$B$12,Paramètres!$A$1:$I$89,3,0)*0.475*44/12</f>
        <v>2.4611020868523875E-18</v>
      </c>
      <c r="CN158" s="24">
        <f t="shared" si="172"/>
        <v>1.1622531971666179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68.8219205639666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2.8421709430404007E-14</v>
      </c>
      <c r="CU158" s="18">
        <f>CT158*VLOOKUP('Données projet'!$B$13,Paramètres!$A$1:$I$89,3,0)*VLOOKUP('Données projet'!$B$13,Paramètres!$A$1:$I$89,5,0)</f>
        <v>2.0838797354372217E-14</v>
      </c>
      <c r="CV158" s="14">
        <f t="shared" si="173"/>
        <v>3.7575774393093487E-13</v>
      </c>
      <c r="CW158" s="22">
        <f t="shared" si="174"/>
        <v>6.9073897607190981E-13</v>
      </c>
      <c r="CX158" s="62">
        <f t="shared" si="122"/>
        <v>289.01370873454488</v>
      </c>
      <c r="CY158" s="62">
        <f ca="1">AVERAGE(OFFSET($CX$3,0,0,'Données projet'!$E$13+1,1))-AVERAGE(OFFSET($H$3,0,0,'Données projet'!$E$13+1,1))</f>
        <v>300.12722359176314</v>
      </c>
      <c r="CZ158" s="62">
        <f t="shared" si="150"/>
        <v>313.35115626175946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0.37541866967598631</v>
      </c>
      <c r="DH158" s="23">
        <f>EXP(-LN(2)/2)*DH157+(1-EXP(-LN(2)/2))/(LN(2)/2)*DB158*DE158*VLOOKUP('Données projet'!$B$13,Paramètres!$A$1:$I$89,3,0)*0.475*44/12</f>
        <v>2.3092332808431405E-18</v>
      </c>
      <c r="DI158" s="24">
        <f t="shared" si="175"/>
        <v>0.37541866967598631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68.8219205639666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68.8219205639666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68.8219205639666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68.8219205639666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68.8219205639666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3.55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13.016666666666666</v>
      </c>
      <c r="H159" s="70">
        <f t="shared" si="110"/>
        <v>204.6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68.842357608390728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-2.2737367544323206E-13</v>
      </c>
      <c r="O159" s="14">
        <f>N159*VLOOKUP('Données projet'!$B$9,Paramètres!$A$1:$I$89,3,0)*VLOOKUP('Données projet'!$B$9,Paramètres!$A$1:$I$89,5,0)</f>
        <v>-1.2710188457276673E-13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455.44531340185631</v>
      </c>
      <c r="T159" s="62">
        <f t="shared" si="142"/>
        <v>560.14861617544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0.89102873581677933</v>
      </c>
      <c r="AA159" s="23">
        <f>EXP(-LN(2)/25)*AA158+(1-EXP(-LN(2)/25))/(LN(2)/25)*Calculateur!V159*Calculateur!X159*VLOOKUP('Données projet'!$B$9,Paramètres!$A$1:$I$89,3,0)*0.475*44/12</f>
        <v>0.43222974912853029</v>
      </c>
      <c r="AB159" s="23">
        <f>EXP(-LN(2)/2)*AB158+(1-EXP(-LN(2)/2))/(LN(2)/2)*V159*Y159*VLOOKUP('Données projet'!$B$9,Paramètres!$A$1:$I$89,3,0)*0.475*44/12</f>
        <v>1.4391881415247447E-18</v>
      </c>
      <c r="AC159" s="24">
        <f t="shared" si="163"/>
        <v>1.3232584849453097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68.842357608390728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1.9895196601282805E-13</v>
      </c>
      <c r="AJ159" s="14">
        <f>AI159*VLOOKUP('Données projet'!$B$10,Paramètres!$A$1:$I$89,3,0)*VLOOKUP('Données projet'!$B$10,Paramètres!$A$1:$I$89,5,0)</f>
        <v>1.738044375088066E-13</v>
      </c>
      <c r="AK159" s="14">
        <f t="shared" si="164"/>
        <v>2.4483293633950478E-12</v>
      </c>
      <c r="AL159" s="22">
        <f t="shared" si="165"/>
        <v>4.566883036574213E-12</v>
      </c>
      <c r="AM159" s="62">
        <f t="shared" si="113"/>
        <v>289.08864456410384</v>
      </c>
      <c r="AN159" s="62">
        <f ca="1">AVERAGE(OFFSET($AM$3,0,0,'Données projet'!$E$10+1,1))-AVERAGE(OFFSET($H$3,0,0,'Données projet'!$E$10+1,1))</f>
        <v>335.71510570470264</v>
      </c>
      <c r="AO159" s="62">
        <f t="shared" si="144"/>
        <v>401.61823018046482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0.77756325832288475</v>
      </c>
      <c r="AW159" s="23">
        <f>EXP(-LN(2)/2)*AW158+(1-EXP(-LN(2)/2))/(LN(2)/2)*AQ159*AT159*VLOOKUP('Données projet'!$B$10,Paramètres!$A$1:$I$89,3,0)*0.475*44/12</f>
        <v>1.9804587746937646E-18</v>
      </c>
      <c r="AX159" s="23">
        <f t="shared" si="166"/>
        <v>0.77756325832288475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68.842357608390728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-5.6843418860808015E-14</v>
      </c>
      <c r="BE159" s="14">
        <f>BD159*VLOOKUP('Données projet'!$B$11,Paramètres!$A$1:$I$89,3,0)*VLOOKUP('Données projet'!$B$11,Paramètres!$A$1:$I$89,5,0)</f>
        <v>-5.1431925385259088E-14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462.677457131175</v>
      </c>
      <c r="BJ159" s="62">
        <f t="shared" si="146"/>
        <v>291.78368401945909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0.27752400843608904</v>
      </c>
      <c r="BR159" s="23">
        <f>EXP(-LN(2)/2)*BR158+(1-EXP(-LN(2)/2))/(LN(2)/2)*BL159*BO159*VLOOKUP('Données projet'!$B$11,Paramètres!$A$1:$I$89,3,0)*0.475*44/12</f>
        <v>1.6165210060898702E-18</v>
      </c>
      <c r="BS159" s="24">
        <f t="shared" si="169"/>
        <v>0.27752400843608904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68.842357608390728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-5.6843418860808015E-14</v>
      </c>
      <c r="BZ159" s="14">
        <f>BY159*VLOOKUP('Données projet'!$B$12,Paramètres!$A$1:$I$89,3,0)*VLOOKUP('Données projet'!$B$12,Paramètres!$A$1:$I$89,5,0)</f>
        <v>-3.1036506698001178E-14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302.37244372118971</v>
      </c>
      <c r="CE159" s="62">
        <f t="shared" si="148"/>
        <v>439.56450354660171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0.62160136677396505</v>
      </c>
      <c r="CL159" s="23">
        <f>EXP(-LN(2)/25)*CL158+(1-EXP(-LN(2)/25))/(LN(2)/25)*Calculateur!CG159*Calculateur!CI159*VLOOKUP('Données projet'!$B$12,Paramètres!$A$1:$I$89,3,0)*0.475*44/12</f>
        <v>0.51377463170278004</v>
      </c>
      <c r="CM159" s="23">
        <f>EXP(-LN(2)/2)*CM158+(1-EXP(-LN(2)/2))/(LN(2)/2)*CG159*CJ159*VLOOKUP('Données projet'!$B$12,Paramètres!$A$1:$I$89,3,0)*0.475*44/12</f>
        <v>1.7402619748056866E-18</v>
      </c>
      <c r="CN159" s="24">
        <f t="shared" si="172"/>
        <v>1.1353759984767451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68.842357608390728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2.8421709430404007E-14</v>
      </c>
      <c r="CU159" s="18">
        <f>CT159*VLOOKUP('Données projet'!$B$13,Paramètres!$A$1:$I$89,3,0)*VLOOKUP('Données projet'!$B$13,Paramètres!$A$1:$I$89,5,0)</f>
        <v>2.0838797354372217E-14</v>
      </c>
      <c r="CV159" s="14">
        <f t="shared" si="173"/>
        <v>3.7575774393093487E-13</v>
      </c>
      <c r="CW159" s="22">
        <f t="shared" si="174"/>
        <v>6.9073897607190981E-13</v>
      </c>
      <c r="CX159" s="62">
        <f t="shared" si="122"/>
        <v>289.08864456409998</v>
      </c>
      <c r="CY159" s="62">
        <f ca="1">AVERAGE(OFFSET($CX$3,0,0,'Données projet'!$E$13+1,1))-AVERAGE(OFFSET($H$3,0,0,'Données projet'!$E$13+1,1))</f>
        <v>300.12722359176314</v>
      </c>
      <c r="CZ159" s="62">
        <f t="shared" si="150"/>
        <v>313.35115626175946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0.36515282641128666</v>
      </c>
      <c r="DH159" s="23">
        <f>EXP(-LN(2)/2)*DH158+(1-EXP(-LN(2)/2))/(LN(2)/2)*DB159*DE159*VLOOKUP('Données projet'!$B$13,Paramètres!$A$1:$I$89,3,0)*0.475*44/12</f>
        <v>1.6328745122258438E-18</v>
      </c>
      <c r="DI159" s="24">
        <f t="shared" si="175"/>
        <v>0.36515282641128666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68.842357608390728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68.842357608390728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68.842357608390728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68.842357608390728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68.842357608390728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3.55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13.016666666666666</v>
      </c>
      <c r="H160" s="70">
        <f t="shared" si="110"/>
        <v>204.6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68.862440115784494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-2.2737367544323206E-13</v>
      </c>
      <c r="O160" s="14">
        <f>N160*VLOOKUP('Données projet'!$B$9,Paramètres!$A$1:$I$89,3,0)*VLOOKUP('Données projet'!$B$9,Paramètres!$A$1:$I$89,5,0)</f>
        <v>-1.2710188457276673E-13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455.44531340185631</v>
      </c>
      <c r="T160" s="62">
        <f t="shared" si="142"/>
        <v>560.14861617544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0.87355620578127757</v>
      </c>
      <c r="AA160" s="23">
        <f>EXP(-LN(2)/25)*AA159+(1-EXP(-LN(2)/25))/(LN(2)/25)*Calculateur!V160*Calculateur!X160*VLOOKUP('Données projet'!$B$9,Paramètres!$A$1:$I$89,3,0)*0.475*44/12</f>
        <v>0.42041040390863599</v>
      </c>
      <c r="AB160" s="23">
        <f>EXP(-LN(2)/2)*AB159+(1-EXP(-LN(2)/2))/(LN(2)/2)*V160*Y160*VLOOKUP('Données projet'!$B$9,Paramètres!$A$1:$I$89,3,0)*0.475*44/12</f>
        <v>1.0176596942754116E-18</v>
      </c>
      <c r="AC160" s="24">
        <f t="shared" si="163"/>
        <v>1.2939666096899136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68.862440115784494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1.9895196601282805E-13</v>
      </c>
      <c r="AJ160" s="14">
        <f>AI160*VLOOKUP('Données projet'!$B$10,Paramètres!$A$1:$I$89,3,0)*VLOOKUP('Données projet'!$B$10,Paramètres!$A$1:$I$89,5,0)</f>
        <v>1.738044375088066E-13</v>
      </c>
      <c r="AK160" s="14">
        <f t="shared" si="164"/>
        <v>2.4483293633950478E-12</v>
      </c>
      <c r="AL160" s="22">
        <f t="shared" si="165"/>
        <v>4.566883036574213E-12</v>
      </c>
      <c r="AM160" s="62">
        <f t="shared" si="113"/>
        <v>289.1622804245477</v>
      </c>
      <c r="AN160" s="62">
        <f ca="1">AVERAGE(OFFSET($AM$3,0,0,'Données projet'!$E$10+1,1))-AVERAGE(OFFSET($H$3,0,0,'Données projet'!$E$10+1,1))</f>
        <v>335.71510570470264</v>
      </c>
      <c r="AO160" s="62">
        <f t="shared" si="144"/>
        <v>401.61823018046482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0.75630075013377085</v>
      </c>
      <c r="AW160" s="23">
        <f>EXP(-LN(2)/2)*AW159+(1-EXP(-LN(2)/2))/(LN(2)/2)*AQ160*AT160*VLOOKUP('Données projet'!$B$10,Paramètres!$A$1:$I$89,3,0)*0.475*44/12</f>
        <v>1.4003958294463619E-18</v>
      </c>
      <c r="AX160" s="23">
        <f t="shared" si="166"/>
        <v>0.75630075013377085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68.862440115784494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-5.6843418860808015E-14</v>
      </c>
      <c r="BE160" s="14">
        <f>BD160*VLOOKUP('Données projet'!$B$11,Paramètres!$A$1:$I$89,3,0)*VLOOKUP('Données projet'!$B$11,Paramètres!$A$1:$I$89,5,0)</f>
        <v>-5.1431925385259088E-14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462.677457131175</v>
      </c>
      <c r="BJ160" s="62">
        <f t="shared" si="146"/>
        <v>291.78368401945909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0.26993509983105085</v>
      </c>
      <c r="BR160" s="23">
        <f>EXP(-LN(2)/2)*BR159+(1-EXP(-LN(2)/2))/(LN(2)/2)*BL160*BO160*VLOOKUP('Données projet'!$B$11,Paramètres!$A$1:$I$89,3,0)*0.475*44/12</f>
        <v>1.1430529653366475E-18</v>
      </c>
      <c r="BS160" s="24">
        <f t="shared" si="169"/>
        <v>0.26993509983105085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68.862440115784494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-5.6843418860808015E-14</v>
      </c>
      <c r="BZ160" s="14">
        <f>BY160*VLOOKUP('Données projet'!$B$12,Paramètres!$A$1:$I$89,3,0)*VLOOKUP('Données projet'!$B$12,Paramètres!$A$1:$I$89,5,0)</f>
        <v>-3.1036506698001178E-14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302.37244372118971</v>
      </c>
      <c r="CE160" s="62">
        <f t="shared" si="148"/>
        <v>439.56450354660171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0.6094121431109244</v>
      </c>
      <c r="CL160" s="23">
        <f>EXP(-LN(2)/25)*CL159+(1-EXP(-LN(2)/25))/(LN(2)/25)*Calculateur!CG160*Calculateur!CI160*VLOOKUP('Données projet'!$B$12,Paramètres!$A$1:$I$89,3,0)*0.475*44/12</f>
        <v>0.49972543738063391</v>
      </c>
      <c r="CM160" s="23">
        <f>EXP(-LN(2)/2)*CM159+(1-EXP(-LN(2)/2))/(LN(2)/2)*CG160*CJ160*VLOOKUP('Données projet'!$B$12,Paramètres!$A$1:$I$89,3,0)*0.475*44/12</f>
        <v>1.2305510434261937E-18</v>
      </c>
      <c r="CN160" s="24">
        <f t="shared" si="172"/>
        <v>1.1091375804915584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68.862440115784494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2.8421709430404007E-14</v>
      </c>
      <c r="CU160" s="18">
        <f>CT160*VLOOKUP('Données projet'!$B$13,Paramètres!$A$1:$I$89,3,0)*VLOOKUP('Données projet'!$B$13,Paramètres!$A$1:$I$89,5,0)</f>
        <v>2.0838797354372217E-14</v>
      </c>
      <c r="CV160" s="14">
        <f t="shared" si="173"/>
        <v>3.7575774393093487E-13</v>
      </c>
      <c r="CW160" s="22">
        <f t="shared" si="174"/>
        <v>6.9073897607190981E-13</v>
      </c>
      <c r="CX160" s="62">
        <f t="shared" si="122"/>
        <v>289.16228042454384</v>
      </c>
      <c r="CY160" s="62">
        <f ca="1">AVERAGE(OFFSET($CX$3,0,0,'Données projet'!$E$13+1,1))-AVERAGE(OFFSET($H$3,0,0,'Données projet'!$E$13+1,1))</f>
        <v>300.12722359176314</v>
      </c>
      <c r="CZ160" s="62">
        <f t="shared" si="150"/>
        <v>313.35115626175946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0.35516770317051743</v>
      </c>
      <c r="DH160" s="23">
        <f>EXP(-LN(2)/2)*DH159+(1-EXP(-LN(2)/2))/(LN(2)/2)*DB160*DE160*VLOOKUP('Données projet'!$B$13,Paramètres!$A$1:$I$89,3,0)*0.475*44/12</f>
        <v>1.1546166404215703E-18</v>
      </c>
      <c r="DI160" s="24">
        <f t="shared" si="175"/>
        <v>0.35516770317051743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68.862440115784494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68.862440115784494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68.862440115784494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68.862440115784494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68.862440115784494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3.55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13.016666666666666</v>
      </c>
      <c r="H161" s="70">
        <f t="shared" si="110"/>
        <v>204.6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68.882174236572723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-2.2737367544323206E-13</v>
      </c>
      <c r="O161" s="14">
        <f>N161*VLOOKUP('Données projet'!$B$9,Paramètres!$A$1:$I$89,3,0)*VLOOKUP('Données projet'!$B$9,Paramètres!$A$1:$I$89,5,0)</f>
        <v>-1.2710188457276673E-13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455.44531340185631</v>
      </c>
      <c r="T161" s="62">
        <f t="shared" si="142"/>
        <v>560.14861617544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0.85642630140258091</v>
      </c>
      <c r="AA161" s="23">
        <f>EXP(-LN(2)/25)*AA160+(1-EXP(-LN(2)/25))/(LN(2)/25)*Calculateur!V161*Calculateur!X161*VLOOKUP('Données projet'!$B$9,Paramètres!$A$1:$I$89,3,0)*0.475*44/12</f>
        <v>0.40891425930533204</v>
      </c>
      <c r="AB161" s="23">
        <f>EXP(-LN(2)/2)*AB160+(1-EXP(-LN(2)/2))/(LN(2)/2)*V161*Y161*VLOOKUP('Données projet'!$B$9,Paramètres!$A$1:$I$89,3,0)*0.475*44/12</f>
        <v>7.1959407076237237E-19</v>
      </c>
      <c r="AC161" s="24">
        <f t="shared" si="163"/>
        <v>1.2653405607079129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68.882174236572723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1.9895196601282805E-13</v>
      </c>
      <c r="AJ161" s="14">
        <f>AI161*VLOOKUP('Données projet'!$B$10,Paramètres!$A$1:$I$89,3,0)*VLOOKUP('Données projet'!$B$10,Paramètres!$A$1:$I$89,5,0)</f>
        <v>1.738044375088066E-13</v>
      </c>
      <c r="AK161" s="14">
        <f t="shared" si="164"/>
        <v>2.4483293633950478E-12</v>
      </c>
      <c r="AL161" s="22">
        <f t="shared" si="165"/>
        <v>4.566883036574213E-12</v>
      </c>
      <c r="AM161" s="62">
        <f t="shared" si="113"/>
        <v>289.23463886743787</v>
      </c>
      <c r="AN161" s="62">
        <f ca="1">AVERAGE(OFFSET($AM$3,0,0,'Données projet'!$E$10+1,1))-AVERAGE(OFFSET($H$3,0,0,'Données projet'!$E$10+1,1))</f>
        <v>335.71510570470264</v>
      </c>
      <c r="AO161" s="62">
        <f t="shared" si="144"/>
        <v>401.61823018046482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0.73561966634923504</v>
      </c>
      <c r="AW161" s="23">
        <f>EXP(-LN(2)/2)*AW160+(1-EXP(-LN(2)/2))/(LN(2)/2)*AQ161*AT161*VLOOKUP('Données projet'!$B$10,Paramètres!$A$1:$I$89,3,0)*0.475*44/12</f>
        <v>9.9022938734688231E-19</v>
      </c>
      <c r="AX161" s="23">
        <f t="shared" si="166"/>
        <v>0.73561966634923504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68.882174236572723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-5.6843418860808015E-14</v>
      </c>
      <c r="BE161" s="14">
        <f>BD161*VLOOKUP('Données projet'!$B$11,Paramètres!$A$1:$I$89,3,0)*VLOOKUP('Données projet'!$B$11,Paramètres!$A$1:$I$89,5,0)</f>
        <v>-5.1431925385259088E-14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462.677457131175</v>
      </c>
      <c r="BJ161" s="62">
        <f t="shared" si="146"/>
        <v>291.78368401945909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0.2625537103309008</v>
      </c>
      <c r="BR161" s="23">
        <f>EXP(-LN(2)/2)*BR160+(1-EXP(-LN(2)/2))/(LN(2)/2)*BL161*BO161*VLOOKUP('Données projet'!$B$11,Paramètres!$A$1:$I$89,3,0)*0.475*44/12</f>
        <v>8.082605030449351E-19</v>
      </c>
      <c r="BS161" s="24">
        <f t="shared" si="169"/>
        <v>0.2625537103309008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68.882174236572723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-5.6843418860808015E-14</v>
      </c>
      <c r="BZ161" s="14">
        <f>BY161*VLOOKUP('Données projet'!$B$12,Paramètres!$A$1:$I$89,3,0)*VLOOKUP('Données projet'!$B$12,Paramètres!$A$1:$I$89,5,0)</f>
        <v>-3.1036506698001178E-14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302.37244372118971</v>
      </c>
      <c r="CE161" s="62">
        <f t="shared" si="148"/>
        <v>439.56450354660171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0.5974619426892237</v>
      </c>
      <c r="CL161" s="23">
        <f>EXP(-LN(2)/25)*CL160+(1-EXP(-LN(2)/25))/(LN(2)/25)*Calculateur!CG161*Calculateur!CI161*VLOOKUP('Données projet'!$B$12,Paramètres!$A$1:$I$89,3,0)*0.475*44/12</f>
        <v>0.48606041901604186</v>
      </c>
      <c r="CM161" s="23">
        <f>EXP(-LN(2)/2)*CM160+(1-EXP(-LN(2)/2))/(LN(2)/2)*CG161*CJ161*VLOOKUP('Données projet'!$B$12,Paramètres!$A$1:$I$89,3,0)*0.475*44/12</f>
        <v>8.7013098740284331E-19</v>
      </c>
      <c r="CN161" s="24">
        <f t="shared" si="172"/>
        <v>1.0835223617052656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68.882174236572723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2.8421709430404007E-14</v>
      </c>
      <c r="CU161" s="18">
        <f>CT161*VLOOKUP('Données projet'!$B$13,Paramètres!$A$1:$I$89,3,0)*VLOOKUP('Données projet'!$B$13,Paramètres!$A$1:$I$89,5,0)</f>
        <v>2.0838797354372217E-14</v>
      </c>
      <c r="CV161" s="14">
        <f t="shared" si="173"/>
        <v>3.7575774393093487E-13</v>
      </c>
      <c r="CW161" s="22">
        <f t="shared" si="174"/>
        <v>6.9073897607190981E-13</v>
      </c>
      <c r="CX161" s="62">
        <f t="shared" si="122"/>
        <v>289.234638867434</v>
      </c>
      <c r="CY161" s="62">
        <f ca="1">AVERAGE(OFFSET($CX$3,0,0,'Données projet'!$E$13+1,1))-AVERAGE(OFFSET($H$3,0,0,'Données projet'!$E$13+1,1))</f>
        <v>300.12722359176314</v>
      </c>
      <c r="CZ161" s="62">
        <f t="shared" si="150"/>
        <v>313.35115626175946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0.34545562364986188</v>
      </c>
      <c r="DH161" s="23">
        <f>EXP(-LN(2)/2)*DH160+(1-EXP(-LN(2)/2))/(LN(2)/2)*DB161*DE161*VLOOKUP('Données projet'!$B$13,Paramètres!$A$1:$I$89,3,0)*0.475*44/12</f>
        <v>8.1643725611292192E-19</v>
      </c>
      <c r="DI161" s="24">
        <f t="shared" si="175"/>
        <v>0.34545562364986188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68.882174236572723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68.882174236572723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68.882174236572723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68.882174236572723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68.882174236572723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3.55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13.016666666666666</v>
      </c>
      <c r="H162" s="70">
        <f t="shared" si="110"/>
        <v>204.6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68.901566014484175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-2.2737367544323206E-13</v>
      </c>
      <c r="O162" s="14">
        <f>N162*VLOOKUP('Données projet'!$B$9,Paramètres!$A$1:$I$89,3,0)*VLOOKUP('Données projet'!$B$9,Paramètres!$A$1:$I$89,5,0)</f>
        <v>-1.2710188457276673E-13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455.44531340185631</v>
      </c>
      <c r="T162" s="62">
        <f t="shared" si="142"/>
        <v>560.14861617544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0.83963230400054056</v>
      </c>
      <c r="AA162" s="23">
        <f>EXP(-LN(2)/25)*AA161+(1-EXP(-LN(2)/25))/(LN(2)/25)*Calculateur!V162*Calculateur!X162*VLOOKUP('Données projet'!$B$9,Paramètres!$A$1:$I$89,3,0)*0.475*44/12</f>
        <v>0.39773247738076145</v>
      </c>
      <c r="AB162" s="23">
        <f>EXP(-LN(2)/2)*AB161+(1-EXP(-LN(2)/2))/(LN(2)/2)*V162*Y162*VLOOKUP('Données projet'!$B$9,Paramètres!$A$1:$I$89,3,0)*0.475*44/12</f>
        <v>5.0882984713770582E-19</v>
      </c>
      <c r="AC162" s="24">
        <f t="shared" si="163"/>
        <v>1.237364781381302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68.901566014484175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1.9895196601282805E-13</v>
      </c>
      <c r="AJ162" s="14">
        <f>AI162*VLOOKUP('Données projet'!$B$10,Paramètres!$A$1:$I$89,3,0)*VLOOKUP('Données projet'!$B$10,Paramètres!$A$1:$I$89,5,0)</f>
        <v>1.738044375088066E-13</v>
      </c>
      <c r="AK162" s="14">
        <f t="shared" si="164"/>
        <v>2.4483293633950478E-12</v>
      </c>
      <c r="AL162" s="22">
        <f t="shared" si="165"/>
        <v>4.566883036574213E-12</v>
      </c>
      <c r="AM162" s="62">
        <f t="shared" si="113"/>
        <v>289.30574205311319</v>
      </c>
      <c r="AN162" s="62">
        <f ca="1">AVERAGE(OFFSET($AM$3,0,0,'Données projet'!$E$10+1,1))-AVERAGE(OFFSET($H$3,0,0,'Données projet'!$E$10+1,1))</f>
        <v>335.71510570470264</v>
      </c>
      <c r="AO162" s="62">
        <f t="shared" si="144"/>
        <v>401.61823018046482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0.71550410788835828</v>
      </c>
      <c r="AW162" s="23">
        <f>EXP(-LN(2)/2)*AW161+(1-EXP(-LN(2)/2))/(LN(2)/2)*AQ162*AT162*VLOOKUP('Données projet'!$B$10,Paramètres!$A$1:$I$89,3,0)*0.475*44/12</f>
        <v>7.0019791472318094E-19</v>
      </c>
      <c r="AX162" s="23">
        <f t="shared" si="166"/>
        <v>0.71550410788835828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68.901566014484175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-5.6843418860808015E-14</v>
      </c>
      <c r="BE162" s="14">
        <f>BD162*VLOOKUP('Données projet'!$B$11,Paramètres!$A$1:$I$89,3,0)*VLOOKUP('Données projet'!$B$11,Paramètres!$A$1:$I$89,5,0)</f>
        <v>-5.1431925385259088E-14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462.677457131175</v>
      </c>
      <c r="BJ162" s="62">
        <f t="shared" si="146"/>
        <v>291.78368401945909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0.25537416531480278</v>
      </c>
      <c r="BR162" s="23">
        <f>EXP(-LN(2)/2)*BR161+(1-EXP(-LN(2)/2))/(LN(2)/2)*BL162*BO162*VLOOKUP('Données projet'!$B$11,Paramètres!$A$1:$I$89,3,0)*0.475*44/12</f>
        <v>5.7152648266832375E-19</v>
      </c>
      <c r="BS162" s="24">
        <f t="shared" si="169"/>
        <v>0.25537416531480278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68.901566014484175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-5.6843418860808015E-14</v>
      </c>
      <c r="BZ162" s="14">
        <f>BY162*VLOOKUP('Données projet'!$B$12,Paramètres!$A$1:$I$89,3,0)*VLOOKUP('Données projet'!$B$12,Paramètres!$A$1:$I$89,5,0)</f>
        <v>-3.1036506698001178E-14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302.37244372118971</v>
      </c>
      <c r="CE162" s="62">
        <f t="shared" si="148"/>
        <v>439.56450354660171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0.58574607840889004</v>
      </c>
      <c r="CL162" s="23">
        <f>EXP(-LN(2)/25)*CL161+(1-EXP(-LN(2)/25))/(LN(2)/25)*Calculateur!CG162*Calculateur!CI162*VLOOKUP('Données projet'!$B$12,Paramètres!$A$1:$I$89,3,0)*0.475*44/12</f>
        <v>0.47276907129724166</v>
      </c>
      <c r="CM162" s="23">
        <f>EXP(-LN(2)/2)*CM161+(1-EXP(-LN(2)/2))/(LN(2)/2)*CG162*CJ162*VLOOKUP('Données projet'!$B$12,Paramètres!$A$1:$I$89,3,0)*0.475*44/12</f>
        <v>6.1527552171309687E-19</v>
      </c>
      <c r="CN162" s="24">
        <f t="shared" si="172"/>
        <v>1.0585151497061318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68.901566014484175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2.8421709430404007E-14</v>
      </c>
      <c r="CU162" s="18">
        <f>CT162*VLOOKUP('Données projet'!$B$13,Paramètres!$A$1:$I$89,3,0)*VLOOKUP('Données projet'!$B$13,Paramètres!$A$1:$I$89,5,0)</f>
        <v>2.0838797354372217E-14</v>
      </c>
      <c r="CV162" s="14">
        <f t="shared" si="173"/>
        <v>3.7575774393093487E-13</v>
      </c>
      <c r="CW162" s="22">
        <f t="shared" si="174"/>
        <v>6.9073897607190981E-13</v>
      </c>
      <c r="CX162" s="62">
        <f t="shared" si="122"/>
        <v>289.30574205310933</v>
      </c>
      <c r="CY162" s="62">
        <f ca="1">AVERAGE(OFFSET($CX$3,0,0,'Données projet'!$E$13+1,1))-AVERAGE(OFFSET($H$3,0,0,'Données projet'!$E$13+1,1))</f>
        <v>300.12722359176314</v>
      </c>
      <c r="CZ162" s="62">
        <f t="shared" si="150"/>
        <v>313.35115626175946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0.33600912145443468</v>
      </c>
      <c r="DH162" s="23">
        <f>EXP(-LN(2)/2)*DH161+(1-EXP(-LN(2)/2))/(LN(2)/2)*DB162*DE162*VLOOKUP('Données projet'!$B$13,Paramètres!$A$1:$I$89,3,0)*0.475*44/12</f>
        <v>5.7730832021078514E-19</v>
      </c>
      <c r="DI162" s="24">
        <f t="shared" si="175"/>
        <v>0.33600912145443468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68.901566014484175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68.901566014484175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68.901566014484175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68.901566014484175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68.901566014484175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3.55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13.016666666666666</v>
      </c>
      <c r="H163" s="70">
        <f t="shared" si="110"/>
        <v>204.6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68.920621388402381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-2.2737367544323206E-13</v>
      </c>
      <c r="O163" s="14">
        <f>N163*VLOOKUP('Données projet'!$B$9,Paramètres!$A$1:$I$89,3,0)*VLOOKUP('Données projet'!$B$9,Paramètres!$A$1:$I$89,5,0)</f>
        <v>-1.2710188457276673E-13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455.44531340185631</v>
      </c>
      <c r="T163" s="62">
        <f t="shared" si="142"/>
        <v>560.14861617544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0.82316762664422727</v>
      </c>
      <c r="AA163" s="23">
        <f>EXP(-LN(2)/25)*AA162+(1-EXP(-LN(2)/25))/(LN(2)/25)*Calculateur!V163*Calculateur!X163*VLOOKUP('Données projet'!$B$9,Paramètres!$A$1:$I$89,3,0)*0.475*44/12</f>
        <v>0.38685646187094258</v>
      </c>
      <c r="AB163" s="23">
        <f>EXP(-LN(2)/2)*AB162+(1-EXP(-LN(2)/2))/(LN(2)/2)*V163*Y163*VLOOKUP('Données projet'!$B$9,Paramètres!$A$1:$I$89,3,0)*0.475*44/12</f>
        <v>3.5979703538118618E-19</v>
      </c>
      <c r="AC163" s="24">
        <f t="shared" si="163"/>
        <v>1.2100240885151698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68.920621388402381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1.9895196601282805E-13</v>
      </c>
      <c r="AJ163" s="14">
        <f>AI163*VLOOKUP('Données projet'!$B$10,Paramètres!$A$1:$I$89,3,0)*VLOOKUP('Données projet'!$B$10,Paramètres!$A$1:$I$89,5,0)</f>
        <v>1.738044375088066E-13</v>
      </c>
      <c r="AK163" s="14">
        <f t="shared" si="164"/>
        <v>2.4483293633950478E-12</v>
      </c>
      <c r="AL163" s="22">
        <f t="shared" si="165"/>
        <v>4.566883036574213E-12</v>
      </c>
      <c r="AM163" s="62">
        <f t="shared" si="113"/>
        <v>289.37561175747993</v>
      </c>
      <c r="AN163" s="62">
        <f ca="1">AVERAGE(OFFSET($AM$3,0,0,'Données projet'!$E$10+1,1))-AVERAGE(OFFSET($H$3,0,0,'Données projet'!$E$10+1,1))</f>
        <v>335.71510570470264</v>
      </c>
      <c r="AO163" s="62">
        <f t="shared" si="144"/>
        <v>401.61823018046482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0.69593861043142535</v>
      </c>
      <c r="AW163" s="23">
        <f>EXP(-LN(2)/2)*AW162+(1-EXP(-LN(2)/2))/(LN(2)/2)*AQ163*AT163*VLOOKUP('Données projet'!$B$10,Paramètres!$A$1:$I$89,3,0)*0.475*44/12</f>
        <v>4.9511469367344115E-19</v>
      </c>
      <c r="AX163" s="23">
        <f t="shared" si="166"/>
        <v>0.69593861043142535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68.920621388402381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-5.6843418860808015E-14</v>
      </c>
      <c r="BE163" s="14">
        <f>BD163*VLOOKUP('Données projet'!$B$11,Paramètres!$A$1:$I$89,3,0)*VLOOKUP('Données projet'!$B$11,Paramètres!$A$1:$I$89,5,0)</f>
        <v>-5.1431925385259088E-14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462.677457131175</v>
      </c>
      <c r="BJ163" s="62">
        <f t="shared" si="146"/>
        <v>291.78368401945909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0.2483909453347258</v>
      </c>
      <c r="BR163" s="23">
        <f>EXP(-LN(2)/2)*BR162+(1-EXP(-LN(2)/2))/(LN(2)/2)*BL163*BO163*VLOOKUP('Données projet'!$B$11,Paramètres!$A$1:$I$89,3,0)*0.475*44/12</f>
        <v>4.0413025152246755E-19</v>
      </c>
      <c r="BS163" s="24">
        <f t="shared" si="169"/>
        <v>0.2483909453347258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68.920621388402381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-5.6843418860808015E-14</v>
      </c>
      <c r="BZ163" s="14">
        <f>BY163*VLOOKUP('Données projet'!$B$12,Paramètres!$A$1:$I$89,3,0)*VLOOKUP('Données projet'!$B$12,Paramètres!$A$1:$I$89,5,0)</f>
        <v>-3.1036506698001178E-14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302.37244372118971</v>
      </c>
      <c r="CE163" s="62">
        <f t="shared" si="148"/>
        <v>439.56450354660171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0.57425995508112204</v>
      </c>
      <c r="CL163" s="23">
        <f>EXP(-LN(2)/25)*CL162+(1-EXP(-LN(2)/25))/(LN(2)/25)*Calculateur!CG163*Calculateur!CI163*VLOOKUP('Données projet'!$B$12,Paramètres!$A$1:$I$89,3,0)*0.475*44/12</f>
        <v>0.45984117618077364</v>
      </c>
      <c r="CM163" s="23">
        <f>EXP(-LN(2)/2)*CM162+(1-EXP(-LN(2)/2))/(LN(2)/2)*CG163*CJ163*VLOOKUP('Données projet'!$B$12,Paramètres!$A$1:$I$89,3,0)*0.475*44/12</f>
        <v>4.3506549370142166E-19</v>
      </c>
      <c r="CN163" s="24">
        <f t="shared" si="172"/>
        <v>1.0341011312618957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68.920621388402381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2.8421709430404007E-14</v>
      </c>
      <c r="CU163" s="18">
        <f>CT163*VLOOKUP('Données projet'!$B$13,Paramètres!$A$1:$I$89,3,0)*VLOOKUP('Données projet'!$B$13,Paramètres!$A$1:$I$89,5,0)</f>
        <v>2.0838797354372217E-14</v>
      </c>
      <c r="CV163" s="14">
        <f t="shared" si="173"/>
        <v>3.7575774393093487E-13</v>
      </c>
      <c r="CW163" s="22">
        <f t="shared" si="174"/>
        <v>6.9073897607190981E-13</v>
      </c>
      <c r="CX163" s="62">
        <f t="shared" si="122"/>
        <v>289.37561175747607</v>
      </c>
      <c r="CY163" s="62">
        <f ca="1">AVERAGE(OFFSET($CX$3,0,0,'Données projet'!$E$13+1,1))-AVERAGE(OFFSET($H$3,0,0,'Données projet'!$E$13+1,1))</f>
        <v>300.12722359176314</v>
      </c>
      <c r="CZ163" s="62">
        <f t="shared" si="150"/>
        <v>313.35115626175946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0.32682093435831144</v>
      </c>
      <c r="DH163" s="23">
        <f>EXP(-LN(2)/2)*DH162+(1-EXP(-LN(2)/2))/(LN(2)/2)*DB163*DE163*VLOOKUP('Données projet'!$B$13,Paramètres!$A$1:$I$89,3,0)*0.475*44/12</f>
        <v>4.0821862805646096E-19</v>
      </c>
      <c r="DI163" s="24">
        <f t="shared" si="175"/>
        <v>0.32682093435831144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68.920621388402381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68.920621388402381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68.920621388402381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68.920621388402381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68.920621388402381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3.55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13.016666666666666</v>
      </c>
      <c r="H164" s="70">
        <f t="shared" si="110"/>
        <v>204.6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68.939346194184537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-2.2737367544323206E-13</v>
      </c>
      <c r="O164" s="14">
        <f>N164*VLOOKUP('Données projet'!$B$9,Paramètres!$A$1:$I$89,3,0)*VLOOKUP('Données projet'!$B$9,Paramètres!$A$1:$I$89,5,0)</f>
        <v>-1.2710188457276673E-13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455.44531340185631</v>
      </c>
      <c r="T164" s="62">
        <f t="shared" si="142"/>
        <v>560.14861617544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0.80702581156840969</v>
      </c>
      <c r="AA164" s="23">
        <f>EXP(-LN(2)/25)*AA163+(1-EXP(-LN(2)/25))/(LN(2)/25)*Calculateur!V164*Calculateur!X164*VLOOKUP('Données projet'!$B$9,Paramètres!$A$1:$I$89,3,0)*0.475*44/12</f>
        <v>0.37627785157718452</v>
      </c>
      <c r="AB164" s="23">
        <f>EXP(-LN(2)/2)*AB163+(1-EXP(-LN(2)/2))/(LN(2)/2)*V164*Y164*VLOOKUP('Données projet'!$B$9,Paramètres!$A$1:$I$89,3,0)*0.475*44/12</f>
        <v>2.5441492356885291E-19</v>
      </c>
      <c r="AC164" s="24">
        <f t="shared" si="163"/>
        <v>1.1833036631455942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68.939346194184537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1.9895196601282805E-13</v>
      </c>
      <c r="AJ164" s="14">
        <f>AI164*VLOOKUP('Données projet'!$B$10,Paramètres!$A$1:$I$89,3,0)*VLOOKUP('Données projet'!$B$10,Paramètres!$A$1:$I$89,5,0)</f>
        <v>1.738044375088066E-13</v>
      </c>
      <c r="AK164" s="14">
        <f t="shared" si="164"/>
        <v>2.4483293633950478E-12</v>
      </c>
      <c r="AL164" s="22">
        <f t="shared" si="165"/>
        <v>4.566883036574213E-12</v>
      </c>
      <c r="AM164" s="62">
        <f t="shared" si="113"/>
        <v>289.44426937868121</v>
      </c>
      <c r="AN164" s="62">
        <f ca="1">AVERAGE(OFFSET($AM$3,0,0,'Données projet'!$E$10+1,1))-AVERAGE(OFFSET($H$3,0,0,'Données projet'!$E$10+1,1))</f>
        <v>335.71510570470264</v>
      </c>
      <c r="AO164" s="62">
        <f t="shared" si="144"/>
        <v>401.61823018046482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0.67690813253135707</v>
      </c>
      <c r="AW164" s="23">
        <f>EXP(-LN(2)/2)*AW163+(1-EXP(-LN(2)/2))/(LN(2)/2)*AQ164*AT164*VLOOKUP('Données projet'!$B$10,Paramètres!$A$1:$I$89,3,0)*0.475*44/12</f>
        <v>3.5009895736159047E-19</v>
      </c>
      <c r="AX164" s="23">
        <f t="shared" si="166"/>
        <v>0.67690813253135707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68.939346194184537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-5.6843418860808015E-14</v>
      </c>
      <c r="BE164" s="14">
        <f>BD164*VLOOKUP('Données projet'!$B$11,Paramètres!$A$1:$I$89,3,0)*VLOOKUP('Données projet'!$B$11,Paramètres!$A$1:$I$89,5,0)</f>
        <v>-5.1431925385259088E-14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462.677457131175</v>
      </c>
      <c r="BJ164" s="62">
        <f t="shared" si="146"/>
        <v>291.78368401945909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0.24159868187223563</v>
      </c>
      <c r="BR164" s="23">
        <f>EXP(-LN(2)/2)*BR163+(1-EXP(-LN(2)/2))/(LN(2)/2)*BL164*BO164*VLOOKUP('Données projet'!$B$11,Paramètres!$A$1:$I$89,3,0)*0.475*44/12</f>
        <v>2.8576324133416187E-19</v>
      </c>
      <c r="BS164" s="24">
        <f t="shared" si="169"/>
        <v>0.24159868187223563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68.939346194184537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-5.6843418860808015E-14</v>
      </c>
      <c r="BZ164" s="14">
        <f>BY164*VLOOKUP('Données projet'!$B$12,Paramètres!$A$1:$I$89,3,0)*VLOOKUP('Données projet'!$B$12,Paramètres!$A$1:$I$89,5,0)</f>
        <v>-3.1036506698001178E-14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302.37244372118971</v>
      </c>
      <c r="CE164" s="62">
        <f t="shared" si="148"/>
        <v>439.56450354660171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0.56299906762596819</v>
      </c>
      <c r="CL164" s="23">
        <f>EXP(-LN(2)/25)*CL163+(1-EXP(-LN(2)/25))/(LN(2)/25)*Calculateur!CG164*Calculateur!CI164*VLOOKUP('Données projet'!$B$12,Paramètres!$A$1:$I$89,3,0)*0.475*44/12</f>
        <v>0.44726679503611388</v>
      </c>
      <c r="CM164" s="23">
        <f>EXP(-LN(2)/2)*CM163+(1-EXP(-LN(2)/2))/(LN(2)/2)*CG164*CJ164*VLOOKUP('Données projet'!$B$12,Paramètres!$A$1:$I$89,3,0)*0.475*44/12</f>
        <v>3.0763776085654843E-19</v>
      </c>
      <c r="CN164" s="24">
        <f t="shared" si="172"/>
        <v>1.0102658626620822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68.939346194184537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2.8421709430404007E-14</v>
      </c>
      <c r="CU164" s="18">
        <f>CT164*VLOOKUP('Données projet'!$B$13,Paramètres!$A$1:$I$89,3,0)*VLOOKUP('Données projet'!$B$13,Paramètres!$A$1:$I$89,5,0)</f>
        <v>2.0838797354372217E-14</v>
      </c>
      <c r="CV164" s="14">
        <f t="shared" si="173"/>
        <v>3.7575774393093487E-13</v>
      </c>
      <c r="CW164" s="22">
        <f t="shared" si="174"/>
        <v>6.9073897607190981E-13</v>
      </c>
      <c r="CX164" s="62">
        <f t="shared" si="122"/>
        <v>289.44426937867735</v>
      </c>
      <c r="CY164" s="62">
        <f ca="1">AVERAGE(OFFSET($CX$3,0,0,'Données projet'!$E$13+1,1))-AVERAGE(OFFSET($H$3,0,0,'Données projet'!$E$13+1,1))</f>
        <v>300.12722359176314</v>
      </c>
      <c r="CZ164" s="62">
        <f t="shared" si="150"/>
        <v>313.35115626175946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0.31788399872151746</v>
      </c>
      <c r="DH164" s="23">
        <f>EXP(-LN(2)/2)*DH163+(1-EXP(-LN(2)/2))/(LN(2)/2)*DB164*DE164*VLOOKUP('Données projet'!$B$13,Paramètres!$A$1:$I$89,3,0)*0.475*44/12</f>
        <v>2.8865416010539257E-19</v>
      </c>
      <c r="DI164" s="24">
        <f t="shared" si="175"/>
        <v>0.31788399872151746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68.939346194184537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68.939346194184537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68.939346194184537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68.939346194184537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68.939346194184537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3.55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13.016666666666666</v>
      </c>
      <c r="H165" s="70">
        <f t="shared" si="110"/>
        <v>204.6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68.957746166448757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-2.2737367544323206E-13</v>
      </c>
      <c r="O165" s="14">
        <f>N165*VLOOKUP('Données projet'!$B$9,Paramètres!$A$1:$I$89,3,0)*VLOOKUP('Données projet'!$B$9,Paramètres!$A$1:$I$89,5,0)</f>
        <v>-1.2710188457276673E-13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455.44531340185631</v>
      </c>
      <c r="T165" s="62">
        <f t="shared" si="142"/>
        <v>560.14861617544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0.79120052764069382</v>
      </c>
      <c r="AA165" s="23">
        <f>EXP(-LN(2)/25)*AA164+(1-EXP(-LN(2)/25))/(LN(2)/25)*Calculateur!V165*Calculateur!X165*VLOOKUP('Données projet'!$B$9,Paramètres!$A$1:$I$89,3,0)*0.475*44/12</f>
        <v>0.36598851393821419</v>
      </c>
      <c r="AB165" s="23">
        <f>EXP(-LN(2)/2)*AB164+(1-EXP(-LN(2)/2))/(LN(2)/2)*V165*Y165*VLOOKUP('Données projet'!$B$9,Paramètres!$A$1:$I$89,3,0)*0.475*44/12</f>
        <v>1.7989851769059309E-19</v>
      </c>
      <c r="AC165" s="24">
        <f t="shared" si="163"/>
        <v>1.1571890415789081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68.957746166448757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1.9895196601282805E-13</v>
      </c>
      <c r="AJ165" s="14">
        <f>AI165*VLOOKUP('Données projet'!$B$10,Paramètres!$A$1:$I$89,3,0)*VLOOKUP('Données projet'!$B$10,Paramètres!$A$1:$I$89,5,0)</f>
        <v>1.738044375088066E-13</v>
      </c>
      <c r="AK165" s="14">
        <f t="shared" si="164"/>
        <v>2.4483293633950478E-12</v>
      </c>
      <c r="AL165" s="22">
        <f t="shared" si="165"/>
        <v>4.566883036574213E-12</v>
      </c>
      <c r="AM165" s="62">
        <f t="shared" si="113"/>
        <v>289.51173594364997</v>
      </c>
      <c r="AN165" s="62">
        <f ca="1">AVERAGE(OFFSET($AM$3,0,0,'Données projet'!$E$10+1,1))-AVERAGE(OFFSET($H$3,0,0,'Données projet'!$E$10+1,1))</f>
        <v>335.71510570470264</v>
      </c>
      <c r="AO165" s="62">
        <f t="shared" si="144"/>
        <v>401.61823018046482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0.6583980440502355</v>
      </c>
      <c r="AW165" s="23">
        <f>EXP(-LN(2)/2)*AW164+(1-EXP(-LN(2)/2))/(LN(2)/2)*AQ165*AT165*VLOOKUP('Données projet'!$B$10,Paramètres!$A$1:$I$89,3,0)*0.475*44/12</f>
        <v>2.4755734683672058E-19</v>
      </c>
      <c r="AX165" s="23">
        <f t="shared" si="166"/>
        <v>0.6583980440502355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68.957746166448757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-5.6843418860808015E-14</v>
      </c>
      <c r="BE165" s="14">
        <f>BD165*VLOOKUP('Données projet'!$B$11,Paramètres!$A$1:$I$89,3,0)*VLOOKUP('Données projet'!$B$11,Paramètres!$A$1:$I$89,5,0)</f>
        <v>-5.1431925385259088E-14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462.677457131175</v>
      </c>
      <c r="BJ165" s="62">
        <f t="shared" si="146"/>
        <v>291.78368401945909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0.23499215321131683</v>
      </c>
      <c r="BR165" s="23">
        <f>EXP(-LN(2)/2)*BR164+(1-EXP(-LN(2)/2))/(LN(2)/2)*BL165*BO165*VLOOKUP('Données projet'!$B$11,Paramètres!$A$1:$I$89,3,0)*0.475*44/12</f>
        <v>2.0206512576123377E-19</v>
      </c>
      <c r="BS165" s="24">
        <f t="shared" si="169"/>
        <v>0.23499215321131683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68.957746166448757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-5.6843418860808015E-14</v>
      </c>
      <c r="BZ165" s="14">
        <f>BY165*VLOOKUP('Données projet'!$B$12,Paramètres!$A$1:$I$89,3,0)*VLOOKUP('Données projet'!$B$12,Paramètres!$A$1:$I$89,5,0)</f>
        <v>-3.1036506698001178E-14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302.37244372118971</v>
      </c>
      <c r="CE165" s="62">
        <f t="shared" si="148"/>
        <v>439.56450354660171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0.55195899930534675</v>
      </c>
      <c r="CL165" s="23">
        <f>EXP(-LN(2)/25)*CL164+(1-EXP(-LN(2)/25))/(LN(2)/25)*Calculateur!CG165*Calculateur!CI165*VLOOKUP('Données projet'!$B$12,Paramètres!$A$1:$I$89,3,0)*0.475*44/12</f>
        <v>0.43503626100511283</v>
      </c>
      <c r="CM165" s="23">
        <f>EXP(-LN(2)/2)*CM164+(1-EXP(-LN(2)/2))/(LN(2)/2)*CG165*CJ165*VLOOKUP('Données projet'!$B$12,Paramètres!$A$1:$I$89,3,0)*0.475*44/12</f>
        <v>2.1753274685071083E-19</v>
      </c>
      <c r="CN165" s="24">
        <f t="shared" si="172"/>
        <v>0.98699526031045959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68.957746166448757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2.8421709430404007E-14</v>
      </c>
      <c r="CU165" s="18">
        <f>CT165*VLOOKUP('Données projet'!$B$13,Paramètres!$A$1:$I$89,3,0)*VLOOKUP('Données projet'!$B$13,Paramètres!$A$1:$I$89,5,0)</f>
        <v>2.0838797354372217E-14</v>
      </c>
      <c r="CV165" s="14">
        <f t="shared" si="173"/>
        <v>3.7575774393093487E-13</v>
      </c>
      <c r="CW165" s="22">
        <f t="shared" si="174"/>
        <v>6.9073897607190981E-13</v>
      </c>
      <c r="CX165" s="62">
        <f t="shared" si="122"/>
        <v>289.5117359436461</v>
      </c>
      <c r="CY165" s="62">
        <f ca="1">AVERAGE(OFFSET($CX$3,0,0,'Données projet'!$E$13+1,1))-AVERAGE(OFFSET($H$3,0,0,'Données projet'!$E$13+1,1))</f>
        <v>300.12722359176314</v>
      </c>
      <c r="CZ165" s="62">
        <f t="shared" si="150"/>
        <v>313.35115626175946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0.30919144405968463</v>
      </c>
      <c r="DH165" s="23">
        <f>EXP(-LN(2)/2)*DH164+(1-EXP(-LN(2)/2))/(LN(2)/2)*DB165*DE165*VLOOKUP('Données projet'!$B$13,Paramètres!$A$1:$I$89,3,0)*0.475*44/12</f>
        <v>2.0410931402823048E-19</v>
      </c>
      <c r="DI165" s="24">
        <f t="shared" si="175"/>
        <v>0.30919144405968463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68.957746166448757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68.957746166448757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68.957746166448757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68.957746166448757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68.957746166448757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3.55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13.016666666666666</v>
      </c>
      <c r="H166" s="70">
        <f t="shared" si="110"/>
        <v>204.6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68.975826940330393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-2.2737367544323206E-13</v>
      </c>
      <c r="O166" s="14">
        <f>N166*VLOOKUP('Données projet'!$B$9,Paramètres!$A$1:$I$89,3,0)*VLOOKUP('Données projet'!$B$9,Paramètres!$A$1:$I$89,5,0)</f>
        <v>-1.2710188457276673E-13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455.44531340185631</v>
      </c>
      <c r="T166" s="62">
        <f t="shared" si="142"/>
        <v>560.14861617544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0.77568556787833043</v>
      </c>
      <c r="AA166" s="23">
        <f>EXP(-LN(2)/25)*AA165+(1-EXP(-LN(2)/25))/(LN(2)/25)*Calculateur!V166*Calculateur!X166*VLOOKUP('Données projet'!$B$9,Paramètres!$A$1:$I$89,3,0)*0.475*44/12</f>
        <v>0.35598053877807423</v>
      </c>
      <c r="AB166" s="23">
        <f>EXP(-LN(2)/2)*AB165+(1-EXP(-LN(2)/2))/(LN(2)/2)*V166*Y166*VLOOKUP('Données projet'!$B$9,Paramètres!$A$1:$I$89,3,0)*0.475*44/12</f>
        <v>1.2720746178442646E-19</v>
      </c>
      <c r="AC166" s="24">
        <f t="shared" si="163"/>
        <v>1.1316661066564047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68.975826940330393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1.9895196601282805E-13</v>
      </c>
      <c r="AJ166" s="14">
        <f>AI166*VLOOKUP('Données projet'!$B$10,Paramètres!$A$1:$I$89,3,0)*VLOOKUP('Données projet'!$B$10,Paramètres!$A$1:$I$89,5,0)</f>
        <v>1.738044375088066E-13</v>
      </c>
      <c r="AK166" s="14">
        <f t="shared" si="164"/>
        <v>2.4483293633950478E-12</v>
      </c>
      <c r="AL166" s="22">
        <f t="shared" si="165"/>
        <v>4.566883036574213E-12</v>
      </c>
      <c r="AM166" s="62">
        <f t="shared" si="113"/>
        <v>289.57803211454933</v>
      </c>
      <c r="AN166" s="62">
        <f ca="1">AVERAGE(OFFSET($AM$3,0,0,'Données projet'!$E$10+1,1))-AVERAGE(OFFSET($H$3,0,0,'Données projet'!$E$10+1,1))</f>
        <v>335.71510570470264</v>
      </c>
      <c r="AO166" s="62">
        <f t="shared" si="144"/>
        <v>401.61823018046482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0.64039411491203346</v>
      </c>
      <c r="AW166" s="23">
        <f>EXP(-LN(2)/2)*AW165+(1-EXP(-LN(2)/2))/(LN(2)/2)*AQ166*AT166*VLOOKUP('Données projet'!$B$10,Paramètres!$A$1:$I$89,3,0)*0.475*44/12</f>
        <v>1.7504947868079523E-19</v>
      </c>
      <c r="AX166" s="23">
        <f t="shared" si="166"/>
        <v>0.64039411491203346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68.975826940330393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-5.6843418860808015E-14</v>
      </c>
      <c r="BE166" s="14">
        <f>BD166*VLOOKUP('Données projet'!$B$11,Paramètres!$A$1:$I$89,3,0)*VLOOKUP('Données projet'!$B$11,Paramètres!$A$1:$I$89,5,0)</f>
        <v>-5.1431925385259088E-14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462.677457131175</v>
      </c>
      <c r="BJ166" s="62">
        <f t="shared" si="146"/>
        <v>291.78368401945909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0.22856628042405311</v>
      </c>
      <c r="BR166" s="23">
        <f>EXP(-LN(2)/2)*BR165+(1-EXP(-LN(2)/2))/(LN(2)/2)*BL166*BO166*VLOOKUP('Données projet'!$B$11,Paramètres!$A$1:$I$89,3,0)*0.475*44/12</f>
        <v>1.4288162066708094E-19</v>
      </c>
      <c r="BS166" s="24">
        <f t="shared" si="169"/>
        <v>0.22856628042405311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68.975826940330393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-5.6843418860808015E-14</v>
      </c>
      <c r="BZ166" s="14">
        <f>BY166*VLOOKUP('Données projet'!$B$12,Paramètres!$A$1:$I$89,3,0)*VLOOKUP('Données projet'!$B$12,Paramètres!$A$1:$I$89,5,0)</f>
        <v>-3.1036506698001178E-14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302.37244372118971</v>
      </c>
      <c r="CE166" s="62">
        <f t="shared" si="148"/>
        <v>439.56450354660171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0.5411354199907159</v>
      </c>
      <c r="CL166" s="23">
        <f>EXP(-LN(2)/25)*CL165+(1-EXP(-LN(2)/25))/(LN(2)/25)*Calculateur!CG166*Calculateur!CI166*VLOOKUP('Données projet'!$B$12,Paramètres!$A$1:$I$89,3,0)*0.475*44/12</f>
        <v>0.42314017157036532</v>
      </c>
      <c r="CM166" s="23">
        <f>EXP(-LN(2)/2)*CM165+(1-EXP(-LN(2)/2))/(LN(2)/2)*CG166*CJ166*VLOOKUP('Données projet'!$B$12,Paramètres!$A$1:$I$89,3,0)*0.475*44/12</f>
        <v>1.5381888042827422E-19</v>
      </c>
      <c r="CN166" s="24">
        <f t="shared" si="172"/>
        <v>0.96427559156108122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68.975826940330393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2.8421709430404007E-14</v>
      </c>
      <c r="CU166" s="18">
        <f>CT166*VLOOKUP('Données projet'!$B$13,Paramètres!$A$1:$I$89,3,0)*VLOOKUP('Données projet'!$B$13,Paramètres!$A$1:$I$89,5,0)</f>
        <v>2.0838797354372217E-14</v>
      </c>
      <c r="CV166" s="14">
        <f t="shared" si="173"/>
        <v>3.7575774393093487E-13</v>
      </c>
      <c r="CW166" s="22">
        <f t="shared" si="174"/>
        <v>6.9073897607190981E-13</v>
      </c>
      <c r="CX166" s="62">
        <f t="shared" si="122"/>
        <v>289.57803211454546</v>
      </c>
      <c r="CY166" s="62">
        <f ca="1">AVERAGE(OFFSET($CX$3,0,0,'Données projet'!$E$13+1,1))-AVERAGE(OFFSET($H$3,0,0,'Données projet'!$E$13+1,1))</f>
        <v>300.12722359176314</v>
      </c>
      <c r="CZ166" s="62">
        <f t="shared" si="150"/>
        <v>313.35115626175946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0.30073658776220119</v>
      </c>
      <c r="DH166" s="23">
        <f>EXP(-LN(2)/2)*DH165+(1-EXP(-LN(2)/2))/(LN(2)/2)*DB166*DE166*VLOOKUP('Données projet'!$B$13,Paramètres!$A$1:$I$89,3,0)*0.475*44/12</f>
        <v>1.4432708005269628E-19</v>
      </c>
      <c r="DI166" s="24">
        <f t="shared" si="175"/>
        <v>0.30073658776220119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68.975826940330393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68.975826940330393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68.975826940330393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68.975826940330393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68.975826940330393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3.55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13.016666666666666</v>
      </c>
      <c r="H167" s="70">
        <f t="shared" si="110"/>
        <v>204.6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68.993594053207715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-2.2737367544323206E-13</v>
      </c>
      <c r="O167" s="14">
        <f>N167*VLOOKUP('Données projet'!$B$9,Paramètres!$A$1:$I$89,3,0)*VLOOKUP('Données projet'!$B$9,Paramètres!$A$1:$I$89,5,0)</f>
        <v>-1.2710188457276673E-13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455.44531340185631</v>
      </c>
      <c r="T167" s="62">
        <f t="shared" si="142"/>
        <v>560.14861617544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0.76047484701371593</v>
      </c>
      <c r="AA167" s="23">
        <f>EXP(-LN(2)/25)*AA166+(1-EXP(-LN(2)/25))/(LN(2)/25)*Calculateur!V167*Calculateur!X167*VLOOKUP('Données projet'!$B$9,Paramètres!$A$1:$I$89,3,0)*0.475*44/12</f>
        <v>0.34624623222498485</v>
      </c>
      <c r="AB167" s="23">
        <f>EXP(-LN(2)/2)*AB166+(1-EXP(-LN(2)/2))/(LN(2)/2)*V167*Y167*VLOOKUP('Données projet'!$B$9,Paramètres!$A$1:$I$89,3,0)*0.475*44/12</f>
        <v>8.9949258845296546E-20</v>
      </c>
      <c r="AC167" s="24">
        <f t="shared" si="163"/>
        <v>1.1067210792387008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68.993594053207715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1.9895196601282805E-13</v>
      </c>
      <c r="AJ167" s="14">
        <f>AI167*VLOOKUP('Données projet'!$B$10,Paramètres!$A$1:$I$89,3,0)*VLOOKUP('Données projet'!$B$10,Paramètres!$A$1:$I$89,5,0)</f>
        <v>1.738044375088066E-13</v>
      </c>
      <c r="AK167" s="14">
        <f t="shared" si="164"/>
        <v>2.4483293633950478E-12</v>
      </c>
      <c r="AL167" s="22">
        <f t="shared" si="165"/>
        <v>4.566883036574213E-12</v>
      </c>
      <c r="AM167" s="62">
        <f t="shared" si="113"/>
        <v>289.64317819509949</v>
      </c>
      <c r="AN167" s="62">
        <f ca="1">AVERAGE(OFFSET($AM$3,0,0,'Données projet'!$E$10+1,1))-AVERAGE(OFFSET($H$3,0,0,'Données projet'!$E$10+1,1))</f>
        <v>335.71510570470264</v>
      </c>
      <c r="AO167" s="62">
        <f t="shared" si="144"/>
        <v>401.61823018046482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0.62288250416290103</v>
      </c>
      <c r="AW167" s="23">
        <f>EXP(-LN(2)/2)*AW166+(1-EXP(-LN(2)/2))/(LN(2)/2)*AQ167*AT167*VLOOKUP('Données projet'!$B$10,Paramètres!$A$1:$I$89,3,0)*0.475*44/12</f>
        <v>1.2377867341836029E-19</v>
      </c>
      <c r="AX167" s="23">
        <f t="shared" si="166"/>
        <v>0.62288250416290103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68.993594053207715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-5.6843418860808015E-14</v>
      </c>
      <c r="BE167" s="14">
        <f>BD167*VLOOKUP('Données projet'!$B$11,Paramètres!$A$1:$I$89,3,0)*VLOOKUP('Données projet'!$B$11,Paramètres!$A$1:$I$89,5,0)</f>
        <v>-5.1431925385259088E-14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462.677457131175</v>
      </c>
      <c r="BJ167" s="62">
        <f t="shared" si="146"/>
        <v>291.78368401945909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0.2223161234660791</v>
      </c>
      <c r="BR167" s="23">
        <f>EXP(-LN(2)/2)*BR166+(1-EXP(-LN(2)/2))/(LN(2)/2)*BL167*BO167*VLOOKUP('Données projet'!$B$11,Paramètres!$A$1:$I$89,3,0)*0.475*44/12</f>
        <v>1.0103256288061689E-19</v>
      </c>
      <c r="BS167" s="24">
        <f t="shared" si="169"/>
        <v>0.2223161234660791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68.993594053207715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-5.6843418860808015E-14</v>
      </c>
      <c r="BZ167" s="14">
        <f>BY167*VLOOKUP('Données projet'!$B$12,Paramètres!$A$1:$I$89,3,0)*VLOOKUP('Données projet'!$B$12,Paramètres!$A$1:$I$89,5,0)</f>
        <v>-3.1036506698001178E-14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302.37244372118971</v>
      </c>
      <c r="CE167" s="62">
        <f t="shared" si="148"/>
        <v>439.56450354660171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0.53052408446471344</v>
      </c>
      <c r="CL167" s="23">
        <f>EXP(-LN(2)/25)*CL166+(1-EXP(-LN(2)/25))/(LN(2)/25)*Calculateur!CG167*Calculateur!CI167*VLOOKUP('Données projet'!$B$12,Paramètres!$A$1:$I$89,3,0)*0.475*44/12</f>
        <v>0.41156938132679916</v>
      </c>
      <c r="CM167" s="23">
        <f>EXP(-LN(2)/2)*CM166+(1-EXP(-LN(2)/2))/(LN(2)/2)*CG167*CJ167*VLOOKUP('Données projet'!$B$12,Paramètres!$A$1:$I$89,3,0)*0.475*44/12</f>
        <v>1.0876637342535541E-19</v>
      </c>
      <c r="CN167" s="24">
        <f t="shared" si="172"/>
        <v>0.94209346579151254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68.993594053207715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2.8421709430404007E-14</v>
      </c>
      <c r="CU167" s="18">
        <f>CT167*VLOOKUP('Données projet'!$B$13,Paramètres!$A$1:$I$89,3,0)*VLOOKUP('Données projet'!$B$13,Paramètres!$A$1:$I$89,5,0)</f>
        <v>2.0838797354372217E-14</v>
      </c>
      <c r="CV167" s="14">
        <f t="shared" si="173"/>
        <v>3.7575774393093487E-13</v>
      </c>
      <c r="CW167" s="22">
        <f t="shared" si="174"/>
        <v>6.9073897607190981E-13</v>
      </c>
      <c r="CX167" s="62">
        <f t="shared" si="122"/>
        <v>289.64317819509563</v>
      </c>
      <c r="CY167" s="62">
        <f ca="1">AVERAGE(OFFSET($CX$3,0,0,'Données projet'!$E$13+1,1))-AVERAGE(OFFSET($H$3,0,0,'Données projet'!$E$13+1,1))</f>
        <v>300.12722359176314</v>
      </c>
      <c r="CZ167" s="62">
        <f t="shared" si="150"/>
        <v>313.35115626175946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0.292512929954794</v>
      </c>
      <c r="DH167" s="23">
        <f>EXP(-LN(2)/2)*DH166+(1-EXP(-LN(2)/2))/(LN(2)/2)*DB167*DE167*VLOOKUP('Données projet'!$B$13,Paramètres!$A$1:$I$89,3,0)*0.475*44/12</f>
        <v>1.0205465701411524E-19</v>
      </c>
      <c r="DI167" s="24">
        <f t="shared" si="175"/>
        <v>0.292512929954794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68.993594053207715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68.993594053207715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68.993594053207715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68.993594053207715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68.993594053207715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3.55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13.016666666666666</v>
      </c>
      <c r="H168" s="70">
        <f t="shared" si="110"/>
        <v>204.6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69.011052946397939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-2.2737367544323206E-13</v>
      </c>
      <c r="O168" s="14">
        <f>N168*VLOOKUP('Données projet'!$B$9,Paramètres!$A$1:$I$89,3,0)*VLOOKUP('Données projet'!$B$9,Paramètres!$A$1:$I$89,5,0)</f>
        <v>-1.2710188457276673E-13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455.44531340185631</v>
      </c>
      <c r="T168" s="62">
        <f t="shared" si="142"/>
        <v>560.14861617544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0.74556239910763289</v>
      </c>
      <c r="AA168" s="23">
        <f>EXP(-LN(2)/25)*AA167+(1-EXP(-LN(2)/25))/(LN(2)/25)*Calculateur!V168*Calculateur!X168*VLOOKUP('Données projet'!$B$9,Paramètres!$A$1:$I$89,3,0)*0.475*44/12</f>
        <v>0.33677811079649467</v>
      </c>
      <c r="AB168" s="23">
        <f>EXP(-LN(2)/2)*AB167+(1-EXP(-LN(2)/2))/(LN(2)/2)*V168*Y168*VLOOKUP('Données projet'!$B$9,Paramètres!$A$1:$I$89,3,0)*0.475*44/12</f>
        <v>6.3603730892213228E-20</v>
      </c>
      <c r="AC168" s="24">
        <f t="shared" si="163"/>
        <v>1.0823405099041277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69.011052946397939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1.9895196601282805E-13</v>
      </c>
      <c r="AJ168" s="14">
        <f>AI168*VLOOKUP('Données projet'!$B$10,Paramètres!$A$1:$I$89,3,0)*VLOOKUP('Données projet'!$B$10,Paramètres!$A$1:$I$89,5,0)</f>
        <v>1.738044375088066E-13</v>
      </c>
      <c r="AK168" s="14">
        <f t="shared" si="164"/>
        <v>2.4483293633950478E-12</v>
      </c>
      <c r="AL168" s="22">
        <f t="shared" si="165"/>
        <v>4.566883036574213E-12</v>
      </c>
      <c r="AM168" s="62">
        <f t="shared" si="113"/>
        <v>289.707194136797</v>
      </c>
      <c r="AN168" s="62">
        <f ca="1">AVERAGE(OFFSET($AM$3,0,0,'Données projet'!$E$10+1,1))-AVERAGE(OFFSET($H$3,0,0,'Données projet'!$E$10+1,1))</f>
        <v>335.71510570470264</v>
      </c>
      <c r="AO168" s="62">
        <f t="shared" si="144"/>
        <v>401.61823018046482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0.60584974933059921</v>
      </c>
      <c r="AW168" s="23">
        <f>EXP(-LN(2)/2)*AW167+(1-EXP(-LN(2)/2))/(LN(2)/2)*AQ168*AT168*VLOOKUP('Données projet'!$B$10,Paramètres!$A$1:$I$89,3,0)*0.475*44/12</f>
        <v>8.7524739340397617E-20</v>
      </c>
      <c r="AX168" s="23">
        <f t="shared" si="166"/>
        <v>0.60584974933059921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69.011052946397939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-5.6843418860808015E-14</v>
      </c>
      <c r="BE168" s="14">
        <f>BD168*VLOOKUP('Données projet'!$B$11,Paramètres!$A$1:$I$89,3,0)*VLOOKUP('Données projet'!$B$11,Paramètres!$A$1:$I$89,5,0)</f>
        <v>-5.1431925385259088E-14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462.677457131175</v>
      </c>
      <c r="BJ168" s="62">
        <f t="shared" si="146"/>
        <v>291.78368401945909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0.21623687737880234</v>
      </c>
      <c r="BR168" s="23">
        <f>EXP(-LN(2)/2)*BR167+(1-EXP(-LN(2)/2))/(LN(2)/2)*BL168*BO168*VLOOKUP('Données projet'!$B$11,Paramètres!$A$1:$I$89,3,0)*0.475*44/12</f>
        <v>7.1440810333540468E-20</v>
      </c>
      <c r="BS168" s="24">
        <f t="shared" si="169"/>
        <v>0.21623687737880234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69.011052946397939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-5.6843418860808015E-14</v>
      </c>
      <c r="BZ168" s="14">
        <f>BY168*VLOOKUP('Données projet'!$B$12,Paramètres!$A$1:$I$89,3,0)*VLOOKUP('Données projet'!$B$12,Paramètres!$A$1:$I$89,5,0)</f>
        <v>-3.1036506698001178E-14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302.37244372118971</v>
      </c>
      <c r="CE168" s="62">
        <f t="shared" si="148"/>
        <v>439.56450354660171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0.52012083075610027</v>
      </c>
      <c r="CL168" s="23">
        <f>EXP(-LN(2)/25)*CL167+(1-EXP(-LN(2)/25))/(LN(2)/25)*Calculateur!CG168*Calculateur!CI168*VLOOKUP('Données projet'!$B$12,Paramètres!$A$1:$I$89,3,0)*0.475*44/12</f>
        <v>0.40031499495092471</v>
      </c>
      <c r="CM168" s="23">
        <f>EXP(-LN(2)/2)*CM167+(1-EXP(-LN(2)/2))/(LN(2)/2)*CG168*CJ168*VLOOKUP('Données projet'!$B$12,Paramètres!$A$1:$I$89,3,0)*0.475*44/12</f>
        <v>7.6909440214137109E-20</v>
      </c>
      <c r="CN168" s="24">
        <f t="shared" si="172"/>
        <v>0.92043582570702498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69.011052946397939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2.8421709430404007E-14</v>
      </c>
      <c r="CU168" s="18">
        <f>CT168*VLOOKUP('Données projet'!$B$13,Paramètres!$A$1:$I$89,3,0)*VLOOKUP('Données projet'!$B$13,Paramètres!$A$1:$I$89,5,0)</f>
        <v>2.0838797354372217E-14</v>
      </c>
      <c r="CV168" s="14">
        <f t="shared" si="173"/>
        <v>3.7575774393093487E-13</v>
      </c>
      <c r="CW168" s="22">
        <f t="shared" si="174"/>
        <v>6.9073897607190981E-13</v>
      </c>
      <c r="CX168" s="62">
        <f t="shared" si="122"/>
        <v>289.70719413679313</v>
      </c>
      <c r="CY168" s="62">
        <f ca="1">AVERAGE(OFFSET($CX$3,0,0,'Données projet'!$E$13+1,1))-AVERAGE(OFFSET($H$3,0,0,'Données projet'!$E$13+1,1))</f>
        <v>300.12722359176314</v>
      </c>
      <c r="CZ168" s="62">
        <f t="shared" si="150"/>
        <v>313.35115626175946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0.28451414850259371</v>
      </c>
      <c r="DH168" s="23">
        <f>EXP(-LN(2)/2)*DH167+(1-EXP(-LN(2)/2))/(LN(2)/2)*DB168*DE168*VLOOKUP('Données projet'!$B$13,Paramètres!$A$1:$I$89,3,0)*0.475*44/12</f>
        <v>7.2163540026348142E-20</v>
      </c>
      <c r="DI168" s="24">
        <f t="shared" si="175"/>
        <v>0.28451414850259371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69.011052946397939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69.011052946397939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69.011052946397939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69.011052946397939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69.011052946397939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3.55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13.016666666666666</v>
      </c>
      <c r="H169" s="70">
        <f t="shared" si="110"/>
        <v>204.6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69.028208966823541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-2.2737367544323206E-13</v>
      </c>
      <c r="O169" s="14">
        <f>N169*VLOOKUP('Données projet'!$B$9,Paramètres!$A$1:$I$89,3,0)*VLOOKUP('Données projet'!$B$9,Paramètres!$A$1:$I$89,5,0)</f>
        <v>-1.2710188457276673E-13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455.44531340185631</v>
      </c>
      <c r="T169" s="62">
        <f t="shared" si="142"/>
        <v>560.14861617544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0.73094237520929306</v>
      </c>
      <c r="AA169" s="23">
        <f>EXP(-LN(2)/25)*AA168+(1-EXP(-LN(2)/25))/(LN(2)/25)*Calculateur!V169*Calculateur!X169*VLOOKUP('Données projet'!$B$9,Paramètres!$A$1:$I$89,3,0)*0.475*44/12</f>
        <v>0.32756889564637337</v>
      </c>
      <c r="AB169" s="23">
        <f>EXP(-LN(2)/2)*AB168+(1-EXP(-LN(2)/2))/(LN(2)/2)*V169*Y169*VLOOKUP('Données projet'!$B$9,Paramètres!$A$1:$I$89,3,0)*0.475*44/12</f>
        <v>4.4974629422648273E-20</v>
      </c>
      <c r="AC169" s="24">
        <f t="shared" si="163"/>
        <v>1.0585112708556665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69.028208966823541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1.9895196601282805E-13</v>
      </c>
      <c r="AJ169" s="14">
        <f>AI169*VLOOKUP('Données projet'!$B$10,Paramètres!$A$1:$I$89,3,0)*VLOOKUP('Données projet'!$B$10,Paramètres!$A$1:$I$89,5,0)</f>
        <v>1.738044375088066E-13</v>
      </c>
      <c r="AK169" s="14">
        <f t="shared" si="164"/>
        <v>2.4483293633950478E-12</v>
      </c>
      <c r="AL169" s="22">
        <f t="shared" si="165"/>
        <v>4.566883036574213E-12</v>
      </c>
      <c r="AM169" s="62">
        <f t="shared" si="113"/>
        <v>289.77009954502421</v>
      </c>
      <c r="AN169" s="62">
        <f ca="1">AVERAGE(OFFSET($AM$3,0,0,'Données projet'!$E$10+1,1))-AVERAGE(OFFSET($H$3,0,0,'Données projet'!$E$10+1,1))</f>
        <v>335.71510570470264</v>
      </c>
      <c r="AO169" s="62">
        <f t="shared" si="144"/>
        <v>401.61823018046482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0.58928275607490033</v>
      </c>
      <c r="AW169" s="23">
        <f>EXP(-LN(2)/2)*AW168+(1-EXP(-LN(2)/2))/(LN(2)/2)*AQ169*AT169*VLOOKUP('Données projet'!$B$10,Paramètres!$A$1:$I$89,3,0)*0.475*44/12</f>
        <v>6.1889336709180144E-20</v>
      </c>
      <c r="AX169" s="23">
        <f t="shared" si="166"/>
        <v>0.58928275607490033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69.028208966823541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-5.6843418860808015E-14</v>
      </c>
      <c r="BE169" s="14">
        <f>BD169*VLOOKUP('Données projet'!$B$11,Paramètres!$A$1:$I$89,3,0)*VLOOKUP('Données projet'!$B$11,Paramètres!$A$1:$I$89,5,0)</f>
        <v>-5.1431925385259088E-14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462.677457131175</v>
      </c>
      <c r="BJ169" s="62">
        <f t="shared" si="146"/>
        <v>291.78368401945909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0.21032386859547583</v>
      </c>
      <c r="BR169" s="23">
        <f>EXP(-LN(2)/2)*BR168+(1-EXP(-LN(2)/2))/(LN(2)/2)*BL169*BO169*VLOOKUP('Données projet'!$B$11,Paramètres!$A$1:$I$89,3,0)*0.475*44/12</f>
        <v>5.0516281440308444E-20</v>
      </c>
      <c r="BS169" s="24">
        <f t="shared" si="169"/>
        <v>0.21032386859547583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69.028208966823541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-5.6843418860808015E-14</v>
      </c>
      <c r="BZ169" s="14">
        <f>BY169*VLOOKUP('Données projet'!$B$12,Paramètres!$A$1:$I$89,3,0)*VLOOKUP('Données projet'!$B$12,Paramètres!$A$1:$I$89,5,0)</f>
        <v>-3.1036506698001178E-14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302.37244372118971</v>
      </c>
      <c r="CE169" s="62">
        <f t="shared" si="148"/>
        <v>439.56450354660171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0.50992157850735487</v>
      </c>
      <c r="CL169" s="23">
        <f>EXP(-LN(2)/25)*CL168+(1-EXP(-LN(2)/25))/(LN(2)/25)*Calculateur!CG169*Calculateur!CI169*VLOOKUP('Données projet'!$B$12,Paramètres!$A$1:$I$89,3,0)*0.475*44/12</f>
        <v>0.38936836036234101</v>
      </c>
      <c r="CM169" s="23">
        <f>EXP(-LN(2)/2)*CM168+(1-EXP(-LN(2)/2))/(LN(2)/2)*CG169*CJ169*VLOOKUP('Données projet'!$B$12,Paramètres!$A$1:$I$89,3,0)*0.475*44/12</f>
        <v>5.4383186712677707E-20</v>
      </c>
      <c r="CN169" s="24">
        <f t="shared" si="172"/>
        <v>0.89928993886969588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69.028208966823541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2.8421709430404007E-14</v>
      </c>
      <c r="CU169" s="18">
        <f>CT169*VLOOKUP('Données projet'!$B$13,Paramètres!$A$1:$I$89,3,0)*VLOOKUP('Données projet'!$B$13,Paramètres!$A$1:$I$89,5,0)</f>
        <v>2.0838797354372217E-14</v>
      </c>
      <c r="CV169" s="14">
        <f t="shared" si="173"/>
        <v>3.7575774393093487E-13</v>
      </c>
      <c r="CW169" s="22">
        <f t="shared" si="174"/>
        <v>6.9073897607190981E-13</v>
      </c>
      <c r="CX169" s="62">
        <f t="shared" si="122"/>
        <v>289.77009954502034</v>
      </c>
      <c r="CY169" s="62">
        <f ca="1">AVERAGE(OFFSET($CX$3,0,0,'Données projet'!$E$13+1,1))-AVERAGE(OFFSET($H$3,0,0,'Données projet'!$E$13+1,1))</f>
        <v>300.12722359176314</v>
      </c>
      <c r="CZ169" s="62">
        <f t="shared" si="150"/>
        <v>313.35115626175946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0.27673409414984146</v>
      </c>
      <c r="DH169" s="23">
        <f>EXP(-LN(2)/2)*DH168+(1-EXP(-LN(2)/2))/(LN(2)/2)*DB169*DE169*VLOOKUP('Données projet'!$B$13,Paramètres!$A$1:$I$89,3,0)*0.475*44/12</f>
        <v>5.102732850705762E-20</v>
      </c>
      <c r="DI169" s="24">
        <f t="shared" si="175"/>
        <v>0.27673409414984146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69.028208966823541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69.028208966823541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69.028208966823541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69.028208966823541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69.028208966823541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3.55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13.016666666666666</v>
      </c>
      <c r="H170" s="70">
        <f t="shared" si="110"/>
        <v>204.6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69.045067368649882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-2.2737367544323206E-13</v>
      </c>
      <c r="O170" s="14">
        <f>N170*VLOOKUP('Données projet'!$B$9,Paramètres!$A$1:$I$89,3,0)*VLOOKUP('Données projet'!$B$9,Paramètres!$A$1:$I$89,5,0)</f>
        <v>-1.2710188457276673E-13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455.44531340185631</v>
      </c>
      <c r="T170" s="62">
        <f t="shared" si="142"/>
        <v>560.14861617544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0.71660904106226553</v>
      </c>
      <c r="AA170" s="23">
        <f>EXP(-LN(2)/25)*AA169+(1-EXP(-LN(2)/25))/(LN(2)/25)*Calculateur!V170*Calculateur!X170*VLOOKUP('Données projet'!$B$9,Paramètres!$A$1:$I$89,3,0)*0.475*44/12</f>
        <v>0.31861150696882373</v>
      </c>
      <c r="AB170" s="23">
        <f>EXP(-LN(2)/2)*AB169+(1-EXP(-LN(2)/2))/(LN(2)/2)*V170*Y170*VLOOKUP('Données projet'!$B$9,Paramètres!$A$1:$I$89,3,0)*0.475*44/12</f>
        <v>3.1801865446106614E-20</v>
      </c>
      <c r="AC170" s="24">
        <f t="shared" si="163"/>
        <v>1.0352205480310892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69.045067368649882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1.9895196601282805E-13</v>
      </c>
      <c r="AJ170" s="14">
        <f>AI170*VLOOKUP('Données projet'!$B$10,Paramètres!$A$1:$I$89,3,0)*VLOOKUP('Données projet'!$B$10,Paramètres!$A$1:$I$89,5,0)</f>
        <v>1.738044375088066E-13</v>
      </c>
      <c r="AK170" s="14">
        <f t="shared" si="164"/>
        <v>2.4483293633950478E-12</v>
      </c>
      <c r="AL170" s="22">
        <f t="shared" si="165"/>
        <v>4.566883036574213E-12</v>
      </c>
      <c r="AM170" s="62">
        <f t="shared" si="113"/>
        <v>289.83191368505413</v>
      </c>
      <c r="AN170" s="62">
        <f ca="1">AVERAGE(OFFSET($AM$3,0,0,'Données projet'!$E$10+1,1))-AVERAGE(OFFSET($H$3,0,0,'Données projet'!$E$10+1,1))</f>
        <v>335.71510570470264</v>
      </c>
      <c r="AO170" s="62">
        <f t="shared" si="144"/>
        <v>401.61823018046482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0.57316878812099881</v>
      </c>
      <c r="AW170" s="23">
        <f>EXP(-LN(2)/2)*AW169+(1-EXP(-LN(2)/2))/(LN(2)/2)*AQ170*AT170*VLOOKUP('Données projet'!$B$10,Paramètres!$A$1:$I$89,3,0)*0.475*44/12</f>
        <v>4.3762369670198808E-20</v>
      </c>
      <c r="AX170" s="23">
        <f t="shared" si="166"/>
        <v>0.57316878812099881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69.045067368649882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-5.6843418860808015E-14</v>
      </c>
      <c r="BE170" s="14">
        <f>BD170*VLOOKUP('Données projet'!$B$11,Paramètres!$A$1:$I$89,3,0)*VLOOKUP('Données projet'!$B$11,Paramètres!$A$1:$I$89,5,0)</f>
        <v>-5.1431925385259088E-14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462.677457131175</v>
      </c>
      <c r="BJ170" s="62">
        <f t="shared" si="146"/>
        <v>291.78368401945909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0.20457255134828101</v>
      </c>
      <c r="BR170" s="23">
        <f>EXP(-LN(2)/2)*BR169+(1-EXP(-LN(2)/2))/(LN(2)/2)*BL170*BO170*VLOOKUP('Données projet'!$B$11,Paramètres!$A$1:$I$89,3,0)*0.475*44/12</f>
        <v>3.5720405166770234E-20</v>
      </c>
      <c r="BS170" s="24">
        <f t="shared" si="169"/>
        <v>0.20457255134828101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69.045067368649882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-5.6843418860808015E-14</v>
      </c>
      <c r="BZ170" s="14">
        <f>BY170*VLOOKUP('Données projet'!$B$12,Paramètres!$A$1:$I$89,3,0)*VLOOKUP('Données projet'!$B$12,Paramètres!$A$1:$I$89,5,0)</f>
        <v>-3.1036506698001178E-14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302.37244372118971</v>
      </c>
      <c r="CE170" s="62">
        <f t="shared" si="148"/>
        <v>439.56450354660171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0.49992232737427772</v>
      </c>
      <c r="CL170" s="23">
        <f>EXP(-LN(2)/25)*CL169+(1-EXP(-LN(2)/25))/(LN(2)/25)*Calculateur!CG170*Calculateur!CI170*VLOOKUP('Données projet'!$B$12,Paramètres!$A$1:$I$89,3,0)*0.475*44/12</f>
        <v>0.37872106207224066</v>
      </c>
      <c r="CM170" s="23">
        <f>EXP(-LN(2)/2)*CM169+(1-EXP(-LN(2)/2))/(LN(2)/2)*CG170*CJ170*VLOOKUP('Données projet'!$B$12,Paramètres!$A$1:$I$89,3,0)*0.475*44/12</f>
        <v>3.8454720107068554E-20</v>
      </c>
      <c r="CN170" s="24">
        <f t="shared" si="172"/>
        <v>0.87864338944651843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69.045067368649882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2.8421709430404007E-14</v>
      </c>
      <c r="CU170" s="18">
        <f>CT170*VLOOKUP('Données projet'!$B$13,Paramètres!$A$1:$I$89,3,0)*VLOOKUP('Données projet'!$B$13,Paramètres!$A$1:$I$89,5,0)</f>
        <v>2.0838797354372217E-14</v>
      </c>
      <c r="CV170" s="14">
        <f t="shared" si="173"/>
        <v>3.7575774393093487E-13</v>
      </c>
      <c r="CW170" s="22">
        <f t="shared" si="174"/>
        <v>6.9073897607190981E-13</v>
      </c>
      <c r="CX170" s="62">
        <f t="shared" si="122"/>
        <v>289.83191368505027</v>
      </c>
      <c r="CY170" s="62">
        <f ca="1">AVERAGE(OFFSET($CX$3,0,0,'Données projet'!$E$13+1,1))-AVERAGE(OFFSET($H$3,0,0,'Données projet'!$E$13+1,1))</f>
        <v>300.12722359176314</v>
      </c>
      <c r="CZ170" s="62">
        <f t="shared" si="150"/>
        <v>313.35115626175946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0.26916678579250053</v>
      </c>
      <c r="DH170" s="23">
        <f>EXP(-LN(2)/2)*DH169+(1-EXP(-LN(2)/2))/(LN(2)/2)*DB170*DE170*VLOOKUP('Données projet'!$B$13,Paramètres!$A$1:$I$89,3,0)*0.475*44/12</f>
        <v>3.6081770013174071E-20</v>
      </c>
      <c r="DI170" s="24">
        <f t="shared" si="175"/>
        <v>0.26916678579250053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69.045067368649882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69.045067368649882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69.045067368649882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69.045067368649882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69.045067368649882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3.55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13.016666666666666</v>
      </c>
      <c r="H171" s="70">
        <f t="shared" si="110"/>
        <v>204.6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69.061633314894266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-2.2737367544323206E-13</v>
      </c>
      <c r="O171" s="14">
        <f>N171*VLOOKUP('Données projet'!$B$9,Paramètres!$A$1:$I$89,3,0)*VLOOKUP('Données projet'!$B$9,Paramètres!$A$1:$I$89,5,0)</f>
        <v>-1.2710188457276673E-13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455.44531340185631</v>
      </c>
      <c r="T171" s="62">
        <f t="shared" si="142"/>
        <v>560.14861617544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0.7025567748553907</v>
      </c>
      <c r="AA171" s="23">
        <f>EXP(-LN(2)/25)*AA170+(1-EXP(-LN(2)/25))/(LN(2)/25)*Calculateur!V171*Calculateur!X171*VLOOKUP('Données projet'!$B$9,Paramètres!$A$1:$I$89,3,0)*0.475*44/12</f>
        <v>0.30989905855571032</v>
      </c>
      <c r="AB171" s="23">
        <f>EXP(-LN(2)/2)*AB170+(1-EXP(-LN(2)/2))/(LN(2)/2)*V171*Y171*VLOOKUP('Données projet'!$B$9,Paramètres!$A$1:$I$89,3,0)*0.475*44/12</f>
        <v>2.2487314711324136E-20</v>
      </c>
      <c r="AC171" s="24">
        <f t="shared" si="163"/>
        <v>1.0124558334111011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69.061633314894266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1.9895196601282805E-13</v>
      </c>
      <c r="AJ171" s="14">
        <f>AI171*VLOOKUP('Données projet'!$B$10,Paramètres!$A$1:$I$89,3,0)*VLOOKUP('Données projet'!$B$10,Paramètres!$A$1:$I$89,5,0)</f>
        <v>1.738044375088066E-13</v>
      </c>
      <c r="AK171" s="14">
        <f t="shared" si="164"/>
        <v>2.4483293633950478E-12</v>
      </c>
      <c r="AL171" s="22">
        <f t="shared" si="165"/>
        <v>4.566883036574213E-12</v>
      </c>
      <c r="AM171" s="62">
        <f t="shared" si="113"/>
        <v>289.89265548795021</v>
      </c>
      <c r="AN171" s="62">
        <f ca="1">AVERAGE(OFFSET($AM$3,0,0,'Données projet'!$E$10+1,1))-AVERAGE(OFFSET($H$3,0,0,'Données projet'!$E$10+1,1))</f>
        <v>335.71510570470264</v>
      </c>
      <c r="AO171" s="62">
        <f t="shared" si="144"/>
        <v>401.61823018046482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0.55749545746819351</v>
      </c>
      <c r="AW171" s="23">
        <f>EXP(-LN(2)/2)*AW170+(1-EXP(-LN(2)/2))/(LN(2)/2)*AQ171*AT171*VLOOKUP('Données projet'!$B$10,Paramètres!$A$1:$I$89,3,0)*0.475*44/12</f>
        <v>3.0944668354590072E-20</v>
      </c>
      <c r="AX171" s="23">
        <f t="shared" si="166"/>
        <v>0.55749545746819351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69.061633314894266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-5.6843418860808015E-14</v>
      </c>
      <c r="BE171" s="14">
        <f>BD171*VLOOKUP('Données projet'!$B$11,Paramètres!$A$1:$I$89,3,0)*VLOOKUP('Données projet'!$B$11,Paramètres!$A$1:$I$89,5,0)</f>
        <v>-5.1431925385259088E-14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462.677457131175</v>
      </c>
      <c r="BJ171" s="62">
        <f t="shared" si="146"/>
        <v>291.78368401945909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0.19897850417365934</v>
      </c>
      <c r="BR171" s="23">
        <f>EXP(-LN(2)/2)*BR170+(1-EXP(-LN(2)/2))/(LN(2)/2)*BL171*BO171*VLOOKUP('Données projet'!$B$11,Paramètres!$A$1:$I$89,3,0)*0.475*44/12</f>
        <v>2.5258140720154222E-20</v>
      </c>
      <c r="BS171" s="24">
        <f t="shared" si="169"/>
        <v>0.19897850417365934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69.061633314894266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-5.6843418860808015E-14</v>
      </c>
      <c r="BZ171" s="14">
        <f>BY171*VLOOKUP('Données projet'!$B$12,Paramètres!$A$1:$I$89,3,0)*VLOOKUP('Données projet'!$B$12,Paramètres!$A$1:$I$89,5,0)</f>
        <v>-3.1036506698001178E-14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302.37244372118971</v>
      </c>
      <c r="CE171" s="62">
        <f t="shared" si="148"/>
        <v>439.56450354660171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0.49011915545697926</v>
      </c>
      <c r="CL171" s="23">
        <f>EXP(-LN(2)/25)*CL170+(1-EXP(-LN(2)/25))/(LN(2)/25)*Calculateur!CG171*Calculateur!CI171*VLOOKUP('Données projet'!$B$12,Paramètres!$A$1:$I$89,3,0)*0.475*44/12</f>
        <v>0.36836491471380017</v>
      </c>
      <c r="CM171" s="23">
        <f>EXP(-LN(2)/2)*CM170+(1-EXP(-LN(2)/2))/(LN(2)/2)*CG171*CJ171*VLOOKUP('Données projet'!$B$12,Paramètres!$A$1:$I$89,3,0)*0.475*44/12</f>
        <v>2.7191593356338853E-20</v>
      </c>
      <c r="CN171" s="24">
        <f t="shared" si="172"/>
        <v>0.85848407017077943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69.061633314894266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2.8421709430404007E-14</v>
      </c>
      <c r="CU171" s="18">
        <f>CT171*VLOOKUP('Données projet'!$B$13,Paramètres!$A$1:$I$89,3,0)*VLOOKUP('Données projet'!$B$13,Paramètres!$A$1:$I$89,5,0)</f>
        <v>2.0838797354372217E-14</v>
      </c>
      <c r="CV171" s="14">
        <f t="shared" si="173"/>
        <v>3.7575774393093487E-13</v>
      </c>
      <c r="CW171" s="22">
        <f t="shared" si="174"/>
        <v>6.9073897607190981E-13</v>
      </c>
      <c r="CX171" s="62">
        <f t="shared" si="122"/>
        <v>289.89265548794634</v>
      </c>
      <c r="CY171" s="62">
        <f ca="1">AVERAGE(OFFSET($CX$3,0,0,'Données projet'!$E$13+1,1))-AVERAGE(OFFSET($H$3,0,0,'Données projet'!$E$13+1,1))</f>
        <v>300.12722359176314</v>
      </c>
      <c r="CZ171" s="62">
        <f t="shared" si="150"/>
        <v>313.35115626175946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0.26180640588013854</v>
      </c>
      <c r="DH171" s="23">
        <f>EXP(-LN(2)/2)*DH170+(1-EXP(-LN(2)/2))/(LN(2)/2)*DB171*DE171*VLOOKUP('Données projet'!$B$13,Paramètres!$A$1:$I$89,3,0)*0.475*44/12</f>
        <v>2.551366425352881E-20</v>
      </c>
      <c r="DI171" s="24">
        <f t="shared" si="175"/>
        <v>0.26180640588013854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69.061633314894266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69.061633314894266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69.061633314894266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69.061633314894266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69.061633314894266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3.55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13.016666666666666</v>
      </c>
      <c r="H172" s="70">
        <f t="shared" si="110"/>
        <v>204.6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69.077911879007246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-2.2737367544323206E-13</v>
      </c>
      <c r="O172" s="14">
        <f>N172*VLOOKUP('Données projet'!$B$9,Paramètres!$A$1:$I$89,3,0)*VLOOKUP('Données projet'!$B$9,Paramètres!$A$1:$I$89,5,0)</f>
        <v>-1.2710188457276673E-13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455.44531340185631</v>
      </c>
      <c r="T172" s="62">
        <f t="shared" si="142"/>
        <v>560.14861617544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0.68878006501779654</v>
      </c>
      <c r="AA172" s="23">
        <f>EXP(-LN(2)/25)*AA171+(1-EXP(-LN(2)/25))/(LN(2)/25)*Calculateur!V172*Calculateur!X172*VLOOKUP('Données projet'!$B$9,Paramètres!$A$1:$I$89,3,0)*0.475*44/12</f>
        <v>0.30142485250262119</v>
      </c>
      <c r="AB172" s="23">
        <f>EXP(-LN(2)/2)*AB171+(1-EXP(-LN(2)/2))/(LN(2)/2)*V172*Y172*VLOOKUP('Données projet'!$B$9,Paramètres!$A$1:$I$89,3,0)*0.475*44/12</f>
        <v>1.5900932723053307E-20</v>
      </c>
      <c r="AC172" s="24">
        <f t="shared" si="163"/>
        <v>0.99020491752041773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69.077911879007246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1.9895196601282805E-13</v>
      </c>
      <c r="AJ172" s="14">
        <f>AI172*VLOOKUP('Données projet'!$B$10,Paramètres!$A$1:$I$89,3,0)*VLOOKUP('Données projet'!$B$10,Paramètres!$A$1:$I$89,5,0)</f>
        <v>1.738044375088066E-13</v>
      </c>
      <c r="AK172" s="14">
        <f t="shared" si="164"/>
        <v>2.4483293633950478E-12</v>
      </c>
      <c r="AL172" s="22">
        <f t="shared" si="165"/>
        <v>4.566883036574213E-12</v>
      </c>
      <c r="AM172" s="62">
        <f t="shared" si="113"/>
        <v>289.95234355636444</v>
      </c>
      <c r="AN172" s="62">
        <f ca="1">AVERAGE(OFFSET($AM$3,0,0,'Données projet'!$E$10+1,1))-AVERAGE(OFFSET($H$3,0,0,'Données projet'!$E$10+1,1))</f>
        <v>335.71510570470264</v>
      </c>
      <c r="AO172" s="62">
        <f t="shared" si="144"/>
        <v>401.61823018046482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0.54225071486631382</v>
      </c>
      <c r="AW172" s="23">
        <f>EXP(-LN(2)/2)*AW171+(1-EXP(-LN(2)/2))/(LN(2)/2)*AQ172*AT172*VLOOKUP('Données projet'!$B$10,Paramètres!$A$1:$I$89,3,0)*0.475*44/12</f>
        <v>2.1881184835099404E-20</v>
      </c>
      <c r="AX172" s="23">
        <f t="shared" si="166"/>
        <v>0.54225071486631382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69.077911879007246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-5.6843418860808015E-14</v>
      </c>
      <c r="BE172" s="14">
        <f>BD172*VLOOKUP('Données projet'!$B$11,Paramètres!$A$1:$I$89,3,0)*VLOOKUP('Données projet'!$B$11,Paramètres!$A$1:$I$89,5,0)</f>
        <v>-5.1431925385259088E-14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462.677457131175</v>
      </c>
      <c r="BJ172" s="62">
        <f t="shared" si="146"/>
        <v>291.78368401945909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0.19353742651320585</v>
      </c>
      <c r="BR172" s="23">
        <f>EXP(-LN(2)/2)*BR171+(1-EXP(-LN(2)/2))/(LN(2)/2)*BL172*BO172*VLOOKUP('Données projet'!$B$11,Paramètres!$A$1:$I$89,3,0)*0.475*44/12</f>
        <v>1.7860202583385117E-20</v>
      </c>
      <c r="BS172" s="24">
        <f t="shared" si="169"/>
        <v>0.19353742651320585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69.077911879007246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-5.6843418860808015E-14</v>
      </c>
      <c r="BZ172" s="14">
        <f>BY172*VLOOKUP('Données projet'!$B$12,Paramètres!$A$1:$I$89,3,0)*VLOOKUP('Données projet'!$B$12,Paramètres!$A$1:$I$89,5,0)</f>
        <v>-3.1036506698001178E-14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302.37244372118971</v>
      </c>
      <c r="CE172" s="62">
        <f t="shared" si="148"/>
        <v>439.56450354660171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0.48050821776163455</v>
      </c>
      <c r="CL172" s="23">
        <f>EXP(-LN(2)/25)*CL171+(1-EXP(-LN(2)/25))/(LN(2)/25)*Calculateur!CG172*Calculateur!CI172*VLOOKUP('Données projet'!$B$12,Paramètres!$A$1:$I$89,3,0)*0.475*44/12</f>
        <v>0.35829195674948233</v>
      </c>
      <c r="CM172" s="23">
        <f>EXP(-LN(2)/2)*CM171+(1-EXP(-LN(2)/2))/(LN(2)/2)*CG172*CJ172*VLOOKUP('Données projet'!$B$12,Paramètres!$A$1:$I$89,3,0)*0.475*44/12</f>
        <v>1.9227360053534277E-20</v>
      </c>
      <c r="CN172" s="24">
        <f t="shared" si="172"/>
        <v>0.83880017451111688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69.077911879007246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2.8421709430404007E-14</v>
      </c>
      <c r="CU172" s="18">
        <f>CT172*VLOOKUP('Données projet'!$B$13,Paramètres!$A$1:$I$89,3,0)*VLOOKUP('Données projet'!$B$13,Paramètres!$A$1:$I$89,5,0)</f>
        <v>2.0838797354372217E-14</v>
      </c>
      <c r="CV172" s="14">
        <f t="shared" si="173"/>
        <v>3.7575774393093487E-13</v>
      </c>
      <c r="CW172" s="22">
        <f t="shared" si="174"/>
        <v>6.9073897607190981E-13</v>
      </c>
      <c r="CX172" s="62">
        <f t="shared" si="122"/>
        <v>289.95234355636057</v>
      </c>
      <c r="CY172" s="62">
        <f ca="1">AVERAGE(OFFSET($CX$3,0,0,'Données projet'!$E$13+1,1))-AVERAGE(OFFSET($H$3,0,0,'Données projet'!$E$13+1,1))</f>
        <v>300.12722359176314</v>
      </c>
      <c r="CZ172" s="62">
        <f t="shared" si="150"/>
        <v>313.35115626175946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0.25464729594354563</v>
      </c>
      <c r="DH172" s="23">
        <f>EXP(-LN(2)/2)*DH171+(1-EXP(-LN(2)/2))/(LN(2)/2)*DB172*DE172*VLOOKUP('Données projet'!$B$13,Paramètres!$A$1:$I$89,3,0)*0.475*44/12</f>
        <v>1.8040885006587036E-20</v>
      </c>
      <c r="DI172" s="24">
        <f t="shared" si="175"/>
        <v>0.25464729594354563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69.077911879007246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69.077911879007246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69.077911879007246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69.077911879007246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69.077911879007246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3.55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13.016666666666666</v>
      </c>
      <c r="H173" s="70">
        <f t="shared" si="110"/>
        <v>204.6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69.093908046426264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-2.2737367544323206E-13</v>
      </c>
      <c r="O173" s="14">
        <f>N173*VLOOKUP('Données projet'!$B$9,Paramètres!$A$1:$I$89,3,0)*VLOOKUP('Données projet'!$B$9,Paramètres!$A$1:$I$89,5,0)</f>
        <v>-1.2710188457276673E-13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455.44531340185631</v>
      </c>
      <c r="T173" s="62">
        <f t="shared" si="142"/>
        <v>560.14861617544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0.67527350805715436</v>
      </c>
      <c r="AA173" s="23">
        <f>EXP(-LN(2)/25)*AA172+(1-EXP(-LN(2)/25))/(LN(2)/25)*Calculateur!V173*Calculateur!X173*VLOOKUP('Données projet'!$B$9,Paramètres!$A$1:$I$89,3,0)*0.475*44/12</f>
        <v>0.29318237405969294</v>
      </c>
      <c r="AB173" s="23">
        <f>EXP(-LN(2)/2)*AB172+(1-EXP(-LN(2)/2))/(LN(2)/2)*V173*Y173*VLOOKUP('Données projet'!$B$9,Paramètres!$A$1:$I$89,3,0)*0.475*44/12</f>
        <v>1.1243657355662068E-20</v>
      </c>
      <c r="AC173" s="24">
        <f t="shared" si="163"/>
        <v>0.9684558821168473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69.093908046426264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1.9895196601282805E-13</v>
      </c>
      <c r="AJ173" s="14">
        <f>AI173*VLOOKUP('Données projet'!$B$10,Paramètres!$A$1:$I$89,3,0)*VLOOKUP('Données projet'!$B$10,Paramètres!$A$1:$I$89,5,0)</f>
        <v>1.738044375088066E-13</v>
      </c>
      <c r="AK173" s="14">
        <f t="shared" si="164"/>
        <v>2.4483293633950478E-12</v>
      </c>
      <c r="AL173" s="22">
        <f t="shared" si="165"/>
        <v>4.566883036574213E-12</v>
      </c>
      <c r="AM173" s="62">
        <f t="shared" si="113"/>
        <v>290.01099617023419</v>
      </c>
      <c r="AN173" s="62">
        <f ca="1">AVERAGE(OFFSET($AM$3,0,0,'Données projet'!$E$10+1,1))-AVERAGE(OFFSET($H$3,0,0,'Données projet'!$E$10+1,1))</f>
        <v>335.71510570470264</v>
      </c>
      <c r="AO173" s="62">
        <f t="shared" si="144"/>
        <v>401.61823018046482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0.52742284055256872</v>
      </c>
      <c r="AW173" s="23">
        <f>EXP(-LN(2)/2)*AW172+(1-EXP(-LN(2)/2))/(LN(2)/2)*AQ173*AT173*VLOOKUP('Données projet'!$B$10,Paramètres!$A$1:$I$89,3,0)*0.475*44/12</f>
        <v>1.5472334177295036E-20</v>
      </c>
      <c r="AX173" s="23">
        <f t="shared" si="166"/>
        <v>0.52742284055256872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69.093908046426264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-5.6843418860808015E-14</v>
      </c>
      <c r="BE173" s="14">
        <f>BD173*VLOOKUP('Données projet'!$B$11,Paramètres!$A$1:$I$89,3,0)*VLOOKUP('Données projet'!$B$11,Paramètres!$A$1:$I$89,5,0)</f>
        <v>-5.1431925385259088E-14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462.677457131175</v>
      </c>
      <c r="BJ173" s="62">
        <f t="shared" si="146"/>
        <v>291.78368401945909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0.18824513540751131</v>
      </c>
      <c r="BR173" s="23">
        <f>EXP(-LN(2)/2)*BR172+(1-EXP(-LN(2)/2))/(LN(2)/2)*BL173*BO173*VLOOKUP('Données projet'!$B$11,Paramètres!$A$1:$I$89,3,0)*0.475*44/12</f>
        <v>1.2629070360077111E-20</v>
      </c>
      <c r="BS173" s="24">
        <f t="shared" si="169"/>
        <v>0.18824513540751131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69.093908046426264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-5.6843418860808015E-14</v>
      </c>
      <c r="BZ173" s="14">
        <f>BY173*VLOOKUP('Données projet'!$B$12,Paramètres!$A$1:$I$89,3,0)*VLOOKUP('Données projet'!$B$12,Paramètres!$A$1:$I$89,5,0)</f>
        <v>-3.1036506698001178E-14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302.37244372118971</v>
      </c>
      <c r="CE173" s="62">
        <f t="shared" si="148"/>
        <v>439.56450354660171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0.47108574469240239</v>
      </c>
      <c r="CL173" s="23">
        <f>EXP(-LN(2)/25)*CL172+(1-EXP(-LN(2)/25))/(LN(2)/25)*Calculateur!CG173*Calculateur!CI173*VLOOKUP('Données projet'!$B$12,Paramètres!$A$1:$I$89,3,0)*0.475*44/12</f>
        <v>0.3484944443504126</v>
      </c>
      <c r="CM173" s="23">
        <f>EXP(-LN(2)/2)*CM172+(1-EXP(-LN(2)/2))/(LN(2)/2)*CG173*CJ173*VLOOKUP('Données projet'!$B$12,Paramètres!$A$1:$I$89,3,0)*0.475*44/12</f>
        <v>1.3595796678169427E-20</v>
      </c>
      <c r="CN173" s="24">
        <f t="shared" si="172"/>
        <v>0.81958018904281493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69.093908046426264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2.8421709430404007E-14</v>
      </c>
      <c r="CU173" s="18">
        <f>CT173*VLOOKUP('Données projet'!$B$13,Paramètres!$A$1:$I$89,3,0)*VLOOKUP('Données projet'!$B$13,Paramètres!$A$1:$I$89,5,0)</f>
        <v>2.0838797354372217E-14</v>
      </c>
      <c r="CV173" s="14">
        <f t="shared" si="173"/>
        <v>3.7575774393093487E-13</v>
      </c>
      <c r="CW173" s="22">
        <f t="shared" si="174"/>
        <v>6.9073897607190981E-13</v>
      </c>
      <c r="CX173" s="62">
        <f t="shared" si="122"/>
        <v>290.01099617023033</v>
      </c>
      <c r="CY173" s="62">
        <f ca="1">AVERAGE(OFFSET($CX$3,0,0,'Données projet'!$E$13+1,1))-AVERAGE(OFFSET($H$3,0,0,'Données projet'!$E$13+1,1))</f>
        <v>300.12722359176314</v>
      </c>
      <c r="CZ173" s="62">
        <f t="shared" si="150"/>
        <v>313.35115626175946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0.24768395224465009</v>
      </c>
      <c r="DH173" s="23">
        <f>EXP(-LN(2)/2)*DH172+(1-EXP(-LN(2)/2))/(LN(2)/2)*DB173*DE173*VLOOKUP('Données projet'!$B$13,Paramètres!$A$1:$I$89,3,0)*0.475*44/12</f>
        <v>1.2756832126764405E-20</v>
      </c>
      <c r="DI173" s="24">
        <f t="shared" si="175"/>
        <v>0.24768395224465009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69.093908046426264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69.093908046426264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69.093908046426264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69.093908046426264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69.093908046426264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3.55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13.016666666666666</v>
      </c>
      <c r="H174" s="70">
        <f t="shared" si="110"/>
        <v>204.6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69.109626716102625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-2.2737367544323206E-13</v>
      </c>
      <c r="O174" s="14">
        <f>N174*VLOOKUP('Données projet'!$B$9,Paramètres!$A$1:$I$89,3,0)*VLOOKUP('Données projet'!$B$9,Paramètres!$A$1:$I$89,5,0)</f>
        <v>-1.2710188457276673E-13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455.44531340185631</v>
      </c>
      <c r="T174" s="62">
        <f t="shared" si="142"/>
        <v>560.14861617544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0.66203180644032411</v>
      </c>
      <c r="AA174" s="23">
        <f>EXP(-LN(2)/25)*AA173+(1-EXP(-LN(2)/25))/(LN(2)/25)*Calculateur!V174*Calculateur!X174*VLOOKUP('Données projet'!$B$9,Paramètres!$A$1:$I$89,3,0)*0.475*44/12</f>
        <v>0.28516528662323964</v>
      </c>
      <c r="AB174" s="23">
        <f>EXP(-LN(2)/2)*AB173+(1-EXP(-LN(2)/2))/(LN(2)/2)*V174*Y174*VLOOKUP('Données projet'!$B$9,Paramètres!$A$1:$I$89,3,0)*0.475*44/12</f>
        <v>7.9504663615266535E-21</v>
      </c>
      <c r="AC174" s="24">
        <f t="shared" si="163"/>
        <v>0.94719709306356381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69.109626716102625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1.9895196601282805E-13</v>
      </c>
      <c r="AJ174" s="14">
        <f>AI174*VLOOKUP('Données projet'!$B$10,Paramètres!$A$1:$I$89,3,0)*VLOOKUP('Données projet'!$B$10,Paramètres!$A$1:$I$89,5,0)</f>
        <v>1.738044375088066E-13</v>
      </c>
      <c r="AK174" s="14">
        <f t="shared" si="164"/>
        <v>2.4483293633950478E-12</v>
      </c>
      <c r="AL174" s="22">
        <f t="shared" si="165"/>
        <v>4.566883036574213E-12</v>
      </c>
      <c r="AM174" s="62">
        <f t="shared" si="113"/>
        <v>290.06863129238087</v>
      </c>
      <c r="AN174" s="62">
        <f ca="1">AVERAGE(OFFSET($AM$3,0,0,'Données projet'!$E$10+1,1))-AVERAGE(OFFSET($H$3,0,0,'Données projet'!$E$10+1,1))</f>
        <v>335.71510570470264</v>
      </c>
      <c r="AO174" s="62">
        <f t="shared" si="144"/>
        <v>401.61823018046482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0.51300043524169703</v>
      </c>
      <c r="AW174" s="23">
        <f>EXP(-LN(2)/2)*AW173+(1-EXP(-LN(2)/2))/(LN(2)/2)*AQ174*AT174*VLOOKUP('Données projet'!$B$10,Paramètres!$A$1:$I$89,3,0)*0.475*44/12</f>
        <v>1.0940592417549702E-20</v>
      </c>
      <c r="AX174" s="23">
        <f t="shared" si="166"/>
        <v>0.51300043524169703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69.109626716102625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-5.6843418860808015E-14</v>
      </c>
      <c r="BE174" s="14">
        <f>BD174*VLOOKUP('Données projet'!$B$11,Paramètres!$A$1:$I$89,3,0)*VLOOKUP('Données projet'!$B$11,Paramètres!$A$1:$I$89,5,0)</f>
        <v>-5.1431925385259088E-14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462.677457131175</v>
      </c>
      <c r="BJ174" s="62">
        <f t="shared" si="146"/>
        <v>291.78368401945909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0.18309756228041149</v>
      </c>
      <c r="BR174" s="23">
        <f>EXP(-LN(2)/2)*BR173+(1-EXP(-LN(2)/2))/(LN(2)/2)*BL174*BO174*VLOOKUP('Données projet'!$B$11,Paramètres!$A$1:$I$89,3,0)*0.475*44/12</f>
        <v>8.9301012916925585E-21</v>
      </c>
      <c r="BS174" s="24">
        <f t="shared" si="169"/>
        <v>0.18309756228041149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69.109626716102625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-5.6843418860808015E-14</v>
      </c>
      <c r="BZ174" s="14">
        <f>BY174*VLOOKUP('Données projet'!$B$12,Paramètres!$A$1:$I$89,3,0)*VLOOKUP('Données projet'!$B$12,Paramètres!$A$1:$I$89,5,0)</f>
        <v>-3.1036506698001178E-14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302.37244372118971</v>
      </c>
      <c r="CE174" s="62">
        <f t="shared" si="148"/>
        <v>439.56450354660171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0.46184804057291678</v>
      </c>
      <c r="CL174" s="23">
        <f>EXP(-LN(2)/25)*CL173+(1-EXP(-LN(2)/25))/(LN(2)/25)*Calculateur!CG174*Calculateur!CI174*VLOOKUP('Données projet'!$B$12,Paramètres!$A$1:$I$89,3,0)*0.475*44/12</f>
        <v>0.33896484544312422</v>
      </c>
      <c r="CM174" s="23">
        <f>EXP(-LN(2)/2)*CM173+(1-EXP(-LN(2)/2))/(LN(2)/2)*CG174*CJ174*VLOOKUP('Données projet'!$B$12,Paramètres!$A$1:$I$89,3,0)*0.475*44/12</f>
        <v>9.6136800267671386E-21</v>
      </c>
      <c r="CN174" s="24">
        <f t="shared" si="172"/>
        <v>0.80081288601604106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69.109626716102625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2.8421709430404007E-14</v>
      </c>
      <c r="CU174" s="18">
        <f>CT174*VLOOKUP('Données projet'!$B$13,Paramètres!$A$1:$I$89,3,0)*VLOOKUP('Données projet'!$B$13,Paramètres!$A$1:$I$89,5,0)</f>
        <v>2.0838797354372217E-14</v>
      </c>
      <c r="CV174" s="14">
        <f t="shared" si="173"/>
        <v>3.7575774393093487E-13</v>
      </c>
      <c r="CW174" s="22">
        <f t="shared" si="174"/>
        <v>6.9073897607190981E-13</v>
      </c>
      <c r="CX174" s="62">
        <f t="shared" si="122"/>
        <v>290.06863129237701</v>
      </c>
      <c r="CY174" s="62">
        <f ca="1">AVERAGE(OFFSET($CX$3,0,0,'Données projet'!$E$13+1,1))-AVERAGE(OFFSET($H$3,0,0,'Données projet'!$E$13+1,1))</f>
        <v>300.12722359176314</v>
      </c>
      <c r="CZ174" s="62">
        <f t="shared" si="150"/>
        <v>313.35115626175946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0.24091102154538718</v>
      </c>
      <c r="DH174" s="23">
        <f>EXP(-LN(2)/2)*DH173+(1-EXP(-LN(2)/2))/(LN(2)/2)*DB174*DE174*VLOOKUP('Données projet'!$B$13,Paramètres!$A$1:$I$89,3,0)*0.475*44/12</f>
        <v>9.0204425032935178E-21</v>
      </c>
      <c r="DI174" s="24">
        <f t="shared" si="175"/>
        <v>0.24091102154538718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69.109626716102625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69.109626716102625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69.109626716102625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69.109626716102625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69.109626716102625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3.55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13.016666666666666</v>
      </c>
      <c r="H175" s="70">
        <f t="shared" si="110"/>
        <v>204.6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69.125072702001788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-2.2737367544323206E-13</v>
      </c>
      <c r="O175" s="14">
        <f>N175*VLOOKUP('Données projet'!$B$9,Paramètres!$A$1:$I$89,3,0)*VLOOKUP('Données projet'!$B$9,Paramètres!$A$1:$I$89,5,0)</f>
        <v>-1.2710188457276673E-13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455.44531340185631</v>
      </c>
      <c r="T175" s="62">
        <f t="shared" si="142"/>
        <v>560.14861617544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0.64904976651555935</v>
      </c>
      <c r="AA175" s="23">
        <f>EXP(-LN(2)/25)*AA174+(1-EXP(-LN(2)/25))/(LN(2)/25)*Calculateur!V175*Calculateur!X175*VLOOKUP('Données projet'!$B$9,Paramètres!$A$1:$I$89,3,0)*0.475*44/12</f>
        <v>0.27736742686433646</v>
      </c>
      <c r="AB175" s="23">
        <f>EXP(-LN(2)/2)*AB174+(1-EXP(-LN(2)/2))/(LN(2)/2)*V175*Y175*VLOOKUP('Données projet'!$B$9,Paramètres!$A$1:$I$89,3,0)*0.475*44/12</f>
        <v>5.6218286778310341E-21</v>
      </c>
      <c r="AC175" s="24">
        <f t="shared" si="163"/>
        <v>0.92641719337989581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69.125072702001788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1.9895196601282805E-13</v>
      </c>
      <c r="AJ175" s="14">
        <f>AI175*VLOOKUP('Données projet'!$B$10,Paramètres!$A$1:$I$89,3,0)*VLOOKUP('Données projet'!$B$10,Paramètres!$A$1:$I$89,5,0)</f>
        <v>1.738044375088066E-13</v>
      </c>
      <c r="AK175" s="14">
        <f t="shared" si="164"/>
        <v>2.4483293633950478E-12</v>
      </c>
      <c r="AL175" s="22">
        <f t="shared" si="165"/>
        <v>4.566883036574213E-12</v>
      </c>
      <c r="AM175" s="62">
        <f t="shared" si="113"/>
        <v>290.12526657401111</v>
      </c>
      <c r="AN175" s="62">
        <f ca="1">AVERAGE(OFFSET($AM$3,0,0,'Données projet'!$E$10+1,1))-AVERAGE(OFFSET($H$3,0,0,'Données projet'!$E$10+1,1))</f>
        <v>335.71510570470264</v>
      </c>
      <c r="AO175" s="62">
        <f t="shared" si="144"/>
        <v>401.61823018046482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0.49897241136249243</v>
      </c>
      <c r="AW175" s="23">
        <f>EXP(-LN(2)/2)*AW174+(1-EXP(-LN(2)/2))/(LN(2)/2)*AQ175*AT175*VLOOKUP('Données projet'!$B$10,Paramètres!$A$1:$I$89,3,0)*0.475*44/12</f>
        <v>7.736167088647518E-21</v>
      </c>
      <c r="AX175" s="23">
        <f t="shared" si="166"/>
        <v>0.49897241136249243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69.125072702001788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-5.6843418860808015E-14</v>
      </c>
      <c r="BE175" s="14">
        <f>BD175*VLOOKUP('Données projet'!$B$11,Paramètres!$A$1:$I$89,3,0)*VLOOKUP('Données projet'!$B$11,Paramètres!$A$1:$I$89,5,0)</f>
        <v>-5.1431925385259088E-14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462.677457131175</v>
      </c>
      <c r="BJ175" s="62">
        <f t="shared" si="146"/>
        <v>291.78368401945909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0.17809074981117132</v>
      </c>
      <c r="BR175" s="23">
        <f>EXP(-LN(2)/2)*BR174+(1-EXP(-LN(2)/2))/(LN(2)/2)*BL175*BO175*VLOOKUP('Données projet'!$B$11,Paramètres!$A$1:$I$89,3,0)*0.475*44/12</f>
        <v>6.3145351800385555E-21</v>
      </c>
      <c r="BS175" s="24">
        <f t="shared" si="169"/>
        <v>0.17809074981117132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69.125072702001788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-5.6843418860808015E-14</v>
      </c>
      <c r="BZ175" s="14">
        <f>BY175*VLOOKUP('Données projet'!$B$12,Paramètres!$A$1:$I$89,3,0)*VLOOKUP('Données projet'!$B$12,Paramètres!$A$1:$I$89,5,0)</f>
        <v>-3.1036506698001178E-14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302.37244372118971</v>
      </c>
      <c r="CE175" s="62">
        <f t="shared" si="148"/>
        <v>439.56450354660171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0.45279148219677112</v>
      </c>
      <c r="CL175" s="23">
        <f>EXP(-LN(2)/25)*CL174+(1-EXP(-LN(2)/25))/(LN(2)/25)*Calculateur!CG175*Calculateur!CI175*VLOOKUP('Données projet'!$B$12,Paramètres!$A$1:$I$89,3,0)*0.475*44/12</f>
        <v>0.32969583391909546</v>
      </c>
      <c r="CM175" s="23">
        <f>EXP(-LN(2)/2)*CM174+(1-EXP(-LN(2)/2))/(LN(2)/2)*CG175*CJ175*VLOOKUP('Données projet'!$B$12,Paramètres!$A$1:$I$89,3,0)*0.475*44/12</f>
        <v>6.7978983390847134E-21</v>
      </c>
      <c r="CN175" s="24">
        <f t="shared" si="172"/>
        <v>0.78248731611586653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69.125072702001788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2.8421709430404007E-14</v>
      </c>
      <c r="CU175" s="18">
        <f>CT175*VLOOKUP('Données projet'!$B$13,Paramètres!$A$1:$I$89,3,0)*VLOOKUP('Données projet'!$B$13,Paramètres!$A$1:$I$89,5,0)</f>
        <v>2.0838797354372217E-14</v>
      </c>
      <c r="CV175" s="14">
        <f t="shared" si="173"/>
        <v>3.7575774393093487E-13</v>
      </c>
      <c r="CW175" s="22">
        <f t="shared" si="174"/>
        <v>6.9073897607190981E-13</v>
      </c>
      <c r="CX175" s="62">
        <f t="shared" si="122"/>
        <v>290.12526657400724</v>
      </c>
      <c r="CY175" s="62">
        <f ca="1">AVERAGE(OFFSET($CX$3,0,0,'Données projet'!$E$13+1,1))-AVERAGE(OFFSET($H$3,0,0,'Données projet'!$E$13+1,1))</f>
        <v>300.12722359176314</v>
      </c>
      <c r="CZ175" s="62">
        <f t="shared" si="150"/>
        <v>313.35115626175946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0.23432329699226856</v>
      </c>
      <c r="DH175" s="23">
        <f>EXP(-LN(2)/2)*DH174+(1-EXP(-LN(2)/2))/(LN(2)/2)*DB175*DE175*VLOOKUP('Données projet'!$B$13,Paramètres!$A$1:$I$89,3,0)*0.475*44/12</f>
        <v>6.3784160633822025E-21</v>
      </c>
      <c r="DI175" s="24">
        <f t="shared" si="175"/>
        <v>0.23432329699226856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69.125072702001788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69.125072702001788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69.125072702001788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69.125072702001788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69.125072702001788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3.55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13.016666666666666</v>
      </c>
      <c r="H176" s="70">
        <f t="shared" si="110"/>
        <v>204.6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69.140250734577648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-2.2737367544323206E-13</v>
      </c>
      <c r="O176" s="14">
        <f>N176*VLOOKUP('Données projet'!$B$9,Paramètres!$A$1:$I$89,3,0)*VLOOKUP('Données projet'!$B$9,Paramètres!$A$1:$I$89,5,0)</f>
        <v>-1.2710188457276673E-13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455.44531340185631</v>
      </c>
      <c r="T176" s="62">
        <f t="shared" si="142"/>
        <v>560.14861617544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0.63632229647545679</v>
      </c>
      <c r="AA176" s="23">
        <f>EXP(-LN(2)/25)*AA175+(1-EXP(-LN(2)/25))/(LN(2)/25)*Calculateur!V176*Calculateur!X176*VLOOKUP('Données projet'!$B$9,Paramètres!$A$1:$I$89,3,0)*0.475*44/12</f>
        <v>0.26978279999061211</v>
      </c>
      <c r="AB176" s="23">
        <f>EXP(-LN(2)/2)*AB175+(1-EXP(-LN(2)/2))/(LN(2)/2)*V176*Y176*VLOOKUP('Données projet'!$B$9,Paramètres!$A$1:$I$89,3,0)*0.475*44/12</f>
        <v>3.9752331807633267E-21</v>
      </c>
      <c r="AC176" s="24">
        <f t="shared" si="163"/>
        <v>0.90610509646606885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69.140250734577648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1.9895196601282805E-13</v>
      </c>
      <c r="AJ176" s="14">
        <f>AI176*VLOOKUP('Données projet'!$B$10,Paramètres!$A$1:$I$89,3,0)*VLOOKUP('Données projet'!$B$10,Paramètres!$A$1:$I$89,5,0)</f>
        <v>1.738044375088066E-13</v>
      </c>
      <c r="AK176" s="14">
        <f t="shared" si="164"/>
        <v>2.4483293633950478E-12</v>
      </c>
      <c r="AL176" s="22">
        <f t="shared" si="165"/>
        <v>4.566883036574213E-12</v>
      </c>
      <c r="AM176" s="62">
        <f t="shared" si="113"/>
        <v>290.18091936012257</v>
      </c>
      <c r="AN176" s="62">
        <f ca="1">AVERAGE(OFFSET($AM$3,0,0,'Données projet'!$E$10+1,1))-AVERAGE(OFFSET($H$3,0,0,'Données projet'!$E$10+1,1))</f>
        <v>335.71510570470264</v>
      </c>
      <c r="AO176" s="62">
        <f t="shared" si="144"/>
        <v>401.61823018046482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0.48532798453396636</v>
      </c>
      <c r="AW176" s="23">
        <f>EXP(-LN(2)/2)*AW175+(1-EXP(-LN(2)/2))/(LN(2)/2)*AQ176*AT176*VLOOKUP('Données projet'!$B$10,Paramètres!$A$1:$I$89,3,0)*0.475*44/12</f>
        <v>5.4702962087748511E-21</v>
      </c>
      <c r="AX176" s="23">
        <f t="shared" si="166"/>
        <v>0.48532798453396636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69.140250734577648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-5.6843418860808015E-14</v>
      </c>
      <c r="BE176" s="14">
        <f>BD176*VLOOKUP('Données projet'!$B$11,Paramètres!$A$1:$I$89,3,0)*VLOOKUP('Données projet'!$B$11,Paramètres!$A$1:$I$89,5,0)</f>
        <v>-5.1431925385259088E-14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462.677457131175</v>
      </c>
      <c r="BJ176" s="62">
        <f t="shared" si="146"/>
        <v>291.78368401945909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0.17322084889219933</v>
      </c>
      <c r="BR176" s="23">
        <f>EXP(-LN(2)/2)*BR175+(1-EXP(-LN(2)/2))/(LN(2)/2)*BL176*BO176*VLOOKUP('Données projet'!$B$11,Paramètres!$A$1:$I$89,3,0)*0.475*44/12</f>
        <v>4.4650506458462793E-21</v>
      </c>
      <c r="BS176" s="24">
        <f t="shared" si="169"/>
        <v>0.17322084889219933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69.140250734577648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-5.6843418860808015E-14</v>
      </c>
      <c r="BZ176" s="14">
        <f>BY176*VLOOKUP('Données projet'!$B$12,Paramètres!$A$1:$I$89,3,0)*VLOOKUP('Données projet'!$B$12,Paramètres!$A$1:$I$89,5,0)</f>
        <v>-3.1036506698001178E-14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302.37244372118971</v>
      </c>
      <c r="CE176" s="62">
        <f t="shared" si="148"/>
        <v>439.56450354660171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0.44391251740642651</v>
      </c>
      <c r="CL176" s="23">
        <f>EXP(-LN(2)/25)*CL175+(1-EXP(-LN(2)/25))/(LN(2)/25)*Calculateur!CG176*Calculateur!CI176*VLOOKUP('Données projet'!$B$12,Paramètres!$A$1:$I$89,3,0)*0.475*44/12</f>
        <v>0.32068028400262744</v>
      </c>
      <c r="CM176" s="23">
        <f>EXP(-LN(2)/2)*CM175+(1-EXP(-LN(2)/2))/(LN(2)/2)*CG176*CJ176*VLOOKUP('Données projet'!$B$12,Paramètres!$A$1:$I$89,3,0)*0.475*44/12</f>
        <v>4.8068400133835693E-21</v>
      </c>
      <c r="CN176" s="24">
        <f t="shared" si="172"/>
        <v>0.76459280140905395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69.140250734577648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2.8421709430404007E-14</v>
      </c>
      <c r="CU176" s="18">
        <f>CT176*VLOOKUP('Données projet'!$B$13,Paramètres!$A$1:$I$89,3,0)*VLOOKUP('Données projet'!$B$13,Paramètres!$A$1:$I$89,5,0)</f>
        <v>2.0838797354372217E-14</v>
      </c>
      <c r="CV176" s="14">
        <f t="shared" si="173"/>
        <v>3.7575774393093487E-13</v>
      </c>
      <c r="CW176" s="22">
        <f t="shared" si="174"/>
        <v>6.9073897607190981E-13</v>
      </c>
      <c r="CX176" s="62">
        <f t="shared" si="122"/>
        <v>290.18091936011871</v>
      </c>
      <c r="CY176" s="62">
        <f ca="1">AVERAGE(OFFSET($CX$3,0,0,'Données projet'!$E$13+1,1))-AVERAGE(OFFSET($H$3,0,0,'Données projet'!$E$13+1,1))</f>
        <v>300.12722359176314</v>
      </c>
      <c r="CZ176" s="62">
        <f t="shared" si="150"/>
        <v>313.35115626175946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0.22791571411348835</v>
      </c>
      <c r="DH176" s="23">
        <f>EXP(-LN(2)/2)*DH175+(1-EXP(-LN(2)/2))/(LN(2)/2)*DB176*DE176*VLOOKUP('Données projet'!$B$13,Paramètres!$A$1:$I$89,3,0)*0.475*44/12</f>
        <v>4.5102212516467589E-21</v>
      </c>
      <c r="DI176" s="24">
        <f t="shared" si="175"/>
        <v>0.22791571411348835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69.140250734577648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69.140250734577648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69.140250734577648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69.140250734577648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69.140250734577648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3.55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13.016666666666666</v>
      </c>
      <c r="H177" s="70">
        <f t="shared" si="110"/>
        <v>204.6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69.155165462221333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-2.2737367544323206E-13</v>
      </c>
      <c r="O177" s="14">
        <f>N177*VLOOKUP('Données projet'!$B$9,Paramètres!$A$1:$I$89,3,0)*VLOOKUP('Données projet'!$B$9,Paramètres!$A$1:$I$89,5,0)</f>
        <v>-1.2710188457276673E-13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455.44531340185631</v>
      </c>
      <c r="T177" s="62">
        <f t="shared" si="142"/>
        <v>560.14861617544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0.62384440435985045</v>
      </c>
      <c r="AA177" s="23">
        <f>EXP(-LN(2)/25)*AA176+(1-EXP(-LN(2)/25))/(LN(2)/25)*Calculateur!V177*Calculateur!X177*VLOOKUP('Données projet'!$B$9,Paramètres!$A$1:$I$89,3,0)*0.475*44/12</f>
        <v>0.26240557513760798</v>
      </c>
      <c r="AB177" s="23">
        <f>EXP(-LN(2)/2)*AB176+(1-EXP(-LN(2)/2))/(LN(2)/2)*V177*Y177*VLOOKUP('Données projet'!$B$9,Paramètres!$A$1:$I$89,3,0)*0.475*44/12</f>
        <v>2.8109143389155171E-21</v>
      </c>
      <c r="AC177" s="24">
        <f t="shared" si="163"/>
        <v>0.88624997949745843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69.155165462221333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1.9895196601282805E-13</v>
      </c>
      <c r="AJ177" s="14">
        <f>AI177*VLOOKUP('Données projet'!$B$10,Paramètres!$A$1:$I$89,3,0)*VLOOKUP('Données projet'!$B$10,Paramètres!$A$1:$I$89,5,0)</f>
        <v>1.738044375088066E-13</v>
      </c>
      <c r="AK177" s="14">
        <f t="shared" si="164"/>
        <v>2.4483293633950478E-12</v>
      </c>
      <c r="AL177" s="22">
        <f t="shared" si="165"/>
        <v>4.566883036574213E-12</v>
      </c>
      <c r="AM177" s="62">
        <f t="shared" si="113"/>
        <v>290.23560669481611</v>
      </c>
      <c r="AN177" s="62">
        <f ca="1">AVERAGE(OFFSET($AM$3,0,0,'Données projet'!$E$10+1,1))-AVERAGE(OFFSET($H$3,0,0,'Données projet'!$E$10+1,1))</f>
        <v>335.71510570470264</v>
      </c>
      <c r="AO177" s="62">
        <f t="shared" si="144"/>
        <v>401.61823018046482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0.47205666527459555</v>
      </c>
      <c r="AW177" s="23">
        <f>EXP(-LN(2)/2)*AW176+(1-EXP(-LN(2)/2))/(LN(2)/2)*AQ177*AT177*VLOOKUP('Données projet'!$B$10,Paramètres!$A$1:$I$89,3,0)*0.475*44/12</f>
        <v>3.868083544323759E-21</v>
      </c>
      <c r="AX177" s="23">
        <f t="shared" si="166"/>
        <v>0.47205666527459555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69.155165462221333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-5.6843418860808015E-14</v>
      </c>
      <c r="BE177" s="14">
        <f>BD177*VLOOKUP('Données projet'!$B$11,Paramètres!$A$1:$I$89,3,0)*VLOOKUP('Données projet'!$B$11,Paramètres!$A$1:$I$89,5,0)</f>
        <v>-5.1431925385259088E-14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462.677457131175</v>
      </c>
      <c r="BJ177" s="62">
        <f t="shared" si="146"/>
        <v>291.78368401945909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0.16848411566995358</v>
      </c>
      <c r="BR177" s="23">
        <f>EXP(-LN(2)/2)*BR176+(1-EXP(-LN(2)/2))/(LN(2)/2)*BL177*BO177*VLOOKUP('Données projet'!$B$11,Paramètres!$A$1:$I$89,3,0)*0.475*44/12</f>
        <v>3.1572675900192777E-21</v>
      </c>
      <c r="BS177" s="24">
        <f t="shared" si="169"/>
        <v>0.16848411566995358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69.155165462221333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-5.6843418860808015E-14</v>
      </c>
      <c r="BZ177" s="14">
        <f>BY177*VLOOKUP('Données projet'!$B$12,Paramètres!$A$1:$I$89,3,0)*VLOOKUP('Données projet'!$B$12,Paramètres!$A$1:$I$89,5,0)</f>
        <v>-3.1036506698001178E-14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302.37244372118971</v>
      </c>
      <c r="CE177" s="62">
        <f t="shared" si="148"/>
        <v>439.56450354660171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0.43520766369998676</v>
      </c>
      <c r="CL177" s="23">
        <f>EXP(-LN(2)/25)*CL176+(1-EXP(-LN(2)/25))/(LN(2)/25)*Calculateur!CG177*Calculateur!CI177*VLOOKUP('Données projet'!$B$12,Paramètres!$A$1:$I$89,3,0)*0.475*44/12</f>
        <v>0.3119112647727324</v>
      </c>
      <c r="CM177" s="23">
        <f>EXP(-LN(2)/2)*CM176+(1-EXP(-LN(2)/2))/(LN(2)/2)*CG177*CJ177*VLOOKUP('Données projet'!$B$12,Paramètres!$A$1:$I$89,3,0)*0.475*44/12</f>
        <v>3.3989491695423567E-21</v>
      </c>
      <c r="CN177" s="24">
        <f t="shared" si="172"/>
        <v>0.7471189284727191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69.155165462221333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2.8421709430404007E-14</v>
      </c>
      <c r="CU177" s="18">
        <f>CT177*VLOOKUP('Données projet'!$B$13,Paramètres!$A$1:$I$89,3,0)*VLOOKUP('Données projet'!$B$13,Paramètres!$A$1:$I$89,5,0)</f>
        <v>2.0838797354372217E-14</v>
      </c>
      <c r="CV177" s="14">
        <f t="shared" si="173"/>
        <v>3.7575774393093487E-13</v>
      </c>
      <c r="CW177" s="22">
        <f t="shared" si="174"/>
        <v>6.9073897607190981E-13</v>
      </c>
      <c r="CX177" s="62">
        <f t="shared" si="122"/>
        <v>290.23560669481225</v>
      </c>
      <c r="CY177" s="62">
        <f ca="1">AVERAGE(OFFSET($CX$3,0,0,'Données projet'!$E$13+1,1))-AVERAGE(OFFSET($H$3,0,0,'Données projet'!$E$13+1,1))</f>
        <v>300.12722359176314</v>
      </c>
      <c r="CZ177" s="62">
        <f t="shared" si="150"/>
        <v>313.35115626175946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0.22168334692548852</v>
      </c>
      <c r="DH177" s="23">
        <f>EXP(-LN(2)/2)*DH176+(1-EXP(-LN(2)/2))/(LN(2)/2)*DB177*DE177*VLOOKUP('Données projet'!$B$13,Paramètres!$A$1:$I$89,3,0)*0.475*44/12</f>
        <v>3.1892080316911013E-21</v>
      </c>
      <c r="DI177" s="24">
        <f t="shared" si="175"/>
        <v>0.22168334692548852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69.155165462221333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69.155165462221333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69.155165462221333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69.155165462221333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69.155165462221333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3.55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13.016666666666666</v>
      </c>
      <c r="H178" s="70">
        <f t="shared" si="110"/>
        <v>204.6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69.169821452684715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-2.2737367544323206E-13</v>
      </c>
      <c r="O178" s="14">
        <f>N178*VLOOKUP('Données projet'!$B$9,Paramètres!$A$1:$I$89,3,0)*VLOOKUP('Données projet'!$B$9,Paramètres!$A$1:$I$89,5,0)</f>
        <v>-1.2710188457276673E-13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455.44531340185631</v>
      </c>
      <c r="T178" s="62">
        <f t="shared" si="142"/>
        <v>560.14861617544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0.6116111960978684</v>
      </c>
      <c r="AA178" s="23">
        <f>EXP(-LN(2)/25)*AA177+(1-EXP(-LN(2)/25))/(LN(2)/25)*Calculateur!V178*Calculateur!X178*VLOOKUP('Données projet'!$B$9,Paramètres!$A$1:$I$89,3,0)*0.475*44/12</f>
        <v>0.25523008088616062</v>
      </c>
      <c r="AB178" s="23">
        <f>EXP(-LN(2)/2)*AB177+(1-EXP(-LN(2)/2))/(LN(2)/2)*V178*Y178*VLOOKUP('Données projet'!$B$9,Paramètres!$A$1:$I$89,3,0)*0.475*44/12</f>
        <v>1.9876165903816634E-21</v>
      </c>
      <c r="AC178" s="24">
        <f t="shared" si="163"/>
        <v>0.86684127698402902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69.169821452684715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1.9895196601282805E-13</v>
      </c>
      <c r="AJ178" s="14">
        <f>AI178*VLOOKUP('Données projet'!$B$10,Paramètres!$A$1:$I$89,3,0)*VLOOKUP('Données projet'!$B$10,Paramètres!$A$1:$I$89,5,0)</f>
        <v>1.738044375088066E-13</v>
      </c>
      <c r="AK178" s="14">
        <f t="shared" si="164"/>
        <v>2.4483293633950478E-12</v>
      </c>
      <c r="AL178" s="22">
        <f t="shared" si="165"/>
        <v>4.566883036574213E-12</v>
      </c>
      <c r="AM178" s="62">
        <f t="shared" si="113"/>
        <v>290.28934532651516</v>
      </c>
      <c r="AN178" s="62">
        <f ca="1">AVERAGE(OFFSET($AM$3,0,0,'Données projet'!$E$10+1,1))-AVERAGE(OFFSET($H$3,0,0,'Données projet'!$E$10+1,1))</f>
        <v>335.71510570470264</v>
      </c>
      <c r="AO178" s="62">
        <f t="shared" si="144"/>
        <v>401.61823018046482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0.4591482509382806</v>
      </c>
      <c r="AW178" s="23">
        <f>EXP(-LN(2)/2)*AW177+(1-EXP(-LN(2)/2))/(LN(2)/2)*AQ178*AT178*VLOOKUP('Données projet'!$B$10,Paramètres!$A$1:$I$89,3,0)*0.475*44/12</f>
        <v>2.7351481043874255E-21</v>
      </c>
      <c r="AX178" s="23">
        <f t="shared" si="166"/>
        <v>0.4591482509382806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69.169821452684715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-5.6843418860808015E-14</v>
      </c>
      <c r="BE178" s="14">
        <f>BD178*VLOOKUP('Données projet'!$B$11,Paramètres!$A$1:$I$89,3,0)*VLOOKUP('Données projet'!$B$11,Paramètres!$A$1:$I$89,5,0)</f>
        <v>-5.1431925385259088E-14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462.677457131175</v>
      </c>
      <c r="BJ178" s="62">
        <f t="shared" si="146"/>
        <v>291.78368401945909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0.16387690866676413</v>
      </c>
      <c r="BR178" s="23">
        <f>EXP(-LN(2)/2)*BR177+(1-EXP(-LN(2)/2))/(LN(2)/2)*BL178*BO178*VLOOKUP('Données projet'!$B$11,Paramètres!$A$1:$I$89,3,0)*0.475*44/12</f>
        <v>2.2325253229231396E-21</v>
      </c>
      <c r="BS178" s="24">
        <f t="shared" si="169"/>
        <v>0.16387690866676413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69.169821452684715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-5.6843418860808015E-14</v>
      </c>
      <c r="BZ178" s="14">
        <f>BY178*VLOOKUP('Données projet'!$B$12,Paramètres!$A$1:$I$89,3,0)*VLOOKUP('Données projet'!$B$12,Paramètres!$A$1:$I$89,5,0)</f>
        <v>-3.1036506698001178E-14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302.37244372118971</v>
      </c>
      <c r="CE178" s="62">
        <f t="shared" si="148"/>
        <v>439.56450354660171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0.42667350686529382</v>
      </c>
      <c r="CL178" s="23">
        <f>EXP(-LN(2)/25)*CL177+(1-EXP(-LN(2)/25))/(LN(2)/25)*Calculateur!CG178*Calculateur!CI178*VLOOKUP('Données projet'!$B$12,Paramètres!$A$1:$I$89,3,0)*0.475*44/12</f>
        <v>0.30338203483482151</v>
      </c>
      <c r="CM178" s="23">
        <f>EXP(-LN(2)/2)*CM177+(1-EXP(-LN(2)/2))/(LN(2)/2)*CG178*CJ178*VLOOKUP('Données projet'!$B$12,Paramètres!$A$1:$I$89,3,0)*0.475*44/12</f>
        <v>2.4034200066917846E-21</v>
      </c>
      <c r="CN178" s="24">
        <f t="shared" si="172"/>
        <v>0.73005554170011533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69.169821452684715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2.8421709430404007E-14</v>
      </c>
      <c r="CU178" s="18">
        <f>CT178*VLOOKUP('Données projet'!$B$13,Paramètres!$A$1:$I$89,3,0)*VLOOKUP('Données projet'!$B$13,Paramètres!$A$1:$I$89,5,0)</f>
        <v>2.0838797354372217E-14</v>
      </c>
      <c r="CV178" s="14">
        <f t="shared" si="173"/>
        <v>3.7575774393093487E-13</v>
      </c>
      <c r="CW178" s="22">
        <f t="shared" si="174"/>
        <v>6.9073897607190981E-13</v>
      </c>
      <c r="CX178" s="62">
        <f t="shared" si="122"/>
        <v>290.2893453265113</v>
      </c>
      <c r="CY178" s="62">
        <f ca="1">AVERAGE(OFFSET($CX$3,0,0,'Données projet'!$E$13+1,1))-AVERAGE(OFFSET($H$3,0,0,'Données projet'!$E$13+1,1))</f>
        <v>300.12722359176314</v>
      </c>
      <c r="CZ178" s="62">
        <f t="shared" si="150"/>
        <v>313.35115626175946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0.21562140414599049</v>
      </c>
      <c r="DH178" s="23">
        <f>EXP(-LN(2)/2)*DH177+(1-EXP(-LN(2)/2))/(LN(2)/2)*DB178*DE178*VLOOKUP('Données projet'!$B$13,Paramètres!$A$1:$I$89,3,0)*0.475*44/12</f>
        <v>2.2551106258233794E-21</v>
      </c>
      <c r="DI178" s="24">
        <f t="shared" si="175"/>
        <v>0.21562140414599049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69.169821452684715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69.169821452684715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69.169821452684715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69.169821452684715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69.169821452684715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3.55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13.016666666666666</v>
      </c>
      <c r="H179" s="70">
        <f t="shared" si="110"/>
        <v>204.6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69.184223194479458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-2.2737367544323206E-13</v>
      </c>
      <c r="O179" s="14">
        <f>N179*VLOOKUP('Données projet'!$B$9,Paramètres!$A$1:$I$89,3,0)*VLOOKUP('Données projet'!$B$9,Paramètres!$A$1:$I$89,5,0)</f>
        <v>-1.2710188457276673E-13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455.44531340185631</v>
      </c>
      <c r="T179" s="62">
        <f t="shared" si="142"/>
        <v>560.14861617544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0.59961787358838359</v>
      </c>
      <c r="AA179" s="23">
        <f>EXP(-LN(2)/25)*AA178+(1-EXP(-LN(2)/25))/(LN(2)/25)*Calculateur!V179*Calculateur!X179*VLOOKUP('Données projet'!$B$9,Paramètres!$A$1:$I$89,3,0)*0.475*44/12</f>
        <v>0.24825080090236193</v>
      </c>
      <c r="AB179" s="23">
        <f>EXP(-LN(2)/2)*AB178+(1-EXP(-LN(2)/2))/(LN(2)/2)*V179*Y179*VLOOKUP('Données projet'!$B$9,Paramètres!$A$1:$I$89,3,0)*0.475*44/12</f>
        <v>1.4054571694577585E-21</v>
      </c>
      <c r="AC179" s="24">
        <f t="shared" si="163"/>
        <v>0.84786867449074554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69.184223194479458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1.9895196601282805E-13</v>
      </c>
      <c r="AJ179" s="14">
        <f>AI179*VLOOKUP('Données projet'!$B$10,Paramètres!$A$1:$I$89,3,0)*VLOOKUP('Données projet'!$B$10,Paramètres!$A$1:$I$89,5,0)</f>
        <v>1.738044375088066E-13</v>
      </c>
      <c r="AK179" s="14">
        <f t="shared" si="164"/>
        <v>2.4483293633950478E-12</v>
      </c>
      <c r="AL179" s="22">
        <f t="shared" si="165"/>
        <v>4.566883036574213E-12</v>
      </c>
      <c r="AM179" s="62">
        <f t="shared" si="113"/>
        <v>290.34215171309592</v>
      </c>
      <c r="AN179" s="62">
        <f ca="1">AVERAGE(OFFSET($AM$3,0,0,'Données projet'!$E$10+1,1))-AVERAGE(OFFSET($H$3,0,0,'Données projet'!$E$10+1,1))</f>
        <v>335.71510570470264</v>
      </c>
      <c r="AO179" s="62">
        <f t="shared" si="144"/>
        <v>401.61823018046482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0.44659281787081617</v>
      </c>
      <c r="AW179" s="23">
        <f>EXP(-LN(2)/2)*AW178+(1-EXP(-LN(2)/2))/(LN(2)/2)*AQ179*AT179*VLOOKUP('Données projet'!$B$10,Paramètres!$A$1:$I$89,3,0)*0.475*44/12</f>
        <v>1.9340417721618795E-21</v>
      </c>
      <c r="AX179" s="23">
        <f t="shared" si="166"/>
        <v>0.44659281787081617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69.184223194479458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-5.6843418860808015E-14</v>
      </c>
      <c r="BE179" s="14">
        <f>BD179*VLOOKUP('Données projet'!$B$11,Paramètres!$A$1:$I$89,3,0)*VLOOKUP('Données projet'!$B$11,Paramètres!$A$1:$I$89,5,0)</f>
        <v>-5.1431925385259088E-14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462.677457131175</v>
      </c>
      <c r="BJ179" s="62">
        <f t="shared" si="146"/>
        <v>291.78368401945909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0.15939568598135939</v>
      </c>
      <c r="BR179" s="23">
        <f>EXP(-LN(2)/2)*BR178+(1-EXP(-LN(2)/2))/(LN(2)/2)*BL179*BO179*VLOOKUP('Données projet'!$B$11,Paramètres!$A$1:$I$89,3,0)*0.475*44/12</f>
        <v>1.5786337950096389E-21</v>
      </c>
      <c r="BS179" s="24">
        <f t="shared" si="169"/>
        <v>0.15939568598135939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69.184223194479458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-5.6843418860808015E-14</v>
      </c>
      <c r="BZ179" s="14">
        <f>BY179*VLOOKUP('Données projet'!$B$12,Paramètres!$A$1:$I$89,3,0)*VLOOKUP('Données projet'!$B$12,Paramètres!$A$1:$I$89,5,0)</f>
        <v>-3.1036506698001178E-14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302.37244372118971</v>
      </c>
      <c r="CE179" s="62">
        <f t="shared" si="148"/>
        <v>439.56450354660171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0.41830669964080752</v>
      </c>
      <c r="CL179" s="23">
        <f>EXP(-LN(2)/25)*CL178+(1-EXP(-LN(2)/25))/(LN(2)/25)*Calculateur!CG179*Calculateur!CI179*VLOOKUP('Données projet'!$B$12,Paramètres!$A$1:$I$89,3,0)*0.475*44/12</f>
        <v>0.2950860371380955</v>
      </c>
      <c r="CM179" s="23">
        <f>EXP(-LN(2)/2)*CM178+(1-EXP(-LN(2)/2))/(LN(2)/2)*CG179*CJ179*VLOOKUP('Données projet'!$B$12,Paramètres!$A$1:$I$89,3,0)*0.475*44/12</f>
        <v>1.6994745847711783E-21</v>
      </c>
      <c r="CN179" s="24">
        <f t="shared" si="172"/>
        <v>0.71339273677890302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69.184223194479458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2.8421709430404007E-14</v>
      </c>
      <c r="CU179" s="18">
        <f>CT179*VLOOKUP('Données projet'!$B$13,Paramètres!$A$1:$I$89,3,0)*VLOOKUP('Données projet'!$B$13,Paramètres!$A$1:$I$89,5,0)</f>
        <v>2.0838797354372217E-14</v>
      </c>
      <c r="CV179" s="14">
        <f t="shared" si="173"/>
        <v>3.7575774393093487E-13</v>
      </c>
      <c r="CW179" s="22">
        <f t="shared" si="174"/>
        <v>6.9073897607190981E-13</v>
      </c>
      <c r="CX179" s="62">
        <f t="shared" si="122"/>
        <v>290.34215171309205</v>
      </c>
      <c r="CY179" s="62">
        <f ca="1">AVERAGE(OFFSET($CX$3,0,0,'Données projet'!$E$13+1,1))-AVERAGE(OFFSET($H$3,0,0,'Données projet'!$E$13+1,1))</f>
        <v>300.12722359176314</v>
      </c>
      <c r="CZ179" s="62">
        <f t="shared" si="150"/>
        <v>313.35115626175946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0.20972522551058154</v>
      </c>
      <c r="DH179" s="23">
        <f>EXP(-LN(2)/2)*DH178+(1-EXP(-LN(2)/2))/(LN(2)/2)*DB179*DE179*VLOOKUP('Données projet'!$B$13,Paramètres!$A$1:$I$89,3,0)*0.475*44/12</f>
        <v>1.5946040158455506E-21</v>
      </c>
      <c r="DI179" s="24">
        <f t="shared" si="175"/>
        <v>0.20972522551058154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69.184223194479458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69.184223194479458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69.184223194479458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69.184223194479458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69.184223194479458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3.55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13.016666666666666</v>
      </c>
      <c r="H180" s="70">
        <f t="shared" si="110"/>
        <v>204.6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69.198375098251532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-2.2737367544323206E-13</v>
      </c>
      <c r="O180" s="14">
        <f>N180*VLOOKUP('Données projet'!$B$9,Paramètres!$A$1:$I$89,3,0)*VLOOKUP('Données projet'!$B$9,Paramètres!$A$1:$I$89,5,0)</f>
        <v>-1.2710188457276673E-13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455.44531340185631</v>
      </c>
      <c r="T180" s="62">
        <f t="shared" si="142"/>
        <v>560.14861617544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0.58785973281810533</v>
      </c>
      <c r="AA180" s="23">
        <f>EXP(-LN(2)/25)*AA179+(1-EXP(-LN(2)/25))/(LN(2)/25)*Calculateur!V180*Calculateur!X180*VLOOKUP('Données projet'!$B$9,Paramètres!$A$1:$I$89,3,0)*0.475*44/12</f>
        <v>0.24146236969674462</v>
      </c>
      <c r="AB180" s="23">
        <f>EXP(-LN(2)/2)*AB179+(1-EXP(-LN(2)/2))/(LN(2)/2)*V180*Y180*VLOOKUP('Données projet'!$B$9,Paramètres!$A$1:$I$89,3,0)*0.475*44/12</f>
        <v>9.9380829519083169E-22</v>
      </c>
      <c r="AC180" s="24">
        <f t="shared" si="163"/>
        <v>0.82932210251484995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69.198375098251532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1.9895196601282805E-13</v>
      </c>
      <c r="AJ180" s="14">
        <f>AI180*VLOOKUP('Données projet'!$B$10,Paramètres!$A$1:$I$89,3,0)*VLOOKUP('Données projet'!$B$10,Paramètres!$A$1:$I$89,5,0)</f>
        <v>1.738044375088066E-13</v>
      </c>
      <c r="AK180" s="14">
        <f t="shared" si="164"/>
        <v>2.4483293633950478E-12</v>
      </c>
      <c r="AL180" s="22">
        <f t="shared" si="165"/>
        <v>4.566883036574213E-12</v>
      </c>
      <c r="AM180" s="62">
        <f t="shared" si="113"/>
        <v>290.3940420269268</v>
      </c>
      <c r="AN180" s="62">
        <f ca="1">AVERAGE(OFFSET($AM$3,0,0,'Données projet'!$E$10+1,1))-AVERAGE(OFFSET($H$3,0,0,'Données projet'!$E$10+1,1))</f>
        <v>335.71510570470264</v>
      </c>
      <c r="AO180" s="62">
        <f t="shared" si="144"/>
        <v>401.61823018046482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0.43438071378084309</v>
      </c>
      <c r="AW180" s="23">
        <f>EXP(-LN(2)/2)*AW179+(1-EXP(-LN(2)/2))/(LN(2)/2)*AQ180*AT180*VLOOKUP('Données projet'!$B$10,Paramètres!$A$1:$I$89,3,0)*0.475*44/12</f>
        <v>1.3675740521937128E-21</v>
      </c>
      <c r="AX180" s="23">
        <f t="shared" si="166"/>
        <v>0.43438071378084309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69.198375098251532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-5.6843418860808015E-14</v>
      </c>
      <c r="BE180" s="14">
        <f>BD180*VLOOKUP('Données projet'!$B$11,Paramètres!$A$1:$I$89,3,0)*VLOOKUP('Données projet'!$B$11,Paramètres!$A$1:$I$89,5,0)</f>
        <v>-5.1431925385259088E-14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462.677457131175</v>
      </c>
      <c r="BJ180" s="62">
        <f t="shared" si="146"/>
        <v>291.78368401945909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0.1550370025659443</v>
      </c>
      <c r="BR180" s="23">
        <f>EXP(-LN(2)/2)*BR179+(1-EXP(-LN(2)/2))/(LN(2)/2)*BL180*BO180*VLOOKUP('Données projet'!$B$11,Paramètres!$A$1:$I$89,3,0)*0.475*44/12</f>
        <v>1.1162626614615698E-21</v>
      </c>
      <c r="BS180" s="24">
        <f t="shared" si="169"/>
        <v>0.1550370025659443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69.198375098251532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-5.6843418860808015E-14</v>
      </c>
      <c r="BZ180" s="14">
        <f>BY180*VLOOKUP('Données projet'!$B$12,Paramètres!$A$1:$I$89,3,0)*VLOOKUP('Données projet'!$B$12,Paramètres!$A$1:$I$89,5,0)</f>
        <v>-3.1036506698001178E-14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302.37244372118971</v>
      </c>
      <c r="CE180" s="62">
        <f t="shared" si="148"/>
        <v>439.56450354660171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0.41010396040274488</v>
      </c>
      <c r="CL180" s="23">
        <f>EXP(-LN(2)/25)*CL179+(1-EXP(-LN(2)/25))/(LN(2)/25)*Calculateur!CG180*Calculateur!CI180*VLOOKUP('Données projet'!$B$12,Paramètres!$A$1:$I$89,3,0)*0.475*44/12</f>
        <v>0.28701689393465402</v>
      </c>
      <c r="CM180" s="23">
        <f>EXP(-LN(2)/2)*CM179+(1-EXP(-LN(2)/2))/(LN(2)/2)*CG180*CJ180*VLOOKUP('Données projet'!$B$12,Paramètres!$A$1:$I$89,3,0)*0.475*44/12</f>
        <v>1.2017100033458923E-21</v>
      </c>
      <c r="CN180" s="24">
        <f t="shared" si="172"/>
        <v>0.6971208543373989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69.198375098251532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2.8421709430404007E-14</v>
      </c>
      <c r="CU180" s="18">
        <f>CT180*VLOOKUP('Données projet'!$B$13,Paramètres!$A$1:$I$89,3,0)*VLOOKUP('Données projet'!$B$13,Paramètres!$A$1:$I$89,5,0)</f>
        <v>2.0838797354372217E-14</v>
      </c>
      <c r="CV180" s="14">
        <f t="shared" si="173"/>
        <v>3.7575774393093487E-13</v>
      </c>
      <c r="CW180" s="22">
        <f t="shared" si="174"/>
        <v>6.9073897607190981E-13</v>
      </c>
      <c r="CX180" s="62">
        <f t="shared" si="122"/>
        <v>290.39404202692293</v>
      </c>
      <c r="CY180" s="62">
        <f ca="1">AVERAGE(OFFSET($CX$3,0,0,'Données projet'!$E$13+1,1))-AVERAGE(OFFSET($H$3,0,0,'Données projet'!$E$13+1,1))</f>
        <v>300.12722359176314</v>
      </c>
      <c r="CZ180" s="62">
        <f t="shared" si="150"/>
        <v>313.35115626175946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0.20399027819002441</v>
      </c>
      <c r="DH180" s="23">
        <f>EXP(-LN(2)/2)*DH179+(1-EXP(-LN(2)/2))/(LN(2)/2)*DB180*DE180*VLOOKUP('Données projet'!$B$13,Paramètres!$A$1:$I$89,3,0)*0.475*44/12</f>
        <v>1.1275553129116897E-21</v>
      </c>
      <c r="DI180" s="24">
        <f t="shared" si="175"/>
        <v>0.20399027819002441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69.198375098251532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69.198375098251532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69.198375098251532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69.198375098251532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69.198375098251532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3.55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13.016666666666666</v>
      </c>
      <c r="H181" s="70">
        <f t="shared" si="110"/>
        <v>204.6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69.212281498132057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-2.2737367544323206E-13</v>
      </c>
      <c r="O181" s="14">
        <f>N181*VLOOKUP('Données projet'!$B$9,Paramètres!$A$1:$I$89,3,0)*VLOOKUP('Données projet'!$B$9,Paramètres!$A$1:$I$89,5,0)</f>
        <v>-1.2710188457276673E-13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455.44531340185631</v>
      </c>
      <c r="T181" s="62">
        <f t="shared" si="142"/>
        <v>560.14861617544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0.57633216201657456</v>
      </c>
      <c r="AA181" s="23">
        <f>EXP(-LN(2)/25)*AA180+(1-EXP(-LN(2)/25))/(LN(2)/25)*Calculateur!V181*Calculateur!X181*VLOOKUP('Données projet'!$B$9,Paramètres!$A$1:$I$89,3,0)*0.475*44/12</f>
        <v>0.23485956849943299</v>
      </c>
      <c r="AB181" s="23">
        <f>EXP(-LN(2)/2)*AB180+(1-EXP(-LN(2)/2))/(LN(2)/2)*V181*Y181*VLOOKUP('Données projet'!$B$9,Paramètres!$A$1:$I$89,3,0)*0.475*44/12</f>
        <v>7.0272858472887927E-22</v>
      </c>
      <c r="AC181" s="24">
        <f t="shared" si="163"/>
        <v>0.81119173051600757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69.212281498132057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1.9895196601282805E-13</v>
      </c>
      <c r="AJ181" s="14">
        <f>AI181*VLOOKUP('Données projet'!$B$10,Paramètres!$A$1:$I$89,3,0)*VLOOKUP('Données projet'!$B$10,Paramètres!$A$1:$I$89,5,0)</f>
        <v>1.738044375088066E-13</v>
      </c>
      <c r="AK181" s="14">
        <f t="shared" si="164"/>
        <v>2.4483293633950478E-12</v>
      </c>
      <c r="AL181" s="22">
        <f t="shared" si="165"/>
        <v>4.566883036574213E-12</v>
      </c>
      <c r="AM181" s="62">
        <f t="shared" si="113"/>
        <v>290.44503215982212</v>
      </c>
      <c r="AN181" s="62">
        <f ca="1">AVERAGE(OFFSET($AM$3,0,0,'Données projet'!$E$10+1,1))-AVERAGE(OFFSET($H$3,0,0,'Données projet'!$E$10+1,1))</f>
        <v>335.71510570470264</v>
      </c>
      <c r="AO181" s="62">
        <f t="shared" si="144"/>
        <v>401.61823018046482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0.42250255031941697</v>
      </c>
      <c r="AW181" s="23">
        <f>EXP(-LN(2)/2)*AW180+(1-EXP(-LN(2)/2))/(LN(2)/2)*AQ181*AT181*VLOOKUP('Données projet'!$B$10,Paramètres!$A$1:$I$89,3,0)*0.475*44/12</f>
        <v>9.6702088608093975E-22</v>
      </c>
      <c r="AX181" s="23">
        <f t="shared" si="166"/>
        <v>0.42250255031941697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69.212281498132057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-5.6843418860808015E-14</v>
      </c>
      <c r="BE181" s="14">
        <f>BD181*VLOOKUP('Données projet'!$B$11,Paramètres!$A$1:$I$89,3,0)*VLOOKUP('Données projet'!$B$11,Paramètres!$A$1:$I$89,5,0)</f>
        <v>-5.1431925385259088E-14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462.677457131175</v>
      </c>
      <c r="BJ181" s="62">
        <f t="shared" si="146"/>
        <v>291.78368401945909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0.15079750757773694</v>
      </c>
      <c r="BR181" s="23">
        <f>EXP(-LN(2)/2)*BR180+(1-EXP(-LN(2)/2))/(LN(2)/2)*BL181*BO181*VLOOKUP('Données projet'!$B$11,Paramètres!$A$1:$I$89,3,0)*0.475*44/12</f>
        <v>7.8931689750481943E-22</v>
      </c>
      <c r="BS181" s="24">
        <f t="shared" si="169"/>
        <v>0.15079750757773694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69.212281498132057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-5.6843418860808015E-14</v>
      </c>
      <c r="BZ181" s="14">
        <f>BY181*VLOOKUP('Données projet'!$B$12,Paramètres!$A$1:$I$89,3,0)*VLOOKUP('Données projet'!$B$12,Paramètres!$A$1:$I$89,5,0)</f>
        <v>-3.1036506698001178E-14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302.37244372118971</v>
      </c>
      <c r="CE181" s="62">
        <f t="shared" si="148"/>
        <v>439.56450354660171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0.40206207187796378</v>
      </c>
      <c r="CL181" s="23">
        <f>EXP(-LN(2)/25)*CL180+(1-EXP(-LN(2)/25))/(LN(2)/25)*Calculateur!CG181*Calculateur!CI181*VLOOKUP('Données projet'!$B$12,Paramètres!$A$1:$I$89,3,0)*0.475*44/12</f>
        <v>0.27916840187644842</v>
      </c>
      <c r="CM181" s="23">
        <f>EXP(-LN(2)/2)*CM180+(1-EXP(-LN(2)/2))/(LN(2)/2)*CG181*CJ181*VLOOKUP('Données projet'!$B$12,Paramètres!$A$1:$I$89,3,0)*0.475*44/12</f>
        <v>8.4973729238558917E-22</v>
      </c>
      <c r="CN181" s="24">
        <f t="shared" si="172"/>
        <v>0.68123047375441215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69.212281498132057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2.8421709430404007E-14</v>
      </c>
      <c r="CU181" s="18">
        <f>CT181*VLOOKUP('Données projet'!$B$13,Paramètres!$A$1:$I$89,3,0)*VLOOKUP('Données projet'!$B$13,Paramètres!$A$1:$I$89,5,0)</f>
        <v>2.0838797354372217E-14</v>
      </c>
      <c r="CV181" s="14">
        <f t="shared" si="173"/>
        <v>3.7575774393093487E-13</v>
      </c>
      <c r="CW181" s="22">
        <f t="shared" si="174"/>
        <v>6.9073897607190981E-13</v>
      </c>
      <c r="CX181" s="62">
        <f t="shared" si="122"/>
        <v>290.44503215981825</v>
      </c>
      <c r="CY181" s="62">
        <f ca="1">AVERAGE(OFFSET($CX$3,0,0,'Données projet'!$E$13+1,1))-AVERAGE(OFFSET($H$3,0,0,'Données projet'!$E$13+1,1))</f>
        <v>300.12722359176314</v>
      </c>
      <c r="CZ181" s="62">
        <f t="shared" si="150"/>
        <v>313.35115626175946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0.19841215330553569</v>
      </c>
      <c r="DH181" s="23">
        <f>EXP(-LN(2)/2)*DH180+(1-EXP(-LN(2)/2))/(LN(2)/2)*DB181*DE181*VLOOKUP('Données projet'!$B$13,Paramètres!$A$1:$I$89,3,0)*0.475*44/12</f>
        <v>7.9730200792277532E-22</v>
      </c>
      <c r="DI181" s="24">
        <f t="shared" si="175"/>
        <v>0.19841215330553569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69.212281498132057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69.212281498132057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69.212281498132057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69.212281498132057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69.212281498132057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3.55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13.016666666666666</v>
      </c>
      <c r="H182" s="70">
        <f t="shared" si="110"/>
        <v>204.6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69.225946653064739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-2.2737367544323206E-13</v>
      </c>
      <c r="O182" s="14">
        <f>N182*VLOOKUP('Données projet'!$B$9,Paramètres!$A$1:$I$89,3,0)*VLOOKUP('Données projet'!$B$9,Paramètres!$A$1:$I$89,5,0)</f>
        <v>-1.2710188457276673E-13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455.44531340185631</v>
      </c>
      <c r="T182" s="62">
        <f t="shared" si="142"/>
        <v>560.14861617544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0.56503063984733781</v>
      </c>
      <c r="AA182" s="23">
        <f>EXP(-LN(2)/25)*AA181+(1-EXP(-LN(2)/25))/(LN(2)/25)*Calculateur!V182*Calculateur!X182*VLOOKUP('Données projet'!$B$9,Paramètres!$A$1:$I$89,3,0)*0.475*44/12</f>
        <v>0.22843732124808805</v>
      </c>
      <c r="AB182" s="23">
        <f>EXP(-LN(2)/2)*AB181+(1-EXP(-LN(2)/2))/(LN(2)/2)*V182*Y182*VLOOKUP('Données projet'!$B$9,Paramètres!$A$1:$I$89,3,0)*0.475*44/12</f>
        <v>4.9690414759541584E-22</v>
      </c>
      <c r="AC182" s="24">
        <f t="shared" si="163"/>
        <v>0.79346796109542583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69.225946653064739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1.9895196601282805E-13</v>
      </c>
      <c r="AJ182" s="14">
        <f>AI182*VLOOKUP('Données projet'!$B$10,Paramètres!$A$1:$I$89,3,0)*VLOOKUP('Données projet'!$B$10,Paramètres!$A$1:$I$89,5,0)</f>
        <v>1.738044375088066E-13</v>
      </c>
      <c r="AK182" s="14">
        <f t="shared" si="164"/>
        <v>2.4483293633950478E-12</v>
      </c>
      <c r="AL182" s="22">
        <f t="shared" si="165"/>
        <v>4.566883036574213E-12</v>
      </c>
      <c r="AM182" s="62">
        <f t="shared" si="113"/>
        <v>290.49513772790857</v>
      </c>
      <c r="AN182" s="62">
        <f ca="1">AVERAGE(OFFSET($AM$3,0,0,'Données projet'!$E$10+1,1))-AVERAGE(OFFSET($H$3,0,0,'Données projet'!$E$10+1,1))</f>
        <v>335.71510570470264</v>
      </c>
      <c r="AO182" s="62">
        <f t="shared" si="144"/>
        <v>401.61823018046482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0.41094919586248901</v>
      </c>
      <c r="AW182" s="23">
        <f>EXP(-LN(2)/2)*AW181+(1-EXP(-LN(2)/2))/(LN(2)/2)*AQ182*AT182*VLOOKUP('Données projet'!$B$10,Paramètres!$A$1:$I$89,3,0)*0.475*44/12</f>
        <v>6.8378702609685638E-22</v>
      </c>
      <c r="AX182" s="23">
        <f t="shared" si="166"/>
        <v>0.41094919586248901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69.225946653064739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-5.6843418860808015E-14</v>
      </c>
      <c r="BE182" s="14">
        <f>BD182*VLOOKUP('Données projet'!$B$11,Paramètres!$A$1:$I$89,3,0)*VLOOKUP('Données projet'!$B$11,Paramètres!$A$1:$I$89,5,0)</f>
        <v>-5.1431925385259088E-14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462.677457131175</v>
      </c>
      <c r="BJ182" s="62">
        <f t="shared" si="146"/>
        <v>291.78368401945909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0.14667394180292745</v>
      </c>
      <c r="BR182" s="23">
        <f>EXP(-LN(2)/2)*BR181+(1-EXP(-LN(2)/2))/(LN(2)/2)*BL182*BO182*VLOOKUP('Données projet'!$B$11,Paramètres!$A$1:$I$89,3,0)*0.475*44/12</f>
        <v>5.5813133073078491E-22</v>
      </c>
      <c r="BS182" s="24">
        <f t="shared" si="169"/>
        <v>0.14667394180292745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69.225946653064739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-5.6843418860808015E-14</v>
      </c>
      <c r="BZ182" s="14">
        <f>BY182*VLOOKUP('Données projet'!$B$12,Paramètres!$A$1:$I$89,3,0)*VLOOKUP('Données projet'!$B$12,Paramètres!$A$1:$I$89,5,0)</f>
        <v>-3.1036506698001178E-14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302.37244372118971</v>
      </c>
      <c r="CE182" s="62">
        <f t="shared" si="148"/>
        <v>439.56450354660171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0.39417787988208597</v>
      </c>
      <c r="CL182" s="23">
        <f>EXP(-LN(2)/25)*CL181+(1-EXP(-LN(2)/25))/(LN(2)/25)*Calculateur!CG182*Calculateur!CI182*VLOOKUP('Données projet'!$B$12,Paramètres!$A$1:$I$89,3,0)*0.475*44/12</f>
        <v>0.27153452724630872</v>
      </c>
      <c r="CM182" s="23">
        <f>EXP(-LN(2)/2)*CM181+(1-EXP(-LN(2)/2))/(LN(2)/2)*CG182*CJ182*VLOOKUP('Données projet'!$B$12,Paramètres!$A$1:$I$89,3,0)*0.475*44/12</f>
        <v>6.0085500167294616E-22</v>
      </c>
      <c r="CN182" s="24">
        <f t="shared" si="172"/>
        <v>0.66571240712839463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69.225946653064739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2.8421709430404007E-14</v>
      </c>
      <c r="CU182" s="18">
        <f>CT182*VLOOKUP('Données projet'!$B$13,Paramètres!$A$1:$I$89,3,0)*VLOOKUP('Données projet'!$B$13,Paramètres!$A$1:$I$89,5,0)</f>
        <v>2.0838797354372217E-14</v>
      </c>
      <c r="CV182" s="14">
        <f t="shared" si="173"/>
        <v>3.7575774393093487E-13</v>
      </c>
      <c r="CW182" s="22">
        <f t="shared" si="174"/>
        <v>6.9073897607190981E-13</v>
      </c>
      <c r="CX182" s="62">
        <f t="shared" si="122"/>
        <v>290.49513772790471</v>
      </c>
      <c r="CY182" s="62">
        <f ca="1">AVERAGE(OFFSET($CX$3,0,0,'Données projet'!$E$13+1,1))-AVERAGE(OFFSET($H$3,0,0,'Données projet'!$E$13+1,1))</f>
        <v>300.12722359176314</v>
      </c>
      <c r="CZ182" s="62">
        <f t="shared" si="150"/>
        <v>313.35115626175946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0.19298656253935415</v>
      </c>
      <c r="DH182" s="23">
        <f>EXP(-LN(2)/2)*DH181+(1-EXP(-LN(2)/2))/(LN(2)/2)*DB182*DE182*VLOOKUP('Données projet'!$B$13,Paramètres!$A$1:$I$89,3,0)*0.475*44/12</f>
        <v>5.6377765645584486E-22</v>
      </c>
      <c r="DI182" s="24">
        <f t="shared" si="175"/>
        <v>0.19298656253935415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69.225946653064739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69.225946653064739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69.225946653064739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69.225946653064739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69.225946653064739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3.55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13.016666666666666</v>
      </c>
      <c r="H183" s="70">
        <f t="shared" si="110"/>
        <v>204.6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69.239374748110038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-2.2737367544323206E-13</v>
      </c>
      <c r="O183" s="14">
        <f>N183*VLOOKUP('Données projet'!$B$9,Paramètres!$A$1:$I$89,3,0)*VLOOKUP('Données projet'!$B$9,Paramètres!$A$1:$I$89,5,0)</f>
        <v>-1.2710188457276673E-13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455.44531340185631</v>
      </c>
      <c r="T183" s="62">
        <f t="shared" si="142"/>
        <v>560.14861617544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0.55395073363459202</v>
      </c>
      <c r="AA183" s="23">
        <f>EXP(-LN(2)/25)*AA182+(1-EXP(-LN(2)/25))/(LN(2)/25)*Calculateur!V183*Calculateur!X183*VLOOKUP('Données projet'!$B$9,Paramètres!$A$1:$I$89,3,0)*0.475*44/12</f>
        <v>0.22219069068556246</v>
      </c>
      <c r="AB183" s="23">
        <f>EXP(-LN(2)/2)*AB182+(1-EXP(-LN(2)/2))/(LN(2)/2)*V183*Y183*VLOOKUP('Données projet'!$B$9,Paramètres!$A$1:$I$89,3,0)*0.475*44/12</f>
        <v>3.5136429236443963E-22</v>
      </c>
      <c r="AC183" s="24">
        <f t="shared" si="163"/>
        <v>0.77614142432015454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69.239374748110038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1.9895196601282805E-13</v>
      </c>
      <c r="AJ183" s="14">
        <f>AI183*VLOOKUP('Données projet'!$B$10,Paramètres!$A$1:$I$89,3,0)*VLOOKUP('Données projet'!$B$10,Paramètres!$A$1:$I$89,5,0)</f>
        <v>1.738044375088066E-13</v>
      </c>
      <c r="AK183" s="14">
        <f t="shared" si="164"/>
        <v>2.4483293633950478E-12</v>
      </c>
      <c r="AL183" s="22">
        <f t="shared" si="165"/>
        <v>4.566883036574213E-12</v>
      </c>
      <c r="AM183" s="62">
        <f t="shared" si="113"/>
        <v>290.54437407640802</v>
      </c>
      <c r="AN183" s="62">
        <f ca="1">AVERAGE(OFFSET($AM$3,0,0,'Données projet'!$E$10+1,1))-AVERAGE(OFFSET($H$3,0,0,'Données projet'!$E$10+1,1))</f>
        <v>335.71510570470264</v>
      </c>
      <c r="AO183" s="62">
        <f t="shared" si="144"/>
        <v>401.61823018046482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0.3997117684907503</v>
      </c>
      <c r="AW183" s="23">
        <f>EXP(-LN(2)/2)*AW182+(1-EXP(-LN(2)/2))/(LN(2)/2)*AQ183*AT183*VLOOKUP('Données projet'!$B$10,Paramètres!$A$1:$I$89,3,0)*0.475*44/12</f>
        <v>4.8351044304046988E-22</v>
      </c>
      <c r="AX183" s="23">
        <f t="shared" si="166"/>
        <v>0.3997117684907503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69.239374748110038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-5.6843418860808015E-14</v>
      </c>
      <c r="BE183" s="14">
        <f>BD183*VLOOKUP('Données projet'!$B$11,Paramètres!$A$1:$I$89,3,0)*VLOOKUP('Données projet'!$B$11,Paramètres!$A$1:$I$89,5,0)</f>
        <v>-5.1431925385259088E-14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462.677457131175</v>
      </c>
      <c r="BJ183" s="62">
        <f t="shared" si="146"/>
        <v>291.78368401945909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0.14266313515107903</v>
      </c>
      <c r="BR183" s="23">
        <f>EXP(-LN(2)/2)*BR182+(1-EXP(-LN(2)/2))/(LN(2)/2)*BL183*BO183*VLOOKUP('Données projet'!$B$11,Paramètres!$A$1:$I$89,3,0)*0.475*44/12</f>
        <v>3.9465844875240972E-22</v>
      </c>
      <c r="BS183" s="24">
        <f t="shared" si="169"/>
        <v>0.14266313515107903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69.239374748110038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-5.6843418860808015E-14</v>
      </c>
      <c r="BZ183" s="14">
        <f>BY183*VLOOKUP('Données projet'!$B$12,Paramètres!$A$1:$I$89,3,0)*VLOOKUP('Données projet'!$B$12,Paramètres!$A$1:$I$89,5,0)</f>
        <v>-3.1036506698001178E-14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302.37244372118971</v>
      </c>
      <c r="CE183" s="62">
        <f t="shared" si="148"/>
        <v>439.56450354660171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0.38644829208236503</v>
      </c>
      <c r="CL183" s="23">
        <f>EXP(-LN(2)/25)*CL182+(1-EXP(-LN(2)/25))/(LN(2)/25)*Calculateur!CG183*Calculateur!CI183*VLOOKUP('Données projet'!$B$12,Paramètres!$A$1:$I$89,3,0)*0.475*44/12</f>
        <v>0.26410940131937821</v>
      </c>
      <c r="CM183" s="23">
        <f>EXP(-LN(2)/2)*CM182+(1-EXP(-LN(2)/2))/(LN(2)/2)*CG183*CJ183*VLOOKUP('Données projet'!$B$12,Paramètres!$A$1:$I$89,3,0)*0.475*44/12</f>
        <v>4.2486864619279459E-22</v>
      </c>
      <c r="CN183" s="24">
        <f t="shared" si="172"/>
        <v>0.65055769340174319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69.239374748110038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2.8421709430404007E-14</v>
      </c>
      <c r="CU183" s="18">
        <f>CT183*VLOOKUP('Données projet'!$B$13,Paramètres!$A$1:$I$89,3,0)*VLOOKUP('Données projet'!$B$13,Paramètres!$A$1:$I$89,5,0)</f>
        <v>2.0838797354372217E-14</v>
      </c>
      <c r="CV183" s="14">
        <f t="shared" si="173"/>
        <v>3.7575774393093487E-13</v>
      </c>
      <c r="CW183" s="22">
        <f t="shared" si="174"/>
        <v>6.9073897607190981E-13</v>
      </c>
      <c r="CX183" s="62">
        <f t="shared" si="122"/>
        <v>290.54437407640415</v>
      </c>
      <c r="CY183" s="62">
        <f ca="1">AVERAGE(OFFSET($CX$3,0,0,'Données projet'!$E$13+1,1))-AVERAGE(OFFSET($H$3,0,0,'Données projet'!$E$13+1,1))</f>
        <v>300.12722359176314</v>
      </c>
      <c r="CZ183" s="62">
        <f t="shared" si="150"/>
        <v>313.35115626175946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0.18770933483799326</v>
      </c>
      <c r="DH183" s="23">
        <f>EXP(-LN(2)/2)*DH182+(1-EXP(-LN(2)/2))/(LN(2)/2)*DB183*DE183*VLOOKUP('Données projet'!$B$13,Paramètres!$A$1:$I$89,3,0)*0.475*44/12</f>
        <v>3.9865100396138766E-22</v>
      </c>
      <c r="DI183" s="24">
        <f t="shared" si="175"/>
        <v>0.18770933483799326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69.239374748110038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69.239374748110038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69.239374748110038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69.239374748110038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69.239374748110038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3.55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13.016666666666666</v>
      </c>
      <c r="H184" s="70">
        <f t="shared" si="110"/>
        <v>204.6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69.252569895727007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-2.2737367544323206E-13</v>
      </c>
      <c r="O184" s="14">
        <f>N184*VLOOKUP('Données projet'!$B$9,Paramètres!$A$1:$I$89,3,0)*VLOOKUP('Données projet'!$B$9,Paramètres!$A$1:$I$89,5,0)</f>
        <v>-1.2710188457276673E-13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455.44531340185631</v>
      </c>
      <c r="T184" s="62">
        <f t="shared" si="142"/>
        <v>560.14861617544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0.54308809762460264</v>
      </c>
      <c r="AA184" s="23">
        <f>EXP(-LN(2)/25)*AA183+(1-EXP(-LN(2)/25))/(LN(2)/25)*Calculateur!V184*Calculateur!X184*VLOOKUP('Données projet'!$B$9,Paramètres!$A$1:$I$89,3,0)*0.475*44/12</f>
        <v>0.21611487456426515</v>
      </c>
      <c r="AB184" s="23">
        <f>EXP(-LN(2)/2)*AB183+(1-EXP(-LN(2)/2))/(LN(2)/2)*V184*Y184*VLOOKUP('Données projet'!$B$9,Paramètres!$A$1:$I$89,3,0)*0.475*44/12</f>
        <v>2.4845207379770792E-22</v>
      </c>
      <c r="AC184" s="24">
        <f t="shared" si="163"/>
        <v>0.75920297218886779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69.252569895727007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1.9895196601282805E-13</v>
      </c>
      <c r="AJ184" s="14">
        <f>AI184*VLOOKUP('Données projet'!$B$10,Paramètres!$A$1:$I$89,3,0)*VLOOKUP('Données projet'!$B$10,Paramètres!$A$1:$I$89,5,0)</f>
        <v>1.738044375088066E-13</v>
      </c>
      <c r="AK184" s="14">
        <f t="shared" si="164"/>
        <v>2.4483293633950478E-12</v>
      </c>
      <c r="AL184" s="22">
        <f t="shared" si="165"/>
        <v>4.566883036574213E-12</v>
      </c>
      <c r="AM184" s="62">
        <f t="shared" si="113"/>
        <v>290.59275628433687</v>
      </c>
      <c r="AN184" s="62">
        <f ca="1">AVERAGE(OFFSET($AM$3,0,0,'Données projet'!$E$10+1,1))-AVERAGE(OFFSET($H$3,0,0,'Données projet'!$E$10+1,1))</f>
        <v>335.71510570470264</v>
      </c>
      <c r="AO184" s="62">
        <f t="shared" si="144"/>
        <v>401.61823018046482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0.38878162916144238</v>
      </c>
      <c r="AW184" s="23">
        <f>EXP(-LN(2)/2)*AW183+(1-EXP(-LN(2)/2))/(LN(2)/2)*AQ184*AT184*VLOOKUP('Données projet'!$B$10,Paramètres!$A$1:$I$89,3,0)*0.475*44/12</f>
        <v>3.4189351304842819E-22</v>
      </c>
      <c r="AX184" s="23">
        <f t="shared" si="166"/>
        <v>0.38878162916144238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69.252569895727007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-5.6843418860808015E-14</v>
      </c>
      <c r="BE184" s="14">
        <f>BD184*VLOOKUP('Données projet'!$B$11,Paramètres!$A$1:$I$89,3,0)*VLOOKUP('Données projet'!$B$11,Paramètres!$A$1:$I$89,5,0)</f>
        <v>-5.1431925385259088E-14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462.677457131175</v>
      </c>
      <c r="BJ184" s="62">
        <f t="shared" si="146"/>
        <v>291.78368401945909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0.13876200421804455</v>
      </c>
      <c r="BR184" s="23">
        <f>EXP(-LN(2)/2)*BR183+(1-EXP(-LN(2)/2))/(LN(2)/2)*BL184*BO184*VLOOKUP('Données projet'!$B$11,Paramètres!$A$1:$I$89,3,0)*0.475*44/12</f>
        <v>2.7906566536539245E-22</v>
      </c>
      <c r="BS184" s="24">
        <f t="shared" si="169"/>
        <v>0.13876200421804455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69.252569895727007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-5.6843418860808015E-14</v>
      </c>
      <c r="BZ184" s="14">
        <f>BY184*VLOOKUP('Données projet'!$B$12,Paramètres!$A$1:$I$89,3,0)*VLOOKUP('Données projet'!$B$12,Paramètres!$A$1:$I$89,5,0)</f>
        <v>-3.1036506698001178E-14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302.37244372118971</v>
      </c>
      <c r="CE184" s="62">
        <f t="shared" si="148"/>
        <v>439.56450354660171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0.37887027678481355</v>
      </c>
      <c r="CL184" s="23">
        <f>EXP(-LN(2)/25)*CL183+(1-EXP(-LN(2)/25))/(LN(2)/25)*Calculateur!CG184*Calculateur!CI184*VLOOKUP('Données projet'!$B$12,Paramètres!$A$1:$I$89,3,0)*0.475*44/12</f>
        <v>0.25688731585139002</v>
      </c>
      <c r="CM184" s="23">
        <f>EXP(-LN(2)/2)*CM183+(1-EXP(-LN(2)/2))/(LN(2)/2)*CG184*CJ184*VLOOKUP('Données projet'!$B$12,Paramètres!$A$1:$I$89,3,0)*0.475*44/12</f>
        <v>3.0042750083647308E-22</v>
      </c>
      <c r="CN184" s="24">
        <f t="shared" si="172"/>
        <v>0.63575759263620357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69.252569895727007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2.8421709430404007E-14</v>
      </c>
      <c r="CU184" s="18">
        <f>CT184*VLOOKUP('Données projet'!$B$13,Paramètres!$A$1:$I$89,3,0)*VLOOKUP('Données projet'!$B$13,Paramètres!$A$1:$I$89,5,0)</f>
        <v>2.0838797354372217E-14</v>
      </c>
      <c r="CV184" s="14">
        <f t="shared" si="173"/>
        <v>3.7575774393093487E-13</v>
      </c>
      <c r="CW184" s="22">
        <f t="shared" si="174"/>
        <v>6.9073897607190981E-13</v>
      </c>
      <c r="CX184" s="62">
        <f t="shared" si="122"/>
        <v>290.59275628433301</v>
      </c>
      <c r="CY184" s="62">
        <f ca="1">AVERAGE(OFFSET($CX$3,0,0,'Données projet'!$E$13+1,1))-AVERAGE(OFFSET($H$3,0,0,'Données projet'!$E$13+1,1))</f>
        <v>300.12722359176314</v>
      </c>
      <c r="CZ184" s="62">
        <f t="shared" si="150"/>
        <v>313.35115626175946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0.18257641320564344</v>
      </c>
      <c r="DH184" s="23">
        <f>EXP(-LN(2)/2)*DH183+(1-EXP(-LN(2)/2))/(LN(2)/2)*DB184*DE184*VLOOKUP('Données projet'!$B$13,Paramètres!$A$1:$I$89,3,0)*0.475*44/12</f>
        <v>2.8188882822792243E-22</v>
      </c>
      <c r="DI184" s="24">
        <f t="shared" si="175"/>
        <v>0.18257641320564344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69.252569895727007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69.252569895727007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69.252569895727007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69.252569895727007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69.252569895727007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3.55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13.016666666666666</v>
      </c>
      <c r="H185" s="70">
        <f t="shared" si="110"/>
        <v>204.6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69.265536137032768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-2.2737367544323206E-13</v>
      </c>
      <c r="O185" s="14">
        <f>N185*VLOOKUP('Données projet'!$B$9,Paramètres!$A$1:$I$89,3,0)*VLOOKUP('Données projet'!$B$9,Paramètres!$A$1:$I$89,5,0)</f>
        <v>-1.2710188457276673E-13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455.44531340185631</v>
      </c>
      <c r="T185" s="62">
        <f t="shared" si="142"/>
        <v>560.14861617544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0.53243847128121546</v>
      </c>
      <c r="AA185" s="23">
        <f>EXP(-LN(2)/25)*AA184+(1-EXP(-LN(2)/25))/(LN(2)/25)*Calculateur!V185*Calculateur!X185*VLOOKUP('Données projet'!$B$9,Paramètres!$A$1:$I$89,3,0)*0.475*44/12</f>
        <v>0.21020520195431799</v>
      </c>
      <c r="AB185" s="23">
        <f>EXP(-LN(2)/2)*AB184+(1-EXP(-LN(2)/2))/(LN(2)/2)*V185*Y185*VLOOKUP('Données projet'!$B$9,Paramètres!$A$1:$I$89,3,0)*0.475*44/12</f>
        <v>1.7568214618221982E-22</v>
      </c>
      <c r="AC185" s="24">
        <f t="shared" si="163"/>
        <v>0.74264367323553349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69.265536137032768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1.9895196601282805E-13</v>
      </c>
      <c r="AJ185" s="14">
        <f>AI185*VLOOKUP('Données projet'!$B$10,Paramètres!$A$1:$I$89,3,0)*VLOOKUP('Données projet'!$B$10,Paramètres!$A$1:$I$89,5,0)</f>
        <v>1.738044375088066E-13</v>
      </c>
      <c r="AK185" s="14">
        <f t="shared" si="164"/>
        <v>2.4483293633950478E-12</v>
      </c>
      <c r="AL185" s="22">
        <f t="shared" si="165"/>
        <v>4.566883036574213E-12</v>
      </c>
      <c r="AM185" s="62">
        <f t="shared" si="113"/>
        <v>290.64029916912472</v>
      </c>
      <c r="AN185" s="62">
        <f ca="1">AVERAGE(OFFSET($AM$3,0,0,'Données projet'!$E$10+1,1))-AVERAGE(OFFSET($H$3,0,0,'Données projet'!$E$10+1,1))</f>
        <v>335.71510570470264</v>
      </c>
      <c r="AO185" s="62">
        <f t="shared" si="144"/>
        <v>401.61823018046482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0.37815037506688542</v>
      </c>
      <c r="AW185" s="23">
        <f>EXP(-LN(2)/2)*AW184+(1-EXP(-LN(2)/2))/(LN(2)/2)*AQ185*AT185*VLOOKUP('Données projet'!$B$10,Paramètres!$A$1:$I$89,3,0)*0.475*44/12</f>
        <v>2.4175522152023494E-22</v>
      </c>
      <c r="AX185" s="23">
        <f t="shared" si="166"/>
        <v>0.37815037506688542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69.265536137032768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-5.6843418860808015E-14</v>
      </c>
      <c r="BE185" s="14">
        <f>BD185*VLOOKUP('Données projet'!$B$11,Paramètres!$A$1:$I$89,3,0)*VLOOKUP('Données projet'!$B$11,Paramètres!$A$1:$I$89,5,0)</f>
        <v>-5.1431925385259088E-14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462.677457131175</v>
      </c>
      <c r="BJ185" s="62">
        <f t="shared" si="146"/>
        <v>291.78368401945909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0.13496754991552545</v>
      </c>
      <c r="BR185" s="23">
        <f>EXP(-LN(2)/2)*BR184+(1-EXP(-LN(2)/2))/(LN(2)/2)*BL185*BO185*VLOOKUP('Données projet'!$B$11,Paramètres!$A$1:$I$89,3,0)*0.475*44/12</f>
        <v>1.9732922437620486E-22</v>
      </c>
      <c r="BS185" s="24">
        <f t="shared" si="169"/>
        <v>0.13496754991552545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69.265536137032768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-5.6843418860808015E-14</v>
      </c>
      <c r="BZ185" s="14">
        <f>BY185*VLOOKUP('Données projet'!$B$12,Paramètres!$A$1:$I$89,3,0)*VLOOKUP('Données projet'!$B$12,Paramètres!$A$1:$I$89,5,0)</f>
        <v>-3.1036506698001178E-14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302.37244372118971</v>
      </c>
      <c r="CE185" s="62">
        <f t="shared" si="148"/>
        <v>439.56450354660171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0.37144086174511415</v>
      </c>
      <c r="CL185" s="23">
        <f>EXP(-LN(2)/25)*CL184+(1-EXP(-LN(2)/25))/(LN(2)/25)*Calculateur!CG185*Calculateur!CI185*VLOOKUP('Données projet'!$B$12,Paramètres!$A$1:$I$89,3,0)*0.475*44/12</f>
        <v>0.24986271869031695</v>
      </c>
      <c r="CM185" s="23">
        <f>EXP(-LN(2)/2)*CM184+(1-EXP(-LN(2)/2))/(LN(2)/2)*CG185*CJ185*VLOOKUP('Données projet'!$B$12,Paramètres!$A$1:$I$89,3,0)*0.475*44/12</f>
        <v>2.1243432309639729E-22</v>
      </c>
      <c r="CN185" s="24">
        <f t="shared" si="172"/>
        <v>0.6213035804354311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69.265536137032768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2.8421709430404007E-14</v>
      </c>
      <c r="CU185" s="18">
        <f>CT185*VLOOKUP('Données projet'!$B$13,Paramètres!$A$1:$I$89,3,0)*VLOOKUP('Données projet'!$B$13,Paramètres!$A$1:$I$89,5,0)</f>
        <v>2.0838797354372217E-14</v>
      </c>
      <c r="CV185" s="14">
        <f t="shared" si="173"/>
        <v>3.7575774393093487E-13</v>
      </c>
      <c r="CW185" s="22">
        <f t="shared" si="174"/>
        <v>6.9073897607190981E-13</v>
      </c>
      <c r="CX185" s="62">
        <f t="shared" si="122"/>
        <v>290.64029916912085</v>
      </c>
      <c r="CY185" s="62">
        <f ca="1">AVERAGE(OFFSET($CX$3,0,0,'Données projet'!$E$13+1,1))-AVERAGE(OFFSET($H$3,0,0,'Données projet'!$E$13+1,1))</f>
        <v>300.12722359176314</v>
      </c>
      <c r="CZ185" s="62">
        <f t="shared" si="150"/>
        <v>313.35115626175946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0.17758385158525883</v>
      </c>
      <c r="DH185" s="23">
        <f>EXP(-LN(2)/2)*DH184+(1-EXP(-LN(2)/2))/(LN(2)/2)*DB185*DE185*VLOOKUP('Données projet'!$B$13,Paramètres!$A$1:$I$89,3,0)*0.475*44/12</f>
        <v>1.9932550198069383E-22</v>
      </c>
      <c r="DI185" s="24">
        <f t="shared" si="175"/>
        <v>0.17758385158525883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69.265536137032768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69.265536137032768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69.265536137032768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69.265536137032768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69.265536137032768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3.55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13.016666666666666</v>
      </c>
      <c r="H186" s="70">
        <f t="shared" si="110"/>
        <v>204.6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69.278277443040054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-2.2737367544323206E-13</v>
      </c>
      <c r="O186" s="14">
        <f>N186*VLOOKUP('Données projet'!$B$9,Paramètres!$A$1:$I$89,3,0)*VLOOKUP('Données projet'!$B$9,Paramètres!$A$1:$I$89,5,0)</f>
        <v>-1.2710188457276673E-13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455.44531340185631</v>
      </c>
      <c r="T186" s="62">
        <f t="shared" si="142"/>
        <v>560.14861617544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0.52199767761479143</v>
      </c>
      <c r="AA186" s="23">
        <f>EXP(-LN(2)/25)*AA185+(1-EXP(-LN(2)/25))/(LN(2)/25)*Calculateur!V186*Calculateur!X186*VLOOKUP('Données projet'!$B$9,Paramètres!$A$1:$I$89,3,0)*0.475*44/12</f>
        <v>0.20445712965266602</v>
      </c>
      <c r="AB186" s="23">
        <f>EXP(-LN(2)/2)*AB185+(1-EXP(-LN(2)/2))/(LN(2)/2)*V186*Y186*VLOOKUP('Données projet'!$B$9,Paramètres!$A$1:$I$89,3,0)*0.475*44/12</f>
        <v>1.2422603689885396E-22</v>
      </c>
      <c r="AC186" s="24">
        <f t="shared" si="163"/>
        <v>0.72645480726745748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69.278277443040054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1.9895196601282805E-13</v>
      </c>
      <c r="AJ186" s="14">
        <f>AI186*VLOOKUP('Données projet'!$B$10,Paramètres!$A$1:$I$89,3,0)*VLOOKUP('Données projet'!$B$10,Paramètres!$A$1:$I$89,5,0)</f>
        <v>1.738044375088066E-13</v>
      </c>
      <c r="AK186" s="14">
        <f t="shared" si="164"/>
        <v>2.4483293633950478E-12</v>
      </c>
      <c r="AL186" s="22">
        <f t="shared" si="165"/>
        <v>4.566883036574213E-12</v>
      </c>
      <c r="AM186" s="62">
        <f t="shared" si="113"/>
        <v>290.68701729115145</v>
      </c>
      <c r="AN186" s="62">
        <f ca="1">AVERAGE(OFFSET($AM$3,0,0,'Données projet'!$E$10+1,1))-AVERAGE(OFFSET($H$3,0,0,'Données projet'!$E$10+1,1))</f>
        <v>335.71510570470264</v>
      </c>
      <c r="AO186" s="62">
        <f t="shared" si="144"/>
        <v>401.61823018046482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0.36780983317461752</v>
      </c>
      <c r="AW186" s="23">
        <f>EXP(-LN(2)/2)*AW185+(1-EXP(-LN(2)/2))/(LN(2)/2)*AQ186*AT186*VLOOKUP('Données projet'!$B$10,Paramètres!$A$1:$I$89,3,0)*0.475*44/12</f>
        <v>1.709467565242141E-22</v>
      </c>
      <c r="AX186" s="23">
        <f t="shared" si="166"/>
        <v>0.36780983317461752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69.278277443040054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-5.6843418860808015E-14</v>
      </c>
      <c r="BE186" s="14">
        <f>BD186*VLOOKUP('Données projet'!$B$11,Paramètres!$A$1:$I$89,3,0)*VLOOKUP('Données projet'!$B$11,Paramètres!$A$1:$I$89,5,0)</f>
        <v>-5.1431925385259088E-14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462.677457131175</v>
      </c>
      <c r="BJ186" s="62">
        <f t="shared" si="146"/>
        <v>291.78368401945909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0.13127685516545043</v>
      </c>
      <c r="BR186" s="23">
        <f>EXP(-LN(2)/2)*BR185+(1-EXP(-LN(2)/2))/(LN(2)/2)*BL186*BO186*VLOOKUP('Données projet'!$B$11,Paramètres!$A$1:$I$89,3,0)*0.475*44/12</f>
        <v>1.3953283268269623E-22</v>
      </c>
      <c r="BS186" s="24">
        <f t="shared" si="169"/>
        <v>0.13127685516545043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69.278277443040054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-5.6843418860808015E-14</v>
      </c>
      <c r="BZ186" s="14">
        <f>BY186*VLOOKUP('Données projet'!$B$12,Paramètres!$A$1:$I$89,3,0)*VLOOKUP('Données projet'!$B$12,Paramètres!$A$1:$I$89,5,0)</f>
        <v>-3.1036506698001178E-14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302.37244372118971</v>
      </c>
      <c r="CE186" s="62">
        <f t="shared" si="148"/>
        <v>439.56450354660171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0.36415713300284752</v>
      </c>
      <c r="CL186" s="23">
        <f>EXP(-LN(2)/25)*CL185+(1-EXP(-LN(2)/25))/(LN(2)/25)*Calculateur!CG186*Calculateur!CI186*VLOOKUP('Données projet'!$B$12,Paramètres!$A$1:$I$89,3,0)*0.475*44/12</f>
        <v>0.24303020950802093</v>
      </c>
      <c r="CM186" s="23">
        <f>EXP(-LN(2)/2)*CM185+(1-EXP(-LN(2)/2))/(LN(2)/2)*CG186*CJ186*VLOOKUP('Données projet'!$B$12,Paramètres!$A$1:$I$89,3,0)*0.475*44/12</f>
        <v>1.5021375041823654E-22</v>
      </c>
      <c r="CN186" s="24">
        <f t="shared" si="172"/>
        <v>0.60718734251086848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69.278277443040054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2.8421709430404007E-14</v>
      </c>
      <c r="CU186" s="18">
        <f>CT186*VLOOKUP('Données projet'!$B$13,Paramètres!$A$1:$I$89,3,0)*VLOOKUP('Données projet'!$B$13,Paramètres!$A$1:$I$89,5,0)</f>
        <v>2.0838797354372217E-14</v>
      </c>
      <c r="CV186" s="14">
        <f t="shared" si="173"/>
        <v>3.7575774393093487E-13</v>
      </c>
      <c r="CW186" s="22">
        <f t="shared" si="174"/>
        <v>6.9073897607190981E-13</v>
      </c>
      <c r="CX186" s="62">
        <f t="shared" si="122"/>
        <v>290.68701729114758</v>
      </c>
      <c r="CY186" s="62">
        <f ca="1">AVERAGE(OFFSET($CX$3,0,0,'Données projet'!$E$13+1,1))-AVERAGE(OFFSET($H$3,0,0,'Données projet'!$E$13+1,1))</f>
        <v>300.12722359176314</v>
      </c>
      <c r="CZ186" s="62">
        <f t="shared" si="150"/>
        <v>313.35115626175946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0.17272781182493105</v>
      </c>
      <c r="DH186" s="23">
        <f>EXP(-LN(2)/2)*DH185+(1-EXP(-LN(2)/2))/(LN(2)/2)*DB186*DE186*VLOOKUP('Données projet'!$B$13,Paramètres!$A$1:$I$89,3,0)*0.475*44/12</f>
        <v>1.4094441411396121E-22</v>
      </c>
      <c r="DI186" s="24">
        <f t="shared" si="175"/>
        <v>0.17272781182493105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69.278277443040054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69.278277443040054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69.278277443040054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69.278277443040054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69.278277443040054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3.55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13.016666666666666</v>
      </c>
      <c r="H187" s="70">
        <f t="shared" si="110"/>
        <v>204.6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69.290797715873396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-2.2737367544323206E-13</v>
      </c>
      <c r="O187" s="14">
        <f>N187*VLOOKUP('Données projet'!$B$9,Paramètres!$A$1:$I$89,3,0)*VLOOKUP('Données projet'!$B$9,Paramètres!$A$1:$I$89,5,0)</f>
        <v>-1.2710188457276673E-13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455.44531340185631</v>
      </c>
      <c r="T187" s="62">
        <f t="shared" si="142"/>
        <v>560.14861617544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0.51176162154391058</v>
      </c>
      <c r="AA187" s="23">
        <f>EXP(-LN(2)/25)*AA186+(1-EXP(-LN(2)/25))/(LN(2)/25)*Calculateur!V187*Calculateur!X187*VLOOKUP('Données projet'!$B$9,Paramètres!$A$1:$I$89,3,0)*0.475*44/12</f>
        <v>0.19886623869038073</v>
      </c>
      <c r="AB187" s="23">
        <f>EXP(-LN(2)/2)*AB186+(1-EXP(-LN(2)/2))/(LN(2)/2)*V187*Y187*VLOOKUP('Données projet'!$B$9,Paramètres!$A$1:$I$89,3,0)*0.475*44/12</f>
        <v>8.7841073091109908E-23</v>
      </c>
      <c r="AC187" s="24">
        <f t="shared" si="163"/>
        <v>0.71062786023429125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69.290797715873396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1.9895196601282805E-13</v>
      </c>
      <c r="AJ187" s="14">
        <f>AI187*VLOOKUP('Données projet'!$B$10,Paramètres!$A$1:$I$89,3,0)*VLOOKUP('Données projet'!$B$10,Paramètres!$A$1:$I$89,5,0)</f>
        <v>1.738044375088066E-13</v>
      </c>
      <c r="AK187" s="14">
        <f t="shared" si="164"/>
        <v>2.4483293633950478E-12</v>
      </c>
      <c r="AL187" s="22">
        <f t="shared" si="165"/>
        <v>4.566883036574213E-12</v>
      </c>
      <c r="AM187" s="62">
        <f t="shared" si="113"/>
        <v>290.73292495820698</v>
      </c>
      <c r="AN187" s="62">
        <f ca="1">AVERAGE(OFFSET($AM$3,0,0,'Données projet'!$E$10+1,1))-AVERAGE(OFFSET($H$3,0,0,'Données projet'!$E$10+1,1))</f>
        <v>335.71510570470264</v>
      </c>
      <c r="AO187" s="62">
        <f t="shared" si="144"/>
        <v>401.61823018046482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0.35775205394417914</v>
      </c>
      <c r="AW187" s="23">
        <f>EXP(-LN(2)/2)*AW186+(1-EXP(-LN(2)/2))/(LN(2)/2)*AQ187*AT187*VLOOKUP('Données projet'!$B$10,Paramètres!$A$1:$I$89,3,0)*0.475*44/12</f>
        <v>1.2087761076011747E-22</v>
      </c>
      <c r="AX187" s="23">
        <f t="shared" si="166"/>
        <v>0.35775205394417914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69.290797715873396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-5.6843418860808015E-14</v>
      </c>
      <c r="BE187" s="14">
        <f>BD187*VLOOKUP('Données projet'!$B$11,Paramètres!$A$1:$I$89,3,0)*VLOOKUP('Données projet'!$B$11,Paramètres!$A$1:$I$89,5,0)</f>
        <v>-5.1431925385259088E-14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462.677457131175</v>
      </c>
      <c r="BJ187" s="62">
        <f t="shared" si="146"/>
        <v>291.78368401945909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0.12768708265740142</v>
      </c>
      <c r="BR187" s="23">
        <f>EXP(-LN(2)/2)*BR186+(1-EXP(-LN(2)/2))/(LN(2)/2)*BL187*BO187*VLOOKUP('Données projet'!$B$11,Paramètres!$A$1:$I$89,3,0)*0.475*44/12</f>
        <v>9.8664612188102429E-23</v>
      </c>
      <c r="BS187" s="24">
        <f t="shared" si="169"/>
        <v>0.12768708265740142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69.290797715873396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-5.6843418860808015E-14</v>
      </c>
      <c r="BZ187" s="14">
        <f>BY187*VLOOKUP('Données projet'!$B$12,Paramètres!$A$1:$I$89,3,0)*VLOOKUP('Données projet'!$B$12,Paramètres!$A$1:$I$89,5,0)</f>
        <v>-3.1036506698001178E-14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302.37244372118971</v>
      </c>
      <c r="CE187" s="62">
        <f t="shared" si="148"/>
        <v>439.56450354660171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0.35701623373858088</v>
      </c>
      <c r="CL187" s="23">
        <f>EXP(-LN(2)/25)*CL186+(1-EXP(-LN(2)/25))/(LN(2)/25)*Calculateur!CG187*Calculateur!CI187*VLOOKUP('Données projet'!$B$12,Paramètres!$A$1:$I$89,3,0)*0.475*44/12</f>
        <v>0.23638453564862083</v>
      </c>
      <c r="CM187" s="23">
        <f>EXP(-LN(2)/2)*CM186+(1-EXP(-LN(2)/2))/(LN(2)/2)*CG187*CJ187*VLOOKUP('Données projet'!$B$12,Paramètres!$A$1:$I$89,3,0)*0.475*44/12</f>
        <v>1.0621716154819865E-22</v>
      </c>
      <c r="CN187" s="24">
        <f t="shared" si="172"/>
        <v>0.59340076938720165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69.290797715873396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2.8421709430404007E-14</v>
      </c>
      <c r="CU187" s="18">
        <f>CT187*VLOOKUP('Données projet'!$B$13,Paramètres!$A$1:$I$89,3,0)*VLOOKUP('Données projet'!$B$13,Paramètres!$A$1:$I$89,5,0)</f>
        <v>2.0838797354372217E-14</v>
      </c>
      <c r="CV187" s="14">
        <f t="shared" si="173"/>
        <v>3.7575774393093487E-13</v>
      </c>
      <c r="CW187" s="22">
        <f t="shared" si="174"/>
        <v>6.9073897607190981E-13</v>
      </c>
      <c r="CX187" s="62">
        <f t="shared" si="122"/>
        <v>290.73292495820311</v>
      </c>
      <c r="CY187" s="62">
        <f ca="1">AVERAGE(OFFSET($CX$3,0,0,'Données projet'!$E$13+1,1))-AVERAGE(OFFSET($H$3,0,0,'Données projet'!$E$13+1,1))</f>
        <v>300.12722359176314</v>
      </c>
      <c r="CZ187" s="62">
        <f t="shared" si="150"/>
        <v>313.35115626175946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0.16800456072721745</v>
      </c>
      <c r="DH187" s="23">
        <f>EXP(-LN(2)/2)*DH186+(1-EXP(-LN(2)/2))/(LN(2)/2)*DB187*DE187*VLOOKUP('Données projet'!$B$13,Paramètres!$A$1:$I$89,3,0)*0.475*44/12</f>
        <v>9.9662750990346915E-23</v>
      </c>
      <c r="DI187" s="24">
        <f t="shared" si="175"/>
        <v>0.16800456072721745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69.290797715873396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69.290797715873396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69.290797715873396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69.290797715873396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69.290797715873396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3.55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13.016666666666666</v>
      </c>
      <c r="H188" s="70">
        <f t="shared" si="110"/>
        <v>204.6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69.303100789964219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-2.2737367544323206E-13</v>
      </c>
      <c r="O188" s="14">
        <f>N188*VLOOKUP('Données projet'!$B$9,Paramètres!$A$1:$I$89,3,0)*VLOOKUP('Données projet'!$B$9,Paramètres!$A$1:$I$89,5,0)</f>
        <v>-1.2710188457276673E-13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455.44531340185631</v>
      </c>
      <c r="T188" s="62">
        <f t="shared" si="142"/>
        <v>560.14861617544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0.50172628828920196</v>
      </c>
      <c r="AA188" s="23">
        <f>EXP(-LN(2)/25)*AA187+(1-EXP(-LN(2)/25))/(LN(2)/25)*Calculateur!V188*Calculateur!X188*VLOOKUP('Données projet'!$B$9,Paramètres!$A$1:$I$89,3,0)*0.475*44/12</f>
        <v>0.19342823093547129</v>
      </c>
      <c r="AB188" s="23">
        <f>EXP(-LN(2)/2)*AB187+(1-EXP(-LN(2)/2))/(LN(2)/2)*V188*Y188*VLOOKUP('Données projet'!$B$9,Paramètres!$A$1:$I$89,3,0)*0.475*44/12</f>
        <v>6.211301844942698E-23</v>
      </c>
      <c r="AC188" s="24">
        <f t="shared" si="163"/>
        <v>0.69515451922467331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69.303100789964219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1.9895196601282805E-13</v>
      </c>
      <c r="AJ188" s="14">
        <f>AI188*VLOOKUP('Données projet'!$B$10,Paramètres!$A$1:$I$89,3,0)*VLOOKUP('Données projet'!$B$10,Paramètres!$A$1:$I$89,5,0)</f>
        <v>1.738044375088066E-13</v>
      </c>
      <c r="AK188" s="14">
        <f t="shared" si="164"/>
        <v>2.4483293633950478E-12</v>
      </c>
      <c r="AL188" s="22">
        <f t="shared" si="165"/>
        <v>4.566883036574213E-12</v>
      </c>
      <c r="AM188" s="62">
        <f t="shared" si="113"/>
        <v>290.77803622987335</v>
      </c>
      <c r="AN188" s="62">
        <f ca="1">AVERAGE(OFFSET($AM$3,0,0,'Données projet'!$E$10+1,1))-AVERAGE(OFFSET($H$3,0,0,'Données projet'!$E$10+1,1))</f>
        <v>335.71510570470264</v>
      </c>
      <c r="AO188" s="62">
        <f t="shared" si="144"/>
        <v>401.61823018046482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0.34796930521571268</v>
      </c>
      <c r="AW188" s="23">
        <f>EXP(-LN(2)/2)*AW187+(1-EXP(-LN(2)/2))/(LN(2)/2)*AQ188*AT188*VLOOKUP('Données projet'!$B$10,Paramètres!$A$1:$I$89,3,0)*0.475*44/12</f>
        <v>8.5473378262107048E-23</v>
      </c>
      <c r="AX188" s="23">
        <f t="shared" si="166"/>
        <v>0.34796930521571268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69.303100789964219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-5.6843418860808015E-14</v>
      </c>
      <c r="BE188" s="14">
        <f>BD188*VLOOKUP('Données projet'!$B$11,Paramètres!$A$1:$I$89,3,0)*VLOOKUP('Données projet'!$B$11,Paramètres!$A$1:$I$89,5,0)</f>
        <v>-5.1431925385259088E-14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462.677457131175</v>
      </c>
      <c r="BJ188" s="62">
        <f t="shared" si="146"/>
        <v>291.78368401945909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0.12419547266736293</v>
      </c>
      <c r="BR188" s="23">
        <f>EXP(-LN(2)/2)*BR187+(1-EXP(-LN(2)/2))/(LN(2)/2)*BL188*BO188*VLOOKUP('Données projet'!$B$11,Paramètres!$A$1:$I$89,3,0)*0.475*44/12</f>
        <v>6.9766416341348114E-23</v>
      </c>
      <c r="BS188" s="24">
        <f t="shared" si="169"/>
        <v>0.12419547266736293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69.303100789964219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-5.6843418860808015E-14</v>
      </c>
      <c r="BZ188" s="14">
        <f>BY188*VLOOKUP('Données projet'!$B$12,Paramètres!$A$1:$I$89,3,0)*VLOOKUP('Données projet'!$B$12,Paramètres!$A$1:$I$89,5,0)</f>
        <v>-3.1036506698001178E-14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302.37244372118971</v>
      </c>
      <c r="CE188" s="62">
        <f t="shared" si="148"/>
        <v>439.56450354660171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0.35001536315336801</v>
      </c>
      <c r="CL188" s="23">
        <f>EXP(-LN(2)/25)*CL187+(1-EXP(-LN(2)/25))/(LN(2)/25)*Calculateur!CG188*Calculateur!CI188*VLOOKUP('Données projet'!$B$12,Paramètres!$A$1:$I$89,3,0)*0.475*44/12</f>
        <v>0.22992058809038682</v>
      </c>
      <c r="CM188" s="23">
        <f>EXP(-LN(2)/2)*CM187+(1-EXP(-LN(2)/2))/(LN(2)/2)*CG188*CJ188*VLOOKUP('Données projet'!$B$12,Paramètres!$A$1:$I$89,3,0)*0.475*44/12</f>
        <v>7.510687520911827E-23</v>
      </c>
      <c r="CN188" s="24">
        <f t="shared" si="172"/>
        <v>0.57993595124375485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69.303100789964219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2.8421709430404007E-14</v>
      </c>
      <c r="CU188" s="18">
        <f>CT188*VLOOKUP('Données projet'!$B$13,Paramètres!$A$1:$I$89,3,0)*VLOOKUP('Données projet'!$B$13,Paramètres!$A$1:$I$89,5,0)</f>
        <v>2.0838797354372217E-14</v>
      </c>
      <c r="CV188" s="14">
        <f t="shared" si="173"/>
        <v>3.7575774393093487E-13</v>
      </c>
      <c r="CW188" s="22">
        <f t="shared" si="174"/>
        <v>6.9073897607190981E-13</v>
      </c>
      <c r="CX188" s="62">
        <f t="shared" si="122"/>
        <v>290.77803622986949</v>
      </c>
      <c r="CY188" s="62">
        <f ca="1">AVERAGE(OFFSET($CX$3,0,0,'Données projet'!$E$13+1,1))-AVERAGE(OFFSET($H$3,0,0,'Données projet'!$E$13+1,1))</f>
        <v>300.12722359176314</v>
      </c>
      <c r="CZ188" s="62">
        <f t="shared" si="150"/>
        <v>313.35115626175946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0.16341046717915583</v>
      </c>
      <c r="DH188" s="23">
        <f>EXP(-LN(2)/2)*DH187+(1-EXP(-LN(2)/2))/(LN(2)/2)*DB188*DE188*VLOOKUP('Données projet'!$B$13,Paramètres!$A$1:$I$89,3,0)*0.475*44/12</f>
        <v>7.0472207056980607E-23</v>
      </c>
      <c r="DI188" s="24">
        <f t="shared" si="175"/>
        <v>0.16341046717915583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69.303100789964219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69.303100789964219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69.303100789964219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69.303100789964219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69.303100789964219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3.55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13.016666666666666</v>
      </c>
      <c r="H189" s="70">
        <f t="shared" si="110"/>
        <v>204.6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69.315190433225112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-2.2737367544323206E-13</v>
      </c>
      <c r="O189" s="14">
        <f>N189*VLOOKUP('Données projet'!$B$9,Paramètres!$A$1:$I$89,3,0)*VLOOKUP('Données projet'!$B$9,Paramètres!$A$1:$I$89,5,0)</f>
        <v>-1.2710188457276673E-13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455.44531340185631</v>
      </c>
      <c r="T189" s="62">
        <f t="shared" si="142"/>
        <v>560.14861617544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0.49188774179866934</v>
      </c>
      <c r="AA189" s="23">
        <f>EXP(-LN(2)/25)*AA188+(1-EXP(-LN(2)/25))/(LN(2)/25)*Calculateur!V189*Calculateur!X189*VLOOKUP('Données projet'!$B$9,Paramètres!$A$1:$I$89,3,0)*0.475*44/12</f>
        <v>0.18813892578859226</v>
      </c>
      <c r="AB189" s="23">
        <f>EXP(-LN(2)/2)*AB188+(1-EXP(-LN(2)/2))/(LN(2)/2)*V189*Y189*VLOOKUP('Données projet'!$B$9,Paramètres!$A$1:$I$89,3,0)*0.475*44/12</f>
        <v>4.3920536545554954E-23</v>
      </c>
      <c r="AC189" s="24">
        <f t="shared" si="163"/>
        <v>0.6800266675872616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69.315190433225112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1.9895196601282805E-13</v>
      </c>
      <c r="AJ189" s="14">
        <f>AI189*VLOOKUP('Données projet'!$B$10,Paramètres!$A$1:$I$89,3,0)*VLOOKUP('Données projet'!$B$10,Paramètres!$A$1:$I$89,5,0)</f>
        <v>1.738044375088066E-13</v>
      </c>
      <c r="AK189" s="14">
        <f t="shared" si="164"/>
        <v>2.4483293633950478E-12</v>
      </c>
      <c r="AL189" s="22">
        <f t="shared" si="165"/>
        <v>4.566883036574213E-12</v>
      </c>
      <c r="AM189" s="62">
        <f t="shared" si="113"/>
        <v>290.82236492182994</v>
      </c>
      <c r="AN189" s="62">
        <f ca="1">AVERAGE(OFFSET($AM$3,0,0,'Données projet'!$E$10+1,1))-AVERAGE(OFFSET($H$3,0,0,'Données projet'!$E$10+1,1))</f>
        <v>335.71510570470264</v>
      </c>
      <c r="AO189" s="62">
        <f t="shared" si="144"/>
        <v>401.61823018046482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0.33845406626567853</v>
      </c>
      <c r="AW189" s="23">
        <f>EXP(-LN(2)/2)*AW188+(1-EXP(-LN(2)/2))/(LN(2)/2)*AQ189*AT189*VLOOKUP('Données projet'!$B$10,Paramètres!$A$1:$I$89,3,0)*0.475*44/12</f>
        <v>6.0438805380058735E-23</v>
      </c>
      <c r="AX189" s="23">
        <f t="shared" si="166"/>
        <v>0.33845406626567853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69.315190433225112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-5.6843418860808015E-14</v>
      </c>
      <c r="BE189" s="14">
        <f>BD189*VLOOKUP('Données projet'!$B$11,Paramètres!$A$1:$I$89,3,0)*VLOOKUP('Données projet'!$B$11,Paramètres!$A$1:$I$89,5,0)</f>
        <v>-5.1431925385259088E-14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462.677457131175</v>
      </c>
      <c r="BJ189" s="62">
        <f t="shared" si="146"/>
        <v>291.78368401945909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0.12079934093611784</v>
      </c>
      <c r="BR189" s="23">
        <f>EXP(-LN(2)/2)*BR188+(1-EXP(-LN(2)/2))/(LN(2)/2)*BL189*BO189*VLOOKUP('Données projet'!$B$11,Paramètres!$A$1:$I$89,3,0)*0.475*44/12</f>
        <v>4.9332306094051215E-23</v>
      </c>
      <c r="BS189" s="24">
        <f t="shared" si="169"/>
        <v>0.12079934093611784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69.315190433225112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-5.6843418860808015E-14</v>
      </c>
      <c r="BZ189" s="14">
        <f>BY189*VLOOKUP('Données projet'!$B$12,Paramètres!$A$1:$I$89,3,0)*VLOOKUP('Données projet'!$B$12,Paramètres!$A$1:$I$89,5,0)</f>
        <v>-3.1036506698001178E-14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302.37244372118971</v>
      </c>
      <c r="CE189" s="62">
        <f t="shared" si="148"/>
        <v>439.56450354660171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0.34315177537022179</v>
      </c>
      <c r="CL189" s="23">
        <f>EXP(-LN(2)/25)*CL188+(1-EXP(-LN(2)/25))/(LN(2)/25)*Calculateur!CG189*Calculateur!CI189*VLOOKUP('Données projet'!$B$12,Paramètres!$A$1:$I$89,3,0)*0.475*44/12</f>
        <v>0.22363339751805694</v>
      </c>
      <c r="CM189" s="23">
        <f>EXP(-LN(2)/2)*CM188+(1-EXP(-LN(2)/2))/(LN(2)/2)*CG189*CJ189*VLOOKUP('Données projet'!$B$12,Paramètres!$A$1:$I$89,3,0)*0.475*44/12</f>
        <v>5.3108580774099323E-23</v>
      </c>
      <c r="CN189" s="24">
        <f t="shared" si="172"/>
        <v>0.56678517288827868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69.315190433225112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2.8421709430404007E-14</v>
      </c>
      <c r="CU189" s="18">
        <f>CT189*VLOOKUP('Données projet'!$B$13,Paramètres!$A$1:$I$89,3,0)*VLOOKUP('Données projet'!$B$13,Paramètres!$A$1:$I$89,5,0)</f>
        <v>2.0838797354372217E-14</v>
      </c>
      <c r="CV189" s="14">
        <f t="shared" si="173"/>
        <v>3.7575774393093487E-13</v>
      </c>
      <c r="CW189" s="22">
        <f t="shared" si="174"/>
        <v>6.9073897607190981E-13</v>
      </c>
      <c r="CX189" s="62">
        <f t="shared" si="122"/>
        <v>290.82236492182608</v>
      </c>
      <c r="CY189" s="62">
        <f ca="1">AVERAGE(OFFSET($CX$3,0,0,'Données projet'!$E$13+1,1))-AVERAGE(OFFSET($H$3,0,0,'Données projet'!$E$13+1,1))</f>
        <v>300.12722359176314</v>
      </c>
      <c r="CZ189" s="62">
        <f t="shared" si="150"/>
        <v>313.35115626175946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0.15894199936075884</v>
      </c>
      <c r="DH189" s="23">
        <f>EXP(-LN(2)/2)*DH188+(1-EXP(-LN(2)/2))/(LN(2)/2)*DB189*DE189*VLOOKUP('Données projet'!$B$13,Paramètres!$A$1:$I$89,3,0)*0.475*44/12</f>
        <v>4.9831375495173457E-23</v>
      </c>
      <c r="DI189" s="24">
        <f t="shared" si="175"/>
        <v>0.15894199936075884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69.315190433225112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69.315190433225112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69.315190433225112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69.315190433225112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69.315190433225112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3.55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13.016666666666666</v>
      </c>
      <c r="H190" s="70">
        <f t="shared" si="110"/>
        <v>204.6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69.327070348203819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-2.2737367544323206E-13</v>
      </c>
      <c r="O190" s="14">
        <f>N190*VLOOKUP('Données projet'!$B$9,Paramètres!$A$1:$I$89,3,0)*VLOOKUP('Données projet'!$B$9,Paramètres!$A$1:$I$89,5,0)</f>
        <v>-1.2710188457276673E-13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455.44531340185631</v>
      </c>
      <c r="T190" s="62">
        <f t="shared" si="142"/>
        <v>560.14861617544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0.48224212320389526</v>
      </c>
      <c r="AA190" s="23">
        <f>EXP(-LN(2)/25)*AA189+(1-EXP(-LN(2)/25))/(LN(2)/25)*Calculateur!V190*Calculateur!X190*VLOOKUP('Données projet'!$B$9,Paramètres!$A$1:$I$89,3,0)*0.475*44/12</f>
        <v>0.18299425696910709</v>
      </c>
      <c r="AB190" s="23">
        <f>EXP(-LN(2)/2)*AB189+(1-EXP(-LN(2)/2))/(LN(2)/2)*V190*Y190*VLOOKUP('Données projet'!$B$9,Paramètres!$A$1:$I$89,3,0)*0.475*44/12</f>
        <v>3.105650922471349E-23</v>
      </c>
      <c r="AC190" s="24">
        <f t="shared" si="163"/>
        <v>0.66523638017300235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69.327070348203819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1.9895196601282805E-13</v>
      </c>
      <c r="AJ190" s="14">
        <f>AI190*VLOOKUP('Données projet'!$B$10,Paramètres!$A$1:$I$89,3,0)*VLOOKUP('Données projet'!$B$10,Paramètres!$A$1:$I$89,5,0)</f>
        <v>1.738044375088066E-13</v>
      </c>
      <c r="AK190" s="14">
        <f t="shared" si="164"/>
        <v>2.4483293633950478E-12</v>
      </c>
      <c r="AL190" s="22">
        <f t="shared" si="165"/>
        <v>4.566883036574213E-12</v>
      </c>
      <c r="AM190" s="62">
        <f t="shared" si="113"/>
        <v>290.86592461008519</v>
      </c>
      <c r="AN190" s="62">
        <f ca="1">AVERAGE(OFFSET($AM$3,0,0,'Données projet'!$E$10+1,1))-AVERAGE(OFFSET($H$3,0,0,'Données projet'!$E$10+1,1))</f>
        <v>335.71510570470264</v>
      </c>
      <c r="AO190" s="62">
        <f t="shared" si="144"/>
        <v>401.61823018046482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0.32919902202511775</v>
      </c>
      <c r="AW190" s="23">
        <f>EXP(-LN(2)/2)*AW189+(1-EXP(-LN(2)/2))/(LN(2)/2)*AQ190*AT190*VLOOKUP('Données projet'!$B$10,Paramètres!$A$1:$I$89,3,0)*0.475*44/12</f>
        <v>4.2736689131053524E-23</v>
      </c>
      <c r="AX190" s="23">
        <f t="shared" si="166"/>
        <v>0.32919902202511775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69.327070348203819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-5.6843418860808015E-14</v>
      </c>
      <c r="BE190" s="14">
        <f>BD190*VLOOKUP('Données projet'!$B$11,Paramètres!$A$1:$I$89,3,0)*VLOOKUP('Données projet'!$B$11,Paramètres!$A$1:$I$89,5,0)</f>
        <v>-5.1431925385259088E-14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462.677457131175</v>
      </c>
      <c r="BJ190" s="62">
        <f t="shared" si="146"/>
        <v>291.78368401945909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0.11749607660565844</v>
      </c>
      <c r="BR190" s="23">
        <f>EXP(-LN(2)/2)*BR189+(1-EXP(-LN(2)/2))/(LN(2)/2)*BL190*BO190*VLOOKUP('Données projet'!$B$11,Paramètres!$A$1:$I$89,3,0)*0.475*44/12</f>
        <v>3.4883208170674057E-23</v>
      </c>
      <c r="BS190" s="24">
        <f t="shared" si="169"/>
        <v>0.11749607660565844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69.327070348203819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-5.6843418860808015E-14</v>
      </c>
      <c r="BZ190" s="14">
        <f>BY190*VLOOKUP('Données projet'!$B$12,Paramètres!$A$1:$I$89,3,0)*VLOOKUP('Données projet'!$B$12,Paramètres!$A$1:$I$89,5,0)</f>
        <v>-3.1036506698001178E-14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302.37244372118971</v>
      </c>
      <c r="CE190" s="62">
        <f t="shared" si="148"/>
        <v>439.56450354660171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0.33642277835712786</v>
      </c>
      <c r="CL190" s="23">
        <f>EXP(-LN(2)/25)*CL189+(1-EXP(-LN(2)/25))/(LN(2)/25)*Calculateur!CG190*Calculateur!CI190*VLOOKUP('Données projet'!$B$12,Paramètres!$A$1:$I$89,3,0)*0.475*44/12</f>
        <v>0.21751813050255642</v>
      </c>
      <c r="CM190" s="23">
        <f>EXP(-LN(2)/2)*CM189+(1-EXP(-LN(2)/2))/(LN(2)/2)*CG190*CJ190*VLOOKUP('Données projet'!$B$12,Paramètres!$A$1:$I$89,3,0)*0.475*44/12</f>
        <v>3.7553437604559135E-23</v>
      </c>
      <c r="CN190" s="24">
        <f t="shared" si="172"/>
        <v>0.55394090885968428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69.327070348203819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2.8421709430404007E-14</v>
      </c>
      <c r="CU190" s="18">
        <f>CT190*VLOOKUP('Données projet'!$B$13,Paramètres!$A$1:$I$89,3,0)*VLOOKUP('Données projet'!$B$13,Paramètres!$A$1:$I$89,5,0)</f>
        <v>2.0838797354372217E-14</v>
      </c>
      <c r="CV190" s="14">
        <f t="shared" si="173"/>
        <v>3.7575774393093487E-13</v>
      </c>
      <c r="CW190" s="22">
        <f t="shared" si="174"/>
        <v>6.9073897607190981E-13</v>
      </c>
      <c r="CX190" s="62">
        <f t="shared" si="122"/>
        <v>290.86592461008132</v>
      </c>
      <c r="CY190" s="62">
        <f ca="1">AVERAGE(OFFSET($CX$3,0,0,'Données projet'!$E$13+1,1))-AVERAGE(OFFSET($H$3,0,0,'Données projet'!$E$13+1,1))</f>
        <v>300.12722359176314</v>
      </c>
      <c r="CZ190" s="62">
        <f t="shared" si="150"/>
        <v>313.35115626175946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0.1545957220298424</v>
      </c>
      <c r="DH190" s="23">
        <f>EXP(-LN(2)/2)*DH189+(1-EXP(-LN(2)/2))/(LN(2)/2)*DB190*DE190*VLOOKUP('Données projet'!$B$13,Paramètres!$A$1:$I$89,3,0)*0.475*44/12</f>
        <v>3.5236103528490304E-23</v>
      </c>
      <c r="DI190" s="24">
        <f t="shared" si="175"/>
        <v>0.1545957220298424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69.327070348203819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69.327070348203819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69.327070348203819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69.327070348203819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69.327070348203819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3.55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13.016666666666666</v>
      </c>
      <c r="H191" s="70">
        <f t="shared" si="110"/>
        <v>204.6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69.338744173217165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-2.2737367544323206E-13</v>
      </c>
      <c r="O191" s="14">
        <f>N191*VLOOKUP('Données projet'!$B$9,Paramètres!$A$1:$I$89,3,0)*VLOOKUP('Données projet'!$B$9,Paramètres!$A$1:$I$89,5,0)</f>
        <v>-1.2710188457276673E-13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455.44531340185631</v>
      </c>
      <c r="T191" s="62">
        <f t="shared" si="142"/>
        <v>560.14861617544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0.47278564930651823</v>
      </c>
      <c r="AA191" s="23">
        <f>EXP(-LN(2)/25)*AA190+(1-EXP(-LN(2)/25))/(LN(2)/25)*Calculateur!V191*Calculateur!X191*VLOOKUP('Données projet'!$B$9,Paramètres!$A$1:$I$89,3,0)*0.475*44/12</f>
        <v>0.17799026938903711</v>
      </c>
      <c r="AB191" s="23">
        <f>EXP(-LN(2)/2)*AB190+(1-EXP(-LN(2)/2))/(LN(2)/2)*V191*Y191*VLOOKUP('Données projet'!$B$9,Paramètres!$A$1:$I$89,3,0)*0.475*44/12</f>
        <v>2.1960268272777477E-23</v>
      </c>
      <c r="AC191" s="24">
        <f t="shared" si="163"/>
        <v>0.65077591869555529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69.338744173217165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1.9895196601282805E-13</v>
      </c>
      <c r="AJ191" s="14">
        <f>AI191*VLOOKUP('Données projet'!$B$10,Paramètres!$A$1:$I$89,3,0)*VLOOKUP('Données projet'!$B$10,Paramètres!$A$1:$I$89,5,0)</f>
        <v>1.738044375088066E-13</v>
      </c>
      <c r="AK191" s="14">
        <f t="shared" si="164"/>
        <v>2.4483293633950478E-12</v>
      </c>
      <c r="AL191" s="22">
        <f t="shared" si="165"/>
        <v>4.566883036574213E-12</v>
      </c>
      <c r="AM191" s="62">
        <f t="shared" si="113"/>
        <v>290.90872863513414</v>
      </c>
      <c r="AN191" s="62">
        <f ca="1">AVERAGE(OFFSET($AM$3,0,0,'Données projet'!$E$10+1,1))-AVERAGE(OFFSET($H$3,0,0,'Données projet'!$E$10+1,1))</f>
        <v>335.71510570470264</v>
      </c>
      <c r="AO191" s="62">
        <f t="shared" si="144"/>
        <v>401.61823018046482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0.32019705745601673</v>
      </c>
      <c r="AW191" s="23">
        <f>EXP(-LN(2)/2)*AW190+(1-EXP(-LN(2)/2))/(LN(2)/2)*AQ191*AT191*VLOOKUP('Données projet'!$B$10,Paramètres!$A$1:$I$89,3,0)*0.475*44/12</f>
        <v>3.0219402690029367E-23</v>
      </c>
      <c r="AX191" s="23">
        <f t="shared" si="166"/>
        <v>0.32019705745601673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69.338744173217165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-5.6843418860808015E-14</v>
      </c>
      <c r="BE191" s="14">
        <f>BD191*VLOOKUP('Données projet'!$B$11,Paramètres!$A$1:$I$89,3,0)*VLOOKUP('Données projet'!$B$11,Paramètres!$A$1:$I$89,5,0)</f>
        <v>-5.1431925385259088E-14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462.677457131175</v>
      </c>
      <c r="BJ191" s="62">
        <f t="shared" si="146"/>
        <v>291.78368401945909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0.11428314021202658</v>
      </c>
      <c r="BR191" s="23">
        <f>EXP(-LN(2)/2)*BR190+(1-EXP(-LN(2)/2))/(LN(2)/2)*BL191*BO191*VLOOKUP('Données projet'!$B$11,Paramètres!$A$1:$I$89,3,0)*0.475*44/12</f>
        <v>2.4666153047025607E-23</v>
      </c>
      <c r="BS191" s="24">
        <f t="shared" si="169"/>
        <v>0.11428314021202658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69.338744173217165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-5.6843418860808015E-14</v>
      </c>
      <c r="BZ191" s="14">
        <f>BY191*VLOOKUP('Données projet'!$B$12,Paramètres!$A$1:$I$89,3,0)*VLOOKUP('Données projet'!$B$12,Paramètres!$A$1:$I$89,5,0)</f>
        <v>-3.1036506698001178E-14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302.37244372118971</v>
      </c>
      <c r="CE191" s="62">
        <f t="shared" si="148"/>
        <v>439.56450354660171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0.32982573287117778</v>
      </c>
      <c r="CL191" s="23">
        <f>EXP(-LN(2)/25)*CL190+(1-EXP(-LN(2)/25))/(LN(2)/25)*Calculateur!CG191*Calculateur!CI191*VLOOKUP('Données projet'!$B$12,Paramètres!$A$1:$I$89,3,0)*0.475*44/12</f>
        <v>0.21157008578518266</v>
      </c>
      <c r="CM191" s="23">
        <f>EXP(-LN(2)/2)*CM190+(1-EXP(-LN(2)/2))/(LN(2)/2)*CG191*CJ191*VLOOKUP('Données projet'!$B$12,Paramètres!$A$1:$I$89,3,0)*0.475*44/12</f>
        <v>2.6554290387049662E-23</v>
      </c>
      <c r="CN191" s="24">
        <f t="shared" si="172"/>
        <v>0.54139581865636044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69.338744173217165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2.8421709430404007E-14</v>
      </c>
      <c r="CU191" s="18">
        <f>CT191*VLOOKUP('Données projet'!$B$13,Paramètres!$A$1:$I$89,3,0)*VLOOKUP('Données projet'!$B$13,Paramètres!$A$1:$I$89,5,0)</f>
        <v>2.0838797354372217E-14</v>
      </c>
      <c r="CV191" s="14">
        <f t="shared" si="173"/>
        <v>3.7575774393093487E-13</v>
      </c>
      <c r="CW191" s="22">
        <f t="shared" si="174"/>
        <v>6.9073897607190981E-13</v>
      </c>
      <c r="CX191" s="62">
        <f t="shared" si="122"/>
        <v>290.90872863513027</v>
      </c>
      <c r="CY191" s="62">
        <f ca="1">AVERAGE(OFFSET($CX$3,0,0,'Données projet'!$E$13+1,1))-AVERAGE(OFFSET($H$3,0,0,'Données projet'!$E$13+1,1))</f>
        <v>300.12722359176314</v>
      </c>
      <c r="CZ191" s="62">
        <f t="shared" si="150"/>
        <v>313.35115626175946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0.15036829388110068</v>
      </c>
      <c r="DH191" s="23">
        <f>EXP(-LN(2)/2)*DH190+(1-EXP(-LN(2)/2))/(LN(2)/2)*DB191*DE191*VLOOKUP('Données projet'!$B$13,Paramètres!$A$1:$I$89,3,0)*0.475*44/12</f>
        <v>2.4915687747586729E-23</v>
      </c>
      <c r="DI191" s="24">
        <f t="shared" si="175"/>
        <v>0.15036829388110068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69.338744173217165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69.338744173217165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69.338744173217165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69.338744173217165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69.338744173217165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3.55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13.016666666666666</v>
      </c>
      <c r="H192" s="70">
        <f t="shared" si="110"/>
        <v>204.6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69.350215483465291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-2.2737367544323206E-13</v>
      </c>
      <c r="O192" s="14">
        <f>N192*VLOOKUP('Données projet'!$B$9,Paramètres!$A$1:$I$89,3,0)*VLOOKUP('Données projet'!$B$9,Paramètres!$A$1:$I$89,5,0)</f>
        <v>-1.2710188457276673E-13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455.44531340185631</v>
      </c>
      <c r="T192" s="62">
        <f t="shared" si="142"/>
        <v>560.14861617544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0.46351461109438924</v>
      </c>
      <c r="AA192" s="23">
        <f>EXP(-LN(2)/25)*AA191+(1-EXP(-LN(2)/25))/(LN(2)/25)*Calculateur!V192*Calculateur!X192*VLOOKUP('Données projet'!$B$9,Paramètres!$A$1:$I$89,3,0)*0.475*44/12</f>
        <v>0.17312311611249243</v>
      </c>
      <c r="AB192" s="23">
        <f>EXP(-LN(2)/2)*AB191+(1-EXP(-LN(2)/2))/(LN(2)/2)*V192*Y192*VLOOKUP('Données projet'!$B$9,Paramètres!$A$1:$I$89,3,0)*0.475*44/12</f>
        <v>1.5528254612356745E-23</v>
      </c>
      <c r="AC192" s="24">
        <f t="shared" si="163"/>
        <v>0.63663772720688172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69.350215483465291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1.9895196601282805E-13</v>
      </c>
      <c r="AJ192" s="14">
        <f>AI192*VLOOKUP('Données projet'!$B$10,Paramètres!$A$1:$I$89,3,0)*VLOOKUP('Données projet'!$B$10,Paramètres!$A$1:$I$89,5,0)</f>
        <v>1.738044375088066E-13</v>
      </c>
      <c r="AK192" s="14">
        <f t="shared" si="164"/>
        <v>2.4483293633950478E-12</v>
      </c>
      <c r="AL192" s="22">
        <f t="shared" si="165"/>
        <v>4.566883036574213E-12</v>
      </c>
      <c r="AM192" s="62">
        <f t="shared" si="113"/>
        <v>290.95079010604394</v>
      </c>
      <c r="AN192" s="62">
        <f ca="1">AVERAGE(OFFSET($AM$3,0,0,'Données projet'!$E$10+1,1))-AVERAGE(OFFSET($H$3,0,0,'Données projet'!$E$10+1,1))</f>
        <v>335.71510570470264</v>
      </c>
      <c r="AO192" s="62">
        <f t="shared" si="144"/>
        <v>401.61823018046482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0.31144125208145051</v>
      </c>
      <c r="AW192" s="23">
        <f>EXP(-LN(2)/2)*AW191+(1-EXP(-LN(2)/2))/(LN(2)/2)*AQ192*AT192*VLOOKUP('Données projet'!$B$10,Paramètres!$A$1:$I$89,3,0)*0.475*44/12</f>
        <v>2.1368344565526762E-23</v>
      </c>
      <c r="AX192" s="23">
        <f t="shared" si="166"/>
        <v>0.31144125208145051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69.350215483465291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-5.6843418860808015E-14</v>
      </c>
      <c r="BE192" s="14">
        <f>BD192*VLOOKUP('Données projet'!$B$11,Paramètres!$A$1:$I$89,3,0)*VLOOKUP('Données projet'!$B$11,Paramètres!$A$1:$I$89,5,0)</f>
        <v>-5.1431925385259088E-14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462.677457131175</v>
      </c>
      <c r="BJ192" s="62">
        <f t="shared" si="146"/>
        <v>291.78368401945909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0.11115806173303958</v>
      </c>
      <c r="BR192" s="23">
        <f>EXP(-LN(2)/2)*BR191+(1-EXP(-LN(2)/2))/(LN(2)/2)*BL192*BO192*VLOOKUP('Données projet'!$B$11,Paramètres!$A$1:$I$89,3,0)*0.475*44/12</f>
        <v>1.7441604085337028E-23</v>
      </c>
      <c r="BS192" s="24">
        <f t="shared" si="169"/>
        <v>0.11115806173303958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69.350215483465291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-5.6843418860808015E-14</v>
      </c>
      <c r="BZ192" s="14">
        <f>BY192*VLOOKUP('Données projet'!$B$12,Paramètres!$A$1:$I$89,3,0)*VLOOKUP('Données projet'!$B$12,Paramètres!$A$1:$I$89,5,0)</f>
        <v>-3.1036506698001178E-14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302.37244372118971</v>
      </c>
      <c r="CE192" s="62">
        <f t="shared" si="148"/>
        <v>439.56450354660171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0.32335805142340679</v>
      </c>
      <c r="CL192" s="23">
        <f>EXP(-LN(2)/25)*CL191+(1-EXP(-LN(2)/25))/(LN(2)/25)*Calculateur!CG192*Calculateur!CI192*VLOOKUP('Données projet'!$B$12,Paramètres!$A$1:$I$89,3,0)*0.475*44/12</f>
        <v>0.20578469066339958</v>
      </c>
      <c r="CM192" s="23">
        <f>EXP(-LN(2)/2)*CM191+(1-EXP(-LN(2)/2))/(LN(2)/2)*CG192*CJ192*VLOOKUP('Données projet'!$B$12,Paramètres!$A$1:$I$89,3,0)*0.475*44/12</f>
        <v>1.8776718802279568E-23</v>
      </c>
      <c r="CN192" s="24">
        <f t="shared" si="172"/>
        <v>0.52914274208680634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69.350215483465291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2.8421709430404007E-14</v>
      </c>
      <c r="CU192" s="18">
        <f>CT192*VLOOKUP('Données projet'!$B$13,Paramètres!$A$1:$I$89,3,0)*VLOOKUP('Données projet'!$B$13,Paramètres!$A$1:$I$89,5,0)</f>
        <v>2.0838797354372217E-14</v>
      </c>
      <c r="CV192" s="14">
        <f t="shared" si="173"/>
        <v>3.7575774393093487E-13</v>
      </c>
      <c r="CW192" s="22">
        <f t="shared" si="174"/>
        <v>6.9073897607190981E-13</v>
      </c>
      <c r="CX192" s="62">
        <f t="shared" si="122"/>
        <v>290.95079010604007</v>
      </c>
      <c r="CY192" s="62">
        <f ca="1">AVERAGE(OFFSET($CX$3,0,0,'Données projet'!$E$13+1,1))-AVERAGE(OFFSET($H$3,0,0,'Données projet'!$E$13+1,1))</f>
        <v>300.12722359176314</v>
      </c>
      <c r="CZ192" s="62">
        <f t="shared" si="150"/>
        <v>313.35115626175946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0.14625646497739708</v>
      </c>
      <c r="DH192" s="23">
        <f>EXP(-LN(2)/2)*DH191+(1-EXP(-LN(2)/2))/(LN(2)/2)*DB192*DE192*VLOOKUP('Données projet'!$B$13,Paramètres!$A$1:$I$89,3,0)*0.475*44/12</f>
        <v>1.7618051764245152E-23</v>
      </c>
      <c r="DI192" s="24">
        <f t="shared" si="175"/>
        <v>0.14625646497739708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69.350215483465291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69.350215483465291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69.350215483465291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69.350215483465291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69.350215483465291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3.55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13.016666666666666</v>
      </c>
      <c r="H193" s="70">
        <f t="shared" si="110"/>
        <v>204.6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69.36148779212661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-2.2737367544323206E-13</v>
      </c>
      <c r="O193" s="14">
        <f>N193*VLOOKUP('Données projet'!$B$9,Paramètres!$A$1:$I$89,3,0)*VLOOKUP('Données projet'!$B$9,Paramètres!$A$1:$I$89,5,0)</f>
        <v>-1.2710188457276673E-13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455.44531340185631</v>
      </c>
      <c r="T193" s="62">
        <f t="shared" si="142"/>
        <v>560.14861617544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0.45442537228682517</v>
      </c>
      <c r="AA193" s="23">
        <f>EXP(-LN(2)/25)*AA192+(1-EXP(-LN(2)/25))/(LN(2)/25)*Calculateur!V193*Calculateur!X193*VLOOKUP('Données projet'!$B$9,Paramètres!$A$1:$I$89,3,0)*0.475*44/12</f>
        <v>0.16838905539824733</v>
      </c>
      <c r="AB193" s="23">
        <f>EXP(-LN(2)/2)*AB192+(1-EXP(-LN(2)/2))/(LN(2)/2)*V193*Y193*VLOOKUP('Données projet'!$B$9,Paramètres!$A$1:$I$89,3,0)*0.475*44/12</f>
        <v>1.0980134136388739E-23</v>
      </c>
      <c r="AC193" s="24">
        <f t="shared" si="163"/>
        <v>0.62281442768507245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69.36148779212661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1.9895196601282805E-13</v>
      </c>
      <c r="AJ193" s="14">
        <f>AI193*VLOOKUP('Données projet'!$B$10,Paramètres!$A$1:$I$89,3,0)*VLOOKUP('Données projet'!$B$10,Paramètres!$A$1:$I$89,5,0)</f>
        <v>1.738044375088066E-13</v>
      </c>
      <c r="AK193" s="14">
        <f t="shared" si="164"/>
        <v>2.4483293633950478E-12</v>
      </c>
      <c r="AL193" s="22">
        <f t="shared" si="165"/>
        <v>4.566883036574213E-12</v>
      </c>
      <c r="AM193" s="62">
        <f t="shared" si="113"/>
        <v>290.99212190446877</v>
      </c>
      <c r="AN193" s="62">
        <f ca="1">AVERAGE(OFFSET($AM$3,0,0,'Données projet'!$E$10+1,1))-AVERAGE(OFFSET($H$3,0,0,'Données projet'!$E$10+1,1))</f>
        <v>335.71510570470264</v>
      </c>
      <c r="AO193" s="62">
        <f t="shared" si="144"/>
        <v>401.61823018046482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0.3029248746652996</v>
      </c>
      <c r="AW193" s="23">
        <f>EXP(-LN(2)/2)*AW192+(1-EXP(-LN(2)/2))/(LN(2)/2)*AQ193*AT193*VLOOKUP('Données projet'!$B$10,Paramètres!$A$1:$I$89,3,0)*0.475*44/12</f>
        <v>1.5109701345014684E-23</v>
      </c>
      <c r="AX193" s="23">
        <f t="shared" si="166"/>
        <v>0.3029248746652996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69.36148779212661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-5.6843418860808015E-14</v>
      </c>
      <c r="BE193" s="14">
        <f>BD193*VLOOKUP('Données projet'!$B$11,Paramètres!$A$1:$I$89,3,0)*VLOOKUP('Données projet'!$B$11,Paramètres!$A$1:$I$89,5,0)</f>
        <v>-5.1431925385259088E-14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462.677457131175</v>
      </c>
      <c r="BJ193" s="62">
        <f t="shared" si="146"/>
        <v>291.78368401945909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0.1081184386894012</v>
      </c>
      <c r="BR193" s="23">
        <f>EXP(-LN(2)/2)*BR192+(1-EXP(-LN(2)/2))/(LN(2)/2)*BL193*BO193*VLOOKUP('Données projet'!$B$11,Paramètres!$A$1:$I$89,3,0)*0.475*44/12</f>
        <v>1.2333076523512804E-23</v>
      </c>
      <c r="BS193" s="24">
        <f t="shared" si="169"/>
        <v>0.1081184386894012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69.36148779212661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-5.6843418860808015E-14</v>
      </c>
      <c r="BZ193" s="14">
        <f>BY193*VLOOKUP('Données projet'!$B$12,Paramètres!$A$1:$I$89,3,0)*VLOOKUP('Données projet'!$B$12,Paramètres!$A$1:$I$89,5,0)</f>
        <v>-3.1036506698001178E-14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302.37244372118971</v>
      </c>
      <c r="CE193" s="62">
        <f t="shared" si="148"/>
        <v>439.56450354660171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0.31701719726393041</v>
      </c>
      <c r="CL193" s="23">
        <f>EXP(-LN(2)/25)*CL192+(1-EXP(-LN(2)/25))/(LN(2)/25)*Calculateur!CG193*Calculateur!CI193*VLOOKUP('Données projet'!$B$12,Paramètres!$A$1:$I$89,3,0)*0.475*44/12</f>
        <v>0.20015749747546235</v>
      </c>
      <c r="CM193" s="23">
        <f>EXP(-LN(2)/2)*CM192+(1-EXP(-LN(2)/2))/(LN(2)/2)*CG193*CJ193*VLOOKUP('Données projet'!$B$12,Paramètres!$A$1:$I$89,3,0)*0.475*44/12</f>
        <v>1.3277145193524831E-23</v>
      </c>
      <c r="CN193" s="24">
        <f t="shared" si="172"/>
        <v>0.5171746947393927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69.36148779212661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2.8421709430404007E-14</v>
      </c>
      <c r="CU193" s="18">
        <f>CT193*VLOOKUP('Données projet'!$B$13,Paramètres!$A$1:$I$89,3,0)*VLOOKUP('Données projet'!$B$13,Paramètres!$A$1:$I$89,5,0)</f>
        <v>2.0838797354372217E-14</v>
      </c>
      <c r="CV193" s="14">
        <f t="shared" si="173"/>
        <v>3.7575774393093487E-13</v>
      </c>
      <c r="CW193" s="22">
        <f t="shared" si="174"/>
        <v>6.9073897607190981E-13</v>
      </c>
      <c r="CX193" s="62">
        <f t="shared" si="122"/>
        <v>290.99212190446491</v>
      </c>
      <c r="CY193" s="62">
        <f ca="1">AVERAGE(OFFSET($CX$3,0,0,'Données projet'!$E$13+1,1))-AVERAGE(OFFSET($H$3,0,0,'Données projet'!$E$13+1,1))</f>
        <v>300.12722359176314</v>
      </c>
      <c r="CZ193" s="62">
        <f t="shared" si="150"/>
        <v>313.35115626175946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0.14225707425129694</v>
      </c>
      <c r="DH193" s="23">
        <f>EXP(-LN(2)/2)*DH192+(1-EXP(-LN(2)/2))/(LN(2)/2)*DB193*DE193*VLOOKUP('Données projet'!$B$13,Paramètres!$A$1:$I$89,3,0)*0.475*44/12</f>
        <v>1.2457843873793364E-23</v>
      </c>
      <c r="DI193" s="24">
        <f t="shared" si="175"/>
        <v>0.14225707425129694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69.36148779212661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69.36148779212661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69.36148779212661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69.36148779212661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69.36148779212661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3.55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13.016666666666666</v>
      </c>
      <c r="H194" s="70">
        <f t="shared" si="110"/>
        <v>204.6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69.372564551433783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-2.2737367544323206E-13</v>
      </c>
      <c r="O194" s="14">
        <f>N194*VLOOKUP('Données projet'!$B$9,Paramètres!$A$1:$I$89,3,0)*VLOOKUP('Données projet'!$B$9,Paramètres!$A$1:$I$89,5,0)</f>
        <v>-1.2710188457276673E-13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455.44531340185631</v>
      </c>
      <c r="T194" s="62">
        <f t="shared" si="142"/>
        <v>560.14861617544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0.44551436790838916</v>
      </c>
      <c r="AA194" s="23">
        <f>EXP(-LN(2)/25)*AA193+(1-EXP(-LN(2)/25))/(LN(2)/25)*Calculateur!V194*Calculateur!X194*VLOOKUP('Données projet'!$B$9,Paramètres!$A$1:$I$89,3,0)*0.475*44/12</f>
        <v>0.16378444782318669</v>
      </c>
      <c r="AB194" s="23">
        <f>EXP(-LN(2)/2)*AB193+(1-EXP(-LN(2)/2))/(LN(2)/2)*V194*Y194*VLOOKUP('Données projet'!$B$9,Paramètres!$A$1:$I$89,3,0)*0.475*44/12</f>
        <v>7.7641273061783725E-24</v>
      </c>
      <c r="AC194" s="24">
        <f t="shared" si="163"/>
        <v>0.60929881573157585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69.372564551433783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1.9895196601282805E-13</v>
      </c>
      <c r="AJ194" s="14">
        <f>AI194*VLOOKUP('Données projet'!$B$10,Paramètres!$A$1:$I$89,3,0)*VLOOKUP('Données projet'!$B$10,Paramètres!$A$1:$I$89,5,0)</f>
        <v>1.738044375088066E-13</v>
      </c>
      <c r="AK194" s="14">
        <f t="shared" si="164"/>
        <v>2.4483293633950478E-12</v>
      </c>
      <c r="AL194" s="22">
        <f t="shared" si="165"/>
        <v>4.566883036574213E-12</v>
      </c>
      <c r="AM194" s="62">
        <f t="shared" si="113"/>
        <v>291.03273668859509</v>
      </c>
      <c r="AN194" s="62">
        <f ca="1">AVERAGE(OFFSET($AM$3,0,0,'Données projet'!$E$10+1,1))-AVERAGE(OFFSET($H$3,0,0,'Données projet'!$E$10+1,1))</f>
        <v>335.71510570470264</v>
      </c>
      <c r="AO194" s="62">
        <f t="shared" si="144"/>
        <v>401.61823018046482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0.29464137803745016</v>
      </c>
      <c r="AW194" s="23">
        <f>EXP(-LN(2)/2)*AW193+(1-EXP(-LN(2)/2))/(LN(2)/2)*AQ194*AT194*VLOOKUP('Données projet'!$B$10,Paramètres!$A$1:$I$89,3,0)*0.475*44/12</f>
        <v>1.0684172282763381E-23</v>
      </c>
      <c r="AX194" s="23">
        <f t="shared" si="166"/>
        <v>0.29464137803745016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69.372564551433783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-5.6843418860808015E-14</v>
      </c>
      <c r="BE194" s="14">
        <f>BD194*VLOOKUP('Données projet'!$B$11,Paramètres!$A$1:$I$89,3,0)*VLOOKUP('Données projet'!$B$11,Paramètres!$A$1:$I$89,5,0)</f>
        <v>-5.1431925385259088E-14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462.677457131175</v>
      </c>
      <c r="BJ194" s="62">
        <f t="shared" si="146"/>
        <v>291.78368401945909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0.10516193429773794</v>
      </c>
      <c r="BR194" s="23">
        <f>EXP(-LN(2)/2)*BR193+(1-EXP(-LN(2)/2))/(LN(2)/2)*BL194*BO194*VLOOKUP('Données projet'!$B$11,Paramètres!$A$1:$I$89,3,0)*0.475*44/12</f>
        <v>8.7208020426685142E-24</v>
      </c>
      <c r="BS194" s="24">
        <f t="shared" si="169"/>
        <v>0.10516193429773794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69.372564551433783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-5.6843418860808015E-14</v>
      </c>
      <c r="BZ194" s="14">
        <f>BY194*VLOOKUP('Données projet'!$B$12,Paramètres!$A$1:$I$89,3,0)*VLOOKUP('Données projet'!$B$12,Paramètres!$A$1:$I$89,5,0)</f>
        <v>-3.1036506698001178E-14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302.37244372118971</v>
      </c>
      <c r="CE194" s="62">
        <f t="shared" si="148"/>
        <v>439.56450354660171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0.31080068338698219</v>
      </c>
      <c r="CL194" s="23">
        <f>EXP(-LN(2)/25)*CL193+(1-EXP(-LN(2)/25))/(LN(2)/25)*Calculateur!CG194*Calculateur!CI194*VLOOKUP('Données projet'!$B$12,Paramètres!$A$1:$I$89,3,0)*0.475*44/12</f>
        <v>0.19468418018117051</v>
      </c>
      <c r="CM194" s="23">
        <f>EXP(-LN(2)/2)*CM193+(1-EXP(-LN(2)/2))/(LN(2)/2)*CG194*CJ194*VLOOKUP('Données projet'!$B$12,Paramètres!$A$1:$I$89,3,0)*0.475*44/12</f>
        <v>9.3883594011397838E-24</v>
      </c>
      <c r="CN194" s="24">
        <f t="shared" si="172"/>
        <v>0.5054848635681527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69.372564551433783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2.8421709430404007E-14</v>
      </c>
      <c r="CU194" s="18">
        <f>CT194*VLOOKUP('Données projet'!$B$13,Paramètres!$A$1:$I$89,3,0)*VLOOKUP('Données projet'!$B$13,Paramètres!$A$1:$I$89,5,0)</f>
        <v>2.0838797354372217E-14</v>
      </c>
      <c r="CV194" s="14">
        <f t="shared" si="173"/>
        <v>3.7575774393093487E-13</v>
      </c>
      <c r="CW194" s="22">
        <f t="shared" si="174"/>
        <v>6.9073897607190981E-13</v>
      </c>
      <c r="CX194" s="62">
        <f t="shared" si="122"/>
        <v>291.03273668859123</v>
      </c>
      <c r="CY194" s="62">
        <f ca="1">AVERAGE(OFFSET($CX$3,0,0,'Données projet'!$E$13+1,1))-AVERAGE(OFFSET($H$3,0,0,'Données projet'!$E$13+1,1))</f>
        <v>300.12722359176314</v>
      </c>
      <c r="CZ194" s="62">
        <f t="shared" si="150"/>
        <v>313.35115626175946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0.13836704707492081</v>
      </c>
      <c r="DH194" s="23">
        <f>EXP(-LN(2)/2)*DH193+(1-EXP(-LN(2)/2))/(LN(2)/2)*DB194*DE194*VLOOKUP('Données projet'!$B$13,Paramètres!$A$1:$I$89,3,0)*0.475*44/12</f>
        <v>8.8090258821225759E-24</v>
      </c>
      <c r="DI194" s="24">
        <f t="shared" si="175"/>
        <v>0.13836704707492081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69.372564551433783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69.372564551433783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69.372564551433783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69.372564551433783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69.372564551433783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3.55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13.016666666666666</v>
      </c>
      <c r="H195" s="70">
        <f t="shared" si="110"/>
        <v>204.6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69.383449153730893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-2.2737367544323206E-13</v>
      </c>
      <c r="O195" s="14">
        <f>N195*VLOOKUP('Données projet'!$B$9,Paramètres!$A$1:$I$89,3,0)*VLOOKUP('Données projet'!$B$9,Paramètres!$A$1:$I$89,5,0)</f>
        <v>-1.2710188457276673E-13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455.44531340185631</v>
      </c>
      <c r="T195" s="62">
        <f t="shared" si="142"/>
        <v>560.14861617544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0.43677810289063829</v>
      </c>
      <c r="AA195" s="23">
        <f>EXP(-LN(2)/25)*AA194+(1-EXP(-LN(2)/25))/(LN(2)/25)*Calculateur!V195*Calculateur!X195*VLOOKUP('Données projet'!$B$9,Paramètres!$A$1:$I$89,3,0)*0.475*44/12</f>
        <v>0.15930575348441187</v>
      </c>
      <c r="AB195" s="23">
        <f>EXP(-LN(2)/2)*AB194+(1-EXP(-LN(2)/2))/(LN(2)/2)*V195*Y195*VLOOKUP('Données projet'!$B$9,Paramètres!$A$1:$I$89,3,0)*0.475*44/12</f>
        <v>5.4900670681943693E-24</v>
      </c>
      <c r="AC195" s="24">
        <f t="shared" si="163"/>
        <v>0.59608385637505013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69.383449153730893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1.9895196601282805E-13</v>
      </c>
      <c r="AJ195" s="14">
        <f>AI195*VLOOKUP('Données projet'!$B$10,Paramètres!$A$1:$I$89,3,0)*VLOOKUP('Données projet'!$B$10,Paramètres!$A$1:$I$89,5,0)</f>
        <v>1.738044375088066E-13</v>
      </c>
      <c r="AK195" s="14">
        <f t="shared" si="164"/>
        <v>2.4483293633950478E-12</v>
      </c>
      <c r="AL195" s="22">
        <f t="shared" si="165"/>
        <v>4.566883036574213E-12</v>
      </c>
      <c r="AM195" s="62">
        <f t="shared" si="113"/>
        <v>291.07264689701782</v>
      </c>
      <c r="AN195" s="62">
        <f ca="1">AVERAGE(OFFSET($AM$3,0,0,'Données projet'!$E$10+1,1))-AVERAGE(OFFSET($H$3,0,0,'Données projet'!$E$10+1,1))</f>
        <v>335.71510570470264</v>
      </c>
      <c r="AO195" s="62">
        <f t="shared" si="144"/>
        <v>401.61823018046482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0.2865843940604994</v>
      </c>
      <c r="AW195" s="23">
        <f>EXP(-LN(2)/2)*AW194+(1-EXP(-LN(2)/2))/(LN(2)/2)*AQ195*AT195*VLOOKUP('Données projet'!$B$10,Paramètres!$A$1:$I$89,3,0)*0.475*44/12</f>
        <v>7.5548506725073418E-24</v>
      </c>
      <c r="AX195" s="23">
        <f t="shared" si="166"/>
        <v>0.2865843940604994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69.383449153730893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-5.6843418860808015E-14</v>
      </c>
      <c r="BE195" s="14">
        <f>BD195*VLOOKUP('Données projet'!$B$11,Paramètres!$A$1:$I$89,3,0)*VLOOKUP('Données projet'!$B$11,Paramètres!$A$1:$I$89,5,0)</f>
        <v>-5.1431925385259088E-14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462.677457131175</v>
      </c>
      <c r="BJ195" s="62">
        <f t="shared" si="146"/>
        <v>291.78368401945909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0.10228627567414053</v>
      </c>
      <c r="BR195" s="23">
        <f>EXP(-LN(2)/2)*BR194+(1-EXP(-LN(2)/2))/(LN(2)/2)*BL195*BO195*VLOOKUP('Données projet'!$B$11,Paramètres!$A$1:$I$89,3,0)*0.475*44/12</f>
        <v>6.1665382617564018E-24</v>
      </c>
      <c r="BS195" s="24">
        <f t="shared" si="169"/>
        <v>0.10228627567414053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69.383449153730893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-5.6843418860808015E-14</v>
      </c>
      <c r="BZ195" s="14">
        <f>BY195*VLOOKUP('Données projet'!$B$12,Paramètres!$A$1:$I$89,3,0)*VLOOKUP('Données projet'!$B$12,Paramètres!$A$1:$I$89,5,0)</f>
        <v>-3.1036506698001178E-14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302.37244372118971</v>
      </c>
      <c r="CE195" s="62">
        <f t="shared" si="148"/>
        <v>439.56450354660171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0.30470607155546187</v>
      </c>
      <c r="CL195" s="23">
        <f>EXP(-LN(2)/25)*CL194+(1-EXP(-LN(2)/25))/(LN(2)/25)*Calculateur!CG195*Calculateur!CI195*VLOOKUP('Données projet'!$B$12,Paramètres!$A$1:$I$89,3,0)*0.475*44/12</f>
        <v>0.18936053103612033</v>
      </c>
      <c r="CM195" s="23">
        <f>EXP(-LN(2)/2)*CM194+(1-EXP(-LN(2)/2))/(LN(2)/2)*CG195*CJ195*VLOOKUP('Données projet'!$B$12,Paramètres!$A$1:$I$89,3,0)*0.475*44/12</f>
        <v>6.6385725967624154E-24</v>
      </c>
      <c r="CN195" s="24">
        <f t="shared" si="172"/>
        <v>0.49406660259158219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69.383449153730893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2.8421709430404007E-14</v>
      </c>
      <c r="CU195" s="18">
        <f>CT195*VLOOKUP('Données projet'!$B$13,Paramètres!$A$1:$I$89,3,0)*VLOOKUP('Données projet'!$B$13,Paramètres!$A$1:$I$89,5,0)</f>
        <v>2.0838797354372217E-14</v>
      </c>
      <c r="CV195" s="14">
        <f t="shared" si="173"/>
        <v>3.7575774393093487E-13</v>
      </c>
      <c r="CW195" s="22">
        <f t="shared" si="174"/>
        <v>6.9073897607190981E-13</v>
      </c>
      <c r="CX195" s="62">
        <f t="shared" si="122"/>
        <v>291.07264689701395</v>
      </c>
      <c r="CY195" s="62">
        <f ca="1">AVERAGE(OFFSET($CX$3,0,0,'Données projet'!$E$13+1,1))-AVERAGE(OFFSET($H$3,0,0,'Données projet'!$E$13+1,1))</f>
        <v>300.12722359176314</v>
      </c>
      <c r="CZ195" s="62">
        <f t="shared" si="150"/>
        <v>313.35115626175946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0.13458339289625035</v>
      </c>
      <c r="DH195" s="23">
        <f>EXP(-LN(2)/2)*DH194+(1-EXP(-LN(2)/2))/(LN(2)/2)*DB195*DE195*VLOOKUP('Données projet'!$B$13,Paramètres!$A$1:$I$89,3,0)*0.475*44/12</f>
        <v>6.2289219368966822E-24</v>
      </c>
      <c r="DI195" s="24">
        <f t="shared" si="175"/>
        <v>0.13458339289625035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69.383449153730893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69.383449153730893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69.383449153730893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69.383449153730893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69.383449153730893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3.55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13.016666666666666</v>
      </c>
      <c r="H196" s="70">
        <f t="shared" ref="H196:H203" si="192">(B196+E196+F196)*44/12+(C196+D196)*0.475*44/12</f>
        <v>204.6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69.394144932512461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-2.2737367544323206E-13</v>
      </c>
      <c r="O196" s="14">
        <f>N196*VLOOKUP('Données projet'!$B$9,Paramètres!$A$1:$I$89,3,0)*VLOOKUP('Données projet'!$B$9,Paramètres!$A$1:$I$89,5,0)</f>
        <v>-1.2710188457276673E-13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455.44531340185631</v>
      </c>
      <c r="T196" s="62">
        <f t="shared" si="142"/>
        <v>560.14861617544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0.42821315070129001</v>
      </c>
      <c r="AA196" s="23">
        <f>EXP(-LN(2)/25)*AA195+(1-EXP(-LN(2)/25))/(LN(2)/25)*Calculateur!V196*Calculateur!X196*VLOOKUP('Données projet'!$B$9,Paramètres!$A$1:$I$89,3,0)*0.475*44/12</f>
        <v>0.15494952927785516</v>
      </c>
      <c r="AB196" s="23">
        <f>EXP(-LN(2)/2)*AB195+(1-EXP(-LN(2)/2))/(LN(2)/2)*V196*Y196*VLOOKUP('Données projet'!$B$9,Paramètres!$A$1:$I$89,3,0)*0.475*44/12</f>
        <v>3.8820636530891863E-24</v>
      </c>
      <c r="AC196" s="24">
        <f t="shared" si="163"/>
        <v>0.58316267997914517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69.394144932512461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1.9895196601282805E-13</v>
      </c>
      <c r="AJ196" s="14">
        <f>AI196*VLOOKUP('Données projet'!$B$10,Paramètres!$A$1:$I$89,3,0)*VLOOKUP('Données projet'!$B$10,Paramètres!$A$1:$I$89,5,0)</f>
        <v>1.738044375088066E-13</v>
      </c>
      <c r="AK196" s="14">
        <f t="shared" si="164"/>
        <v>2.4483293633950478E-12</v>
      </c>
      <c r="AL196" s="22">
        <f t="shared" si="165"/>
        <v>4.566883036574213E-12</v>
      </c>
      <c r="AM196" s="62">
        <f t="shared" ref="AM196:AM203" si="193">AL196+(AD196+AE196)*44/12</f>
        <v>291.11186475255022</v>
      </c>
      <c r="AN196" s="62">
        <f ca="1">AVERAGE(OFFSET($AM$3,0,0,'Données projet'!$E$10+1,1))-AVERAGE(OFFSET($H$3,0,0,'Données projet'!$E$10+1,1))</f>
        <v>335.71510570470264</v>
      </c>
      <c r="AO196" s="62">
        <f t="shared" si="144"/>
        <v>401.61823018046482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0.27874772873409676</v>
      </c>
      <c r="AW196" s="23">
        <f>EXP(-LN(2)/2)*AW195+(1-EXP(-LN(2)/2))/(LN(2)/2)*AQ196*AT196*VLOOKUP('Données projet'!$B$10,Paramètres!$A$1:$I$89,3,0)*0.475*44/12</f>
        <v>5.3420861413816905E-24</v>
      </c>
      <c r="AX196" s="23">
        <f t="shared" si="166"/>
        <v>0.27874772873409676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69.394144932512461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-5.6843418860808015E-14</v>
      </c>
      <c r="BE196" s="14">
        <f>BD196*VLOOKUP('Données projet'!$B$11,Paramètres!$A$1:$I$89,3,0)*VLOOKUP('Données projet'!$B$11,Paramètres!$A$1:$I$89,5,0)</f>
        <v>-5.1431925385259088E-14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462.677457131175</v>
      </c>
      <c r="BJ196" s="62">
        <f t="shared" si="146"/>
        <v>291.78368401945909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9.9489252086829696E-2</v>
      </c>
      <c r="BR196" s="23">
        <f>EXP(-LN(2)/2)*BR195+(1-EXP(-LN(2)/2))/(LN(2)/2)*BL196*BO196*VLOOKUP('Données projet'!$B$11,Paramètres!$A$1:$I$89,3,0)*0.475*44/12</f>
        <v>4.3604010213342571E-24</v>
      </c>
      <c r="BS196" s="24">
        <f t="shared" si="169"/>
        <v>9.9489252086829696E-2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69.394144932512461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-5.6843418860808015E-14</v>
      </c>
      <c r="BZ196" s="14">
        <f>BY196*VLOOKUP('Données projet'!$B$12,Paramètres!$A$1:$I$89,3,0)*VLOOKUP('Données projet'!$B$12,Paramètres!$A$1:$I$89,5,0)</f>
        <v>-3.1036506698001178E-14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302.37244372118971</v>
      </c>
      <c r="CE196" s="62">
        <f t="shared" si="148"/>
        <v>439.56450354660171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0.29873097134461152</v>
      </c>
      <c r="CL196" s="23">
        <f>EXP(-LN(2)/25)*CL195+(1-EXP(-LN(2)/25))/(LN(2)/25)*Calculateur!CG196*Calculateur!CI196*VLOOKUP('Données projet'!$B$12,Paramètres!$A$1:$I$89,3,0)*0.475*44/12</f>
        <v>0.18418245735690009</v>
      </c>
      <c r="CM196" s="23">
        <f>EXP(-LN(2)/2)*CM195+(1-EXP(-LN(2)/2))/(LN(2)/2)*CG196*CJ196*VLOOKUP('Données projet'!$B$12,Paramètres!$A$1:$I$89,3,0)*0.475*44/12</f>
        <v>4.6941797005698919E-24</v>
      </c>
      <c r="CN196" s="24">
        <f t="shared" si="172"/>
        <v>0.4829134287015116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69.394144932512461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2.8421709430404007E-14</v>
      </c>
      <c r="CU196" s="18">
        <f>CT196*VLOOKUP('Données projet'!$B$13,Paramètres!$A$1:$I$89,3,0)*VLOOKUP('Données projet'!$B$13,Paramètres!$A$1:$I$89,5,0)</f>
        <v>2.0838797354372217E-14</v>
      </c>
      <c r="CV196" s="14">
        <f t="shared" si="173"/>
        <v>3.7575774393093487E-13</v>
      </c>
      <c r="CW196" s="22">
        <f t="shared" si="174"/>
        <v>6.9073897607190981E-13</v>
      </c>
      <c r="CX196" s="62">
        <f t="shared" ref="CX196:CX203" si="196">CW196+(CO196+CP196)*44/12</f>
        <v>291.11186475254635</v>
      </c>
      <c r="CY196" s="62">
        <f ca="1">AVERAGE(OFFSET($CX$3,0,0,'Données projet'!$E$13+1,1))-AVERAGE(OFFSET($H$3,0,0,'Données projet'!$E$13+1,1))</f>
        <v>300.12722359176314</v>
      </c>
      <c r="CZ196" s="62">
        <f t="shared" si="150"/>
        <v>313.35115626175946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0.13090320294006935</v>
      </c>
      <c r="DH196" s="23">
        <f>EXP(-LN(2)/2)*DH195+(1-EXP(-LN(2)/2))/(LN(2)/2)*DB196*DE196*VLOOKUP('Données projet'!$B$13,Paramètres!$A$1:$I$89,3,0)*0.475*44/12</f>
        <v>4.404512941061288E-24</v>
      </c>
      <c r="DI196" s="24">
        <f t="shared" si="175"/>
        <v>0.13090320294006935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69.394144932512461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69.394144932512461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69.394144932512461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69.394144932512461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69.394144932512461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3.55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13.016666666666666</v>
      </c>
      <c r="H197" s="70">
        <f t="shared" si="192"/>
        <v>204.6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69.40465516344436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-2.2737367544323206E-13</v>
      </c>
      <c r="O197" s="14">
        <f>N197*VLOOKUP('Données projet'!$B$9,Paramètres!$A$1:$I$89,3,0)*VLOOKUP('Données projet'!$B$9,Paramètres!$A$1:$I$89,5,0)</f>
        <v>-1.2710188457276673E-13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455.44531340185631</v>
      </c>
      <c r="T197" s="62">
        <f t="shared" ref="T197:T203" si="204">$T$3</f>
        <v>560.14861617544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0.41981615200026984</v>
      </c>
      <c r="AA197" s="23">
        <f>EXP(-LN(2)/25)*AA196+(1-EXP(-LN(2)/25))/(LN(2)/25)*Calculateur!V197*Calculateur!X197*VLOOKUP('Données projet'!$B$9,Paramètres!$A$1:$I$89,3,0)*0.475*44/12</f>
        <v>0.15071242625131059</v>
      </c>
      <c r="AB197" s="23">
        <f>EXP(-LN(2)/2)*AB196+(1-EXP(-LN(2)/2))/(LN(2)/2)*V197*Y197*VLOOKUP('Données projet'!$B$9,Paramètres!$A$1:$I$89,3,0)*0.475*44/12</f>
        <v>2.7450335340971846E-24</v>
      </c>
      <c r="AC197" s="24">
        <f t="shared" si="163"/>
        <v>0.57052857825158043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69.40465516344436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1.9895196601282805E-13</v>
      </c>
      <c r="AJ197" s="14">
        <f>AI197*VLOOKUP('Données projet'!$B$10,Paramètres!$A$1:$I$89,3,0)*VLOOKUP('Données projet'!$B$10,Paramètres!$A$1:$I$89,5,0)</f>
        <v>1.738044375088066E-13</v>
      </c>
      <c r="AK197" s="14">
        <f t="shared" si="164"/>
        <v>2.4483293633950478E-12</v>
      </c>
      <c r="AL197" s="22">
        <f t="shared" si="165"/>
        <v>4.566883036574213E-12</v>
      </c>
      <c r="AM197" s="62">
        <f t="shared" si="193"/>
        <v>291.15040226596722</v>
      </c>
      <c r="AN197" s="62">
        <f ca="1">AVERAGE(OFFSET($AM$3,0,0,'Données projet'!$E$10+1,1))-AVERAGE(OFFSET($H$3,0,0,'Données projet'!$E$10+1,1))</f>
        <v>335.71510570470264</v>
      </c>
      <c r="AO197" s="62">
        <f t="shared" ref="AO197:AO203" si="205">$AO$3</f>
        <v>401.61823018046482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0.27112535743315691</v>
      </c>
      <c r="AW197" s="23">
        <f>EXP(-LN(2)/2)*AW196+(1-EXP(-LN(2)/2))/(LN(2)/2)*AQ197*AT197*VLOOKUP('Données projet'!$B$10,Paramètres!$A$1:$I$89,3,0)*0.475*44/12</f>
        <v>3.7774253362536709E-24</v>
      </c>
      <c r="AX197" s="23">
        <f t="shared" si="166"/>
        <v>0.27112535743315691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69.40465516344436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-5.6843418860808015E-14</v>
      </c>
      <c r="BE197" s="14">
        <f>BD197*VLOOKUP('Données projet'!$B$11,Paramètres!$A$1:$I$89,3,0)*VLOOKUP('Données projet'!$B$11,Paramètres!$A$1:$I$89,5,0)</f>
        <v>-5.1431925385259088E-14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462.677457131175</v>
      </c>
      <c r="BJ197" s="62">
        <f t="shared" ref="BJ197:BJ203" si="206">$BJ$3</f>
        <v>291.78368401945909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9.6768713256602953E-2</v>
      </c>
      <c r="BR197" s="23">
        <f>EXP(-LN(2)/2)*BR196+(1-EXP(-LN(2)/2))/(LN(2)/2)*BL197*BO197*VLOOKUP('Données projet'!$B$11,Paramètres!$A$1:$I$89,3,0)*0.475*44/12</f>
        <v>3.0832691308782009E-24</v>
      </c>
      <c r="BS197" s="24">
        <f t="shared" si="169"/>
        <v>9.6768713256602953E-2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69.40465516344436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-5.6843418860808015E-14</v>
      </c>
      <c r="BZ197" s="14">
        <f>BY197*VLOOKUP('Données projet'!$B$12,Paramètres!$A$1:$I$89,3,0)*VLOOKUP('Données projet'!$B$12,Paramètres!$A$1:$I$89,5,0)</f>
        <v>-3.1036506698001178E-14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302.37244372118971</v>
      </c>
      <c r="CE197" s="62">
        <f t="shared" ref="CE197:CE203" si="207">$CE$3</f>
        <v>439.56450354660171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0.29287303920444469</v>
      </c>
      <c r="CL197" s="23">
        <f>EXP(-LN(2)/25)*CL196+(1-EXP(-LN(2)/25))/(LN(2)/25)*Calculateur!CG197*Calculateur!CI197*VLOOKUP('Données projet'!$B$12,Paramètres!$A$1:$I$89,3,0)*0.475*44/12</f>
        <v>0.17914597837474117</v>
      </c>
      <c r="CM197" s="23">
        <f>EXP(-LN(2)/2)*CM196+(1-EXP(-LN(2)/2))/(LN(2)/2)*CG197*CJ197*VLOOKUP('Données projet'!$B$12,Paramètres!$A$1:$I$89,3,0)*0.475*44/12</f>
        <v>3.3192862983812077E-24</v>
      </c>
      <c r="CN197" s="24">
        <f t="shared" si="172"/>
        <v>0.47201901757918585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69.40465516344436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2.8421709430404007E-14</v>
      </c>
      <c r="CU197" s="18">
        <f>CT197*VLOOKUP('Données projet'!$B$13,Paramètres!$A$1:$I$89,3,0)*VLOOKUP('Données projet'!$B$13,Paramètres!$A$1:$I$89,5,0)</f>
        <v>2.0838797354372217E-14</v>
      </c>
      <c r="CV197" s="14">
        <f t="shared" si="173"/>
        <v>3.7575774393093487E-13</v>
      </c>
      <c r="CW197" s="22">
        <f t="shared" si="174"/>
        <v>6.9073897607190981E-13</v>
      </c>
      <c r="CX197" s="62">
        <f t="shared" si="196"/>
        <v>291.15040226596335</v>
      </c>
      <c r="CY197" s="62">
        <f ca="1">AVERAGE(OFFSET($CX$3,0,0,'Données projet'!$E$13+1,1))-AVERAGE(OFFSET($H$3,0,0,'Données projet'!$E$13+1,1))</f>
        <v>300.12722359176314</v>
      </c>
      <c r="CZ197" s="62">
        <f t="shared" ref="CZ197:CZ203" si="208">$CZ$3</f>
        <v>313.35115626175946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0.1273236479717729</v>
      </c>
      <c r="DH197" s="23">
        <f>EXP(-LN(2)/2)*DH196+(1-EXP(-LN(2)/2))/(LN(2)/2)*DB197*DE197*VLOOKUP('Données projet'!$B$13,Paramètres!$A$1:$I$89,3,0)*0.475*44/12</f>
        <v>3.1144609684483411E-24</v>
      </c>
      <c r="DI197" s="24">
        <f t="shared" si="175"/>
        <v>0.1273236479717729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69.40465516344436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69.40465516344436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69.40465516344436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69.40465516344436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69.40465516344436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3.55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13.016666666666666</v>
      </c>
      <c r="H198" s="70">
        <f t="shared" si="192"/>
        <v>204.6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69.41498306536694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-2.2737367544323206E-13</v>
      </c>
      <c r="O198" s="14">
        <f>N198*VLOOKUP('Données projet'!$B$9,Paramètres!$A$1:$I$89,3,0)*VLOOKUP('Données projet'!$B$9,Paramètres!$A$1:$I$89,5,0)</f>
        <v>-1.2710188457276673E-13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455.44531340185631</v>
      </c>
      <c r="T198" s="62">
        <f t="shared" si="204"/>
        <v>560.14861617544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0.41158381332211319</v>
      </c>
      <c r="AA198" s="23">
        <f>EXP(-LN(2)/25)*AA197+(1-EXP(-LN(2)/25))/(LN(2)/25)*Calculateur!V198*Calculateur!X198*VLOOKUP('Données projet'!$B$9,Paramètres!$A$1:$I$89,3,0)*0.475*44/12</f>
        <v>0.14659118702984647</v>
      </c>
      <c r="AB198" s="23">
        <f>EXP(-LN(2)/2)*AB197+(1-EXP(-LN(2)/2))/(LN(2)/2)*V198*Y198*VLOOKUP('Données projet'!$B$9,Paramètres!$A$1:$I$89,3,0)*0.475*44/12</f>
        <v>1.9410318265445931E-24</v>
      </c>
      <c r="AC198" s="24">
        <f t="shared" si="163"/>
        <v>0.55817500035195966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69.41498306536694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1.9895196601282805E-13</v>
      </c>
      <c r="AJ198" s="14">
        <f>AI198*VLOOKUP('Données projet'!$B$10,Paramètres!$A$1:$I$89,3,0)*VLOOKUP('Données projet'!$B$10,Paramètres!$A$1:$I$89,5,0)</f>
        <v>1.738044375088066E-13</v>
      </c>
      <c r="AK198" s="14">
        <f t="shared" si="164"/>
        <v>2.4483293633950478E-12</v>
      </c>
      <c r="AL198" s="22">
        <f t="shared" si="165"/>
        <v>4.566883036574213E-12</v>
      </c>
      <c r="AM198" s="62">
        <f t="shared" si="193"/>
        <v>291.18827123968333</v>
      </c>
      <c r="AN198" s="62">
        <f ca="1">AVERAGE(OFFSET($AM$3,0,0,'Données projet'!$E$10+1,1))-AVERAGE(OFFSET($H$3,0,0,'Données projet'!$E$10+1,1))</f>
        <v>335.71510570470264</v>
      </c>
      <c r="AO198" s="62">
        <f t="shared" si="205"/>
        <v>401.61823018046482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0.26371142027628436</v>
      </c>
      <c r="AW198" s="23">
        <f>EXP(-LN(2)/2)*AW197+(1-EXP(-LN(2)/2))/(LN(2)/2)*AQ198*AT198*VLOOKUP('Données projet'!$B$10,Paramètres!$A$1:$I$89,3,0)*0.475*44/12</f>
        <v>2.6710430706908452E-24</v>
      </c>
      <c r="AX198" s="23">
        <f t="shared" si="166"/>
        <v>0.26371142027628436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69.41498306536694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-5.6843418860808015E-14</v>
      </c>
      <c r="BE198" s="14">
        <f>BD198*VLOOKUP('Données projet'!$B$11,Paramètres!$A$1:$I$89,3,0)*VLOOKUP('Données projet'!$B$11,Paramètres!$A$1:$I$89,5,0)</f>
        <v>-5.1431925385259088E-14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462.677457131175</v>
      </c>
      <c r="BJ198" s="62">
        <f t="shared" si="206"/>
        <v>291.78368401945909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9.4122567703755683E-2</v>
      </c>
      <c r="BR198" s="23">
        <f>EXP(-LN(2)/2)*BR197+(1-EXP(-LN(2)/2))/(LN(2)/2)*BL198*BO198*VLOOKUP('Données projet'!$B$11,Paramètres!$A$1:$I$89,3,0)*0.475*44/12</f>
        <v>2.1802005106671286E-24</v>
      </c>
      <c r="BS198" s="24">
        <f t="shared" si="169"/>
        <v>9.4122567703755683E-2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69.41498306536694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-5.6843418860808015E-14</v>
      </c>
      <c r="BZ198" s="14">
        <f>BY198*VLOOKUP('Données projet'!$B$12,Paramètres!$A$1:$I$89,3,0)*VLOOKUP('Données projet'!$B$12,Paramètres!$A$1:$I$89,5,0)</f>
        <v>-3.1036506698001178E-14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302.37244372118971</v>
      </c>
      <c r="CE198" s="62">
        <f t="shared" si="207"/>
        <v>439.56450354660171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0.28712997754056069</v>
      </c>
      <c r="CL198" s="23">
        <f>EXP(-LN(2)/25)*CL197+(1-EXP(-LN(2)/25))/(LN(2)/25)*Calculateur!CG198*Calculateur!CI198*VLOOKUP('Données projet'!$B$12,Paramètres!$A$1:$I$89,3,0)*0.475*44/12</f>
        <v>0.1742472221752063</v>
      </c>
      <c r="CM198" s="23">
        <f>EXP(-LN(2)/2)*CM197+(1-EXP(-LN(2)/2))/(LN(2)/2)*CG198*CJ198*VLOOKUP('Données projet'!$B$12,Paramètres!$A$1:$I$89,3,0)*0.475*44/12</f>
        <v>2.3470898502849459E-24</v>
      </c>
      <c r="CN198" s="24">
        <f t="shared" si="172"/>
        <v>0.46137719971576696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69.41498306536694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2.8421709430404007E-14</v>
      </c>
      <c r="CU198" s="18">
        <f>CT198*VLOOKUP('Données projet'!$B$13,Paramètres!$A$1:$I$89,3,0)*VLOOKUP('Données projet'!$B$13,Paramètres!$A$1:$I$89,5,0)</f>
        <v>2.0838797354372217E-14</v>
      </c>
      <c r="CV198" s="14">
        <f t="shared" si="173"/>
        <v>3.7575774393093487E-13</v>
      </c>
      <c r="CW198" s="22">
        <f t="shared" si="174"/>
        <v>6.9073897607190981E-13</v>
      </c>
      <c r="CX198" s="62">
        <f t="shared" si="196"/>
        <v>291.18827123967947</v>
      </c>
      <c r="CY198" s="62">
        <f ca="1">AVERAGE(OFFSET($CX$3,0,0,'Données projet'!$E$13+1,1))-AVERAGE(OFFSET($H$3,0,0,'Données projet'!$E$13+1,1))</f>
        <v>300.12722359176314</v>
      </c>
      <c r="CZ198" s="62">
        <f t="shared" si="208"/>
        <v>313.35115626175946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0.12384197612232513</v>
      </c>
      <c r="DH198" s="23">
        <f>EXP(-LN(2)/2)*DH197+(1-EXP(-LN(2)/2))/(LN(2)/2)*DB198*DE198*VLOOKUP('Données projet'!$B$13,Paramètres!$A$1:$I$89,3,0)*0.475*44/12</f>
        <v>2.202256470530644E-24</v>
      </c>
      <c r="DI198" s="24">
        <f t="shared" si="175"/>
        <v>0.12384197612232513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69.41498306536694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69.41498306536694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69.41498306536694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69.41498306536694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69.41498306536694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3.55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13.016666666666666</v>
      </c>
      <c r="H199" s="70">
        <f t="shared" si="192"/>
        <v>204.6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69.425131801280898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-2.2737367544323206E-13</v>
      </c>
      <c r="O199" s="14">
        <f>N199*VLOOKUP('Données projet'!$B$9,Paramètres!$A$1:$I$89,3,0)*VLOOKUP('Données projet'!$B$9,Paramètres!$A$1:$I$89,5,0)</f>
        <v>-1.2710188457276673E-13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455.44531340185631</v>
      </c>
      <c r="T199" s="62">
        <f t="shared" si="204"/>
        <v>560.14861617544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0.4035129057842044</v>
      </c>
      <c r="AA199" s="23">
        <f>EXP(-LN(2)/25)*AA198+(1-EXP(-LN(2)/25))/(LN(2)/25)*Calculateur!V199*Calculateur!X199*VLOOKUP('Données projet'!$B$9,Paramètres!$A$1:$I$89,3,0)*0.475*44/12</f>
        <v>0.14258264331161982</v>
      </c>
      <c r="AB199" s="23">
        <f>EXP(-LN(2)/2)*AB198+(1-EXP(-LN(2)/2))/(LN(2)/2)*V199*Y199*VLOOKUP('Données projet'!$B$9,Paramètres!$A$1:$I$89,3,0)*0.475*44/12</f>
        <v>1.3725167670485923E-24</v>
      </c>
      <c r="AC199" s="24">
        <f t="shared" si="163"/>
        <v>0.54609554909582425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69.425131801280898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1.9895196601282805E-13</v>
      </c>
      <c r="AJ199" s="14">
        <f>AI199*VLOOKUP('Données projet'!$B$10,Paramètres!$A$1:$I$89,3,0)*VLOOKUP('Données projet'!$B$10,Paramètres!$A$1:$I$89,5,0)</f>
        <v>1.738044375088066E-13</v>
      </c>
      <c r="AK199" s="14">
        <f t="shared" si="164"/>
        <v>2.4483293633950478E-12</v>
      </c>
      <c r="AL199" s="22">
        <f t="shared" si="165"/>
        <v>4.566883036574213E-12</v>
      </c>
      <c r="AM199" s="62">
        <f t="shared" si="193"/>
        <v>291.22548327136786</v>
      </c>
      <c r="AN199" s="62">
        <f ca="1">AVERAGE(OFFSET($AM$3,0,0,'Données projet'!$E$10+1,1))-AVERAGE(OFFSET($H$3,0,0,'Données projet'!$E$10+1,1))</f>
        <v>335.71510570470264</v>
      </c>
      <c r="AO199" s="62">
        <f t="shared" si="205"/>
        <v>401.61823018046482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0.25650021762084851</v>
      </c>
      <c r="AW199" s="23">
        <f>EXP(-LN(2)/2)*AW198+(1-EXP(-LN(2)/2))/(LN(2)/2)*AQ199*AT199*VLOOKUP('Données projet'!$B$10,Paramètres!$A$1:$I$89,3,0)*0.475*44/12</f>
        <v>1.8887126681268355E-24</v>
      </c>
      <c r="AX199" s="23">
        <f t="shared" si="166"/>
        <v>0.25650021762084851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69.425131801280898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-5.6843418860808015E-14</v>
      </c>
      <c r="BE199" s="14">
        <f>BD199*VLOOKUP('Données projet'!$B$11,Paramètres!$A$1:$I$89,3,0)*VLOOKUP('Données projet'!$B$11,Paramètres!$A$1:$I$89,5,0)</f>
        <v>-5.1431925385259088E-14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462.677457131175</v>
      </c>
      <c r="BJ199" s="62">
        <f t="shared" si="206"/>
        <v>291.78368401945909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9.1548781140205773E-2</v>
      </c>
      <c r="BR199" s="23">
        <f>EXP(-LN(2)/2)*BR198+(1-EXP(-LN(2)/2))/(LN(2)/2)*BL199*BO199*VLOOKUP('Données projet'!$B$11,Paramètres!$A$1:$I$89,3,0)*0.475*44/12</f>
        <v>1.5416345654391005E-24</v>
      </c>
      <c r="BS199" s="24">
        <f t="shared" si="169"/>
        <v>9.1548781140205773E-2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69.425131801280898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-5.6843418860808015E-14</v>
      </c>
      <c r="BZ199" s="14">
        <f>BY199*VLOOKUP('Données projet'!$B$12,Paramètres!$A$1:$I$89,3,0)*VLOOKUP('Données projet'!$B$12,Paramètres!$A$1:$I$89,5,0)</f>
        <v>-3.1036506698001178E-14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302.37244372118971</v>
      </c>
      <c r="CE199" s="62">
        <f t="shared" si="207"/>
        <v>439.56450354660171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0.28149953381298376</v>
      </c>
      <c r="CL199" s="23">
        <f>EXP(-LN(2)/25)*CL198+(1-EXP(-LN(2)/25))/(LN(2)/25)*Calculateur!CG199*Calculateur!CI199*VLOOKUP('Données projet'!$B$12,Paramètres!$A$1:$I$89,3,0)*0.475*44/12</f>
        <v>0.16948242272156211</v>
      </c>
      <c r="CM199" s="23">
        <f>EXP(-LN(2)/2)*CM198+(1-EXP(-LN(2)/2))/(LN(2)/2)*CG199*CJ199*VLOOKUP('Données projet'!$B$12,Paramètres!$A$1:$I$89,3,0)*0.475*44/12</f>
        <v>1.6596431491906039E-24</v>
      </c>
      <c r="CN199" s="24">
        <f t="shared" si="172"/>
        <v>0.45098195653454587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69.425131801280898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2.8421709430404007E-14</v>
      </c>
      <c r="CU199" s="18">
        <f>CT199*VLOOKUP('Données projet'!$B$13,Paramètres!$A$1:$I$89,3,0)*VLOOKUP('Données projet'!$B$13,Paramètres!$A$1:$I$89,5,0)</f>
        <v>2.0838797354372217E-14</v>
      </c>
      <c r="CV199" s="14">
        <f t="shared" si="173"/>
        <v>3.7575774393093487E-13</v>
      </c>
      <c r="CW199" s="22">
        <f t="shared" si="174"/>
        <v>6.9073897607190981E-13</v>
      </c>
      <c r="CX199" s="62">
        <f t="shared" si="196"/>
        <v>291.225483271364</v>
      </c>
      <c r="CY199" s="62">
        <f ca="1">AVERAGE(OFFSET($CX$3,0,0,'Données projet'!$E$13+1,1))-AVERAGE(OFFSET($H$3,0,0,'Données projet'!$E$13+1,1))</f>
        <v>300.12722359176314</v>
      </c>
      <c r="CZ199" s="62">
        <f t="shared" si="208"/>
        <v>313.35115626175946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0.12045551077269367</v>
      </c>
      <c r="DH199" s="23">
        <f>EXP(-LN(2)/2)*DH198+(1-EXP(-LN(2)/2))/(LN(2)/2)*DB199*DE199*VLOOKUP('Données projet'!$B$13,Paramètres!$A$1:$I$89,3,0)*0.475*44/12</f>
        <v>1.5572304842241705E-24</v>
      </c>
      <c r="DI199" s="24">
        <f t="shared" si="175"/>
        <v>0.12045551077269367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69.425131801280898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69.425131801280898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69.425131801280898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69.425131801280898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69.425131801280898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3.55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13.016666666666666</v>
      </c>
      <c r="H200" s="70">
        <f t="shared" si="192"/>
        <v>204.6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69.43510447931591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-2.2737367544323206E-13</v>
      </c>
      <c r="O200" s="14">
        <f>N200*VLOOKUP('Données projet'!$B$9,Paramètres!$A$1:$I$89,3,0)*VLOOKUP('Données projet'!$B$9,Paramètres!$A$1:$I$89,5,0)</f>
        <v>-1.2710188457276673E-13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455.44531340185631</v>
      </c>
      <c r="T200" s="62">
        <f t="shared" si="204"/>
        <v>560.14861617544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0.39560026382034646</v>
      </c>
      <c r="AA200" s="23">
        <f>EXP(-LN(2)/25)*AA199+(1-EXP(-LN(2)/25))/(LN(2)/25)*Calculateur!V200*Calculateur!X200*VLOOKUP('Données projet'!$B$9,Paramètres!$A$1:$I$89,3,0)*0.475*44/12</f>
        <v>0.13868371343216823</v>
      </c>
      <c r="AB200" s="23">
        <f>EXP(-LN(2)/2)*AB199+(1-EXP(-LN(2)/2))/(LN(2)/2)*V200*Y200*VLOOKUP('Données projet'!$B$9,Paramètres!$A$1:$I$89,3,0)*0.475*44/12</f>
        <v>9.7051591327229657E-25</v>
      </c>
      <c r="AC200" s="24">
        <f t="shared" si="163"/>
        <v>0.53428397725251475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69.43510447931591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1.9895196601282805E-13</v>
      </c>
      <c r="AJ200" s="14">
        <f>AI200*VLOOKUP('Données projet'!$B$10,Paramètres!$A$1:$I$89,3,0)*VLOOKUP('Données projet'!$B$10,Paramètres!$A$1:$I$89,5,0)</f>
        <v>1.738044375088066E-13</v>
      </c>
      <c r="AK200" s="14">
        <f t="shared" si="164"/>
        <v>2.4483293633950478E-12</v>
      </c>
      <c r="AL200" s="22">
        <f t="shared" si="165"/>
        <v>4.566883036574213E-12</v>
      </c>
      <c r="AM200" s="62">
        <f t="shared" si="193"/>
        <v>291.26204975749619</v>
      </c>
      <c r="AN200" s="62">
        <f ca="1">AVERAGE(OFFSET($AM$3,0,0,'Données projet'!$E$10+1,1))-AVERAGE(OFFSET($H$3,0,0,'Données projet'!$E$10+1,1))</f>
        <v>335.71510570470264</v>
      </c>
      <c r="AO200" s="62">
        <f t="shared" si="205"/>
        <v>401.61823018046482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0.24948620568124621</v>
      </c>
      <c r="AW200" s="23">
        <f>EXP(-LN(2)/2)*AW199+(1-EXP(-LN(2)/2))/(LN(2)/2)*AQ200*AT200*VLOOKUP('Données projet'!$B$10,Paramètres!$A$1:$I$89,3,0)*0.475*44/12</f>
        <v>1.3355215353454226E-24</v>
      </c>
      <c r="AX200" s="23">
        <f t="shared" si="166"/>
        <v>0.24948620568124621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69.43510447931591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-5.6843418860808015E-14</v>
      </c>
      <c r="BE200" s="14">
        <f>BD200*VLOOKUP('Données projet'!$B$11,Paramètres!$A$1:$I$89,3,0)*VLOOKUP('Données projet'!$B$11,Paramètres!$A$1:$I$89,5,0)</f>
        <v>-5.1431925385259088E-14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462.677457131175</v>
      </c>
      <c r="BJ200" s="62">
        <f t="shared" si="206"/>
        <v>291.78368401945909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8.9045374905585686E-2</v>
      </c>
      <c r="BR200" s="23">
        <f>EXP(-LN(2)/2)*BR199+(1-EXP(-LN(2)/2))/(LN(2)/2)*BL200*BO200*VLOOKUP('Données projet'!$B$11,Paramètres!$A$1:$I$89,3,0)*0.475*44/12</f>
        <v>1.0901002553335643E-24</v>
      </c>
      <c r="BS200" s="24">
        <f t="shared" si="169"/>
        <v>8.9045374905585686E-2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69.43510447931591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-5.6843418860808015E-14</v>
      </c>
      <c r="BZ200" s="14">
        <f>BY200*VLOOKUP('Données projet'!$B$12,Paramètres!$A$1:$I$89,3,0)*VLOOKUP('Données projet'!$B$12,Paramètres!$A$1:$I$89,5,0)</f>
        <v>-3.1036506698001178E-14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302.37244372118971</v>
      </c>
      <c r="CE200" s="62">
        <f t="shared" si="207"/>
        <v>439.56450354660171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0.27597949965267304</v>
      </c>
      <c r="CL200" s="23">
        <f>EXP(-LN(2)/25)*CL199+(1-EXP(-LN(2)/25))/(LN(2)/25)*Calculateur!CG200*Calculateur!CI200*VLOOKUP('Données projet'!$B$12,Paramètres!$A$1:$I$89,3,0)*0.475*44/12</f>
        <v>0.16484791695954773</v>
      </c>
      <c r="CM200" s="23">
        <f>EXP(-LN(2)/2)*CM199+(1-EXP(-LN(2)/2))/(LN(2)/2)*CG200*CJ200*VLOOKUP('Données projet'!$B$12,Paramètres!$A$1:$I$89,3,0)*0.475*44/12</f>
        <v>1.173544925142473E-24</v>
      </c>
      <c r="CN200" s="24">
        <f t="shared" si="172"/>
        <v>0.4408274166122208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69.43510447931591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2.8421709430404007E-14</v>
      </c>
      <c r="CU200" s="18">
        <f>CT200*VLOOKUP('Données projet'!$B$13,Paramètres!$A$1:$I$89,3,0)*VLOOKUP('Données projet'!$B$13,Paramètres!$A$1:$I$89,5,0)</f>
        <v>2.0838797354372217E-14</v>
      </c>
      <c r="CV200" s="14">
        <f t="shared" si="173"/>
        <v>3.7575774393093487E-13</v>
      </c>
      <c r="CW200" s="22">
        <f t="shared" si="174"/>
        <v>6.9073897607190981E-13</v>
      </c>
      <c r="CX200" s="62">
        <f t="shared" si="196"/>
        <v>291.26204975749232</v>
      </c>
      <c r="CY200" s="62">
        <f ca="1">AVERAGE(OFFSET($CX$3,0,0,'Données projet'!$E$13+1,1))-AVERAGE(OFFSET($H$3,0,0,'Données projet'!$E$13+1,1))</f>
        <v>300.12722359176314</v>
      </c>
      <c r="CZ200" s="62">
        <f t="shared" si="208"/>
        <v>313.35115626175946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0.11716164849613436</v>
      </c>
      <c r="DH200" s="23">
        <f>EXP(-LN(2)/2)*DH199+(1-EXP(-LN(2)/2))/(LN(2)/2)*DB200*DE200*VLOOKUP('Données projet'!$B$13,Paramètres!$A$1:$I$89,3,0)*0.475*44/12</f>
        <v>1.101128235265322E-24</v>
      </c>
      <c r="DI200" s="24">
        <f t="shared" si="175"/>
        <v>0.11716164849613436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69.43510447931591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69.43510447931591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69.43510447931591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69.43510447931591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69.43510447931591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3.55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13.016666666666666</v>
      </c>
      <c r="H201" s="70">
        <f t="shared" si="192"/>
        <v>204.6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69.444904153682614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-2.2737367544323206E-13</v>
      </c>
      <c r="O201" s="14">
        <f>N201*VLOOKUP('Données projet'!$B$9,Paramètres!$A$1:$I$89,3,0)*VLOOKUP('Données projet'!$B$9,Paramètres!$A$1:$I$89,5,0)</f>
        <v>-1.2710188457276673E-13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455.44531340185631</v>
      </c>
      <c r="T201" s="62">
        <f t="shared" si="204"/>
        <v>560.14861617544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0.38784278393916477</v>
      </c>
      <c r="AA201" s="23">
        <f>EXP(-LN(2)/25)*AA200+(1-EXP(-LN(2)/25))/(LN(2)/25)*Calculateur!V201*Calculateur!X201*VLOOKUP('Données projet'!$B$9,Paramètres!$A$1:$I$89,3,0)*0.475*44/12</f>
        <v>0.13489139999530605</v>
      </c>
      <c r="AB201" s="23">
        <f>EXP(-LN(2)/2)*AB200+(1-EXP(-LN(2)/2))/(LN(2)/2)*V201*Y201*VLOOKUP('Données projet'!$B$9,Paramètres!$A$1:$I$89,3,0)*0.475*44/12</f>
        <v>6.8625838352429616E-25</v>
      </c>
      <c r="AC201" s="24">
        <f t="shared" si="163"/>
        <v>0.5227341839344708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69.444904153682614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1.9895196601282805E-13</v>
      </c>
      <c r="AJ201" s="14">
        <f>AI201*VLOOKUP('Données projet'!$B$10,Paramètres!$A$1:$I$89,3,0)*VLOOKUP('Données projet'!$B$10,Paramètres!$A$1:$I$89,5,0)</f>
        <v>1.738044375088066E-13</v>
      </c>
      <c r="AK201" s="14">
        <f t="shared" si="164"/>
        <v>2.4483293633950478E-12</v>
      </c>
      <c r="AL201" s="22">
        <f t="shared" si="165"/>
        <v>4.566883036574213E-12</v>
      </c>
      <c r="AM201" s="62">
        <f t="shared" si="193"/>
        <v>291.29798189684078</v>
      </c>
      <c r="AN201" s="62">
        <f ca="1">AVERAGE(OFFSET($AM$3,0,0,'Données projet'!$E$10+1,1))-AVERAGE(OFFSET($H$3,0,0,'Données projet'!$E$10+1,1))</f>
        <v>335.71510570470264</v>
      </c>
      <c r="AO201" s="62">
        <f t="shared" si="205"/>
        <v>401.61823018046482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0.24266399226698318</v>
      </c>
      <c r="AW201" s="23">
        <f>EXP(-LN(2)/2)*AW200+(1-EXP(-LN(2)/2))/(LN(2)/2)*AQ201*AT201*VLOOKUP('Données projet'!$B$10,Paramètres!$A$1:$I$89,3,0)*0.475*44/12</f>
        <v>9.4435633406341773E-25</v>
      </c>
      <c r="AX201" s="23">
        <f t="shared" si="166"/>
        <v>0.24266399226698318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69.444904153682614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-5.6843418860808015E-14</v>
      </c>
      <c r="BE201" s="14">
        <f>BD201*VLOOKUP('Données projet'!$B$11,Paramètres!$A$1:$I$89,3,0)*VLOOKUP('Données projet'!$B$11,Paramètres!$A$1:$I$89,5,0)</f>
        <v>-5.1431925385259088E-14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462.677457131175</v>
      </c>
      <c r="BJ201" s="62">
        <f t="shared" si="206"/>
        <v>291.78368401945909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8.661042444609969E-2</v>
      </c>
      <c r="BR201" s="23">
        <f>EXP(-LN(2)/2)*BR200+(1-EXP(-LN(2)/2))/(LN(2)/2)*BL201*BO201*VLOOKUP('Données projet'!$B$11,Paramètres!$A$1:$I$89,3,0)*0.475*44/12</f>
        <v>7.7081728271955023E-25</v>
      </c>
      <c r="BS201" s="24">
        <f t="shared" si="169"/>
        <v>8.661042444609969E-2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69.444904153682614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-5.6843418860808015E-14</v>
      </c>
      <c r="BZ201" s="14">
        <f>BY201*VLOOKUP('Données projet'!$B$12,Paramètres!$A$1:$I$89,3,0)*VLOOKUP('Données projet'!$B$12,Paramètres!$A$1:$I$89,5,0)</f>
        <v>-3.1036506698001178E-14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302.37244372118971</v>
      </c>
      <c r="CE201" s="62">
        <f t="shared" si="207"/>
        <v>439.56450354660171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0.27056770999535762</v>
      </c>
      <c r="CL201" s="23">
        <f>EXP(-LN(2)/25)*CL200+(1-EXP(-LN(2)/25))/(LN(2)/25)*Calculateur!CG201*Calculateur!CI201*VLOOKUP('Données projet'!$B$12,Paramètres!$A$1:$I$89,3,0)*0.475*44/12</f>
        <v>0.16034014200131372</v>
      </c>
      <c r="CM201" s="23">
        <f>EXP(-LN(2)/2)*CM200+(1-EXP(-LN(2)/2))/(LN(2)/2)*CG201*CJ201*VLOOKUP('Données projet'!$B$12,Paramètres!$A$1:$I$89,3,0)*0.475*44/12</f>
        <v>8.2982157459530193E-25</v>
      </c>
      <c r="CN201" s="24">
        <f t="shared" si="172"/>
        <v>0.43090785199667136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69.444904153682614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2.8421709430404007E-14</v>
      </c>
      <c r="CU201" s="18">
        <f>CT201*VLOOKUP('Données projet'!$B$13,Paramètres!$A$1:$I$89,3,0)*VLOOKUP('Données projet'!$B$13,Paramètres!$A$1:$I$89,5,0)</f>
        <v>2.0838797354372217E-14</v>
      </c>
      <c r="CV201" s="14">
        <f t="shared" si="173"/>
        <v>3.7575774393093487E-13</v>
      </c>
      <c r="CW201" s="22">
        <f t="shared" si="174"/>
        <v>6.9073897607190981E-13</v>
      </c>
      <c r="CX201" s="62">
        <f t="shared" si="196"/>
        <v>291.29798189683692</v>
      </c>
      <c r="CY201" s="62">
        <f ca="1">AVERAGE(OFFSET($CX$3,0,0,'Données projet'!$E$13+1,1))-AVERAGE(OFFSET($H$3,0,0,'Données projet'!$E$13+1,1))</f>
        <v>300.12722359176314</v>
      </c>
      <c r="CZ201" s="62">
        <f t="shared" si="208"/>
        <v>313.35115626175946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0.11395785705674426</v>
      </c>
      <c r="DH201" s="23">
        <f>EXP(-LN(2)/2)*DH200+(1-EXP(-LN(2)/2))/(LN(2)/2)*DB201*DE201*VLOOKUP('Données projet'!$B$13,Paramètres!$A$1:$I$89,3,0)*0.475*44/12</f>
        <v>7.7861524211208527E-25</v>
      </c>
      <c r="DI201" s="24">
        <f t="shared" si="175"/>
        <v>0.11395785705674426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69.444904153682614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69.444904153682614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69.444904153682614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69.444904153682614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69.444904153682614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3.55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13.016666666666666</v>
      </c>
      <c r="H202" s="70">
        <f t="shared" si="192"/>
        <v>204.6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69.454533825607811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-2.2737367544323206E-13</v>
      </c>
      <c r="O202" s="14">
        <f>N202*VLOOKUP('Données projet'!$B$9,Paramètres!$A$1:$I$89,3,0)*VLOOKUP('Données projet'!$B$9,Paramètres!$A$1:$I$89,5,0)</f>
        <v>-1.2710188457276673E-13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455.44531340185631</v>
      </c>
      <c r="T202" s="62">
        <f t="shared" si="204"/>
        <v>560.14861617544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0.38023742350685752</v>
      </c>
      <c r="AA202" s="23">
        <f>EXP(-LN(2)/25)*AA201+(1-EXP(-LN(2)/25))/(LN(2)/25)*Calculateur!V202*Calculateur!X202*VLOOKUP('Données projet'!$B$9,Paramètres!$A$1:$I$89,3,0)*0.475*44/12</f>
        <v>0.13120278756880399</v>
      </c>
      <c r="AB202" s="23">
        <f>EXP(-LN(2)/2)*AB201+(1-EXP(-LN(2)/2))/(LN(2)/2)*V202*Y202*VLOOKUP('Données projet'!$B$9,Paramètres!$A$1:$I$89,3,0)*0.475*44/12</f>
        <v>4.8525795663614828E-25</v>
      </c>
      <c r="AC202" s="24">
        <f t="shared" si="163"/>
        <v>0.51144021107566151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69.454533825607811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1.9895196601282805E-13</v>
      </c>
      <c r="AJ202" s="14">
        <f>AI202*VLOOKUP('Données projet'!$B$10,Paramètres!$A$1:$I$89,3,0)*VLOOKUP('Données projet'!$B$10,Paramètres!$A$1:$I$89,5,0)</f>
        <v>1.738044375088066E-13</v>
      </c>
      <c r="AK202" s="14">
        <f t="shared" si="164"/>
        <v>2.4483293633950478E-12</v>
      </c>
      <c r="AL202" s="22">
        <f t="shared" si="165"/>
        <v>4.566883036574213E-12</v>
      </c>
      <c r="AM202" s="62">
        <f t="shared" si="193"/>
        <v>291.33329069389987</v>
      </c>
      <c r="AN202" s="62">
        <f ca="1">AVERAGE(OFFSET($AM$3,0,0,'Données projet'!$E$10+1,1))-AVERAGE(OFFSET($H$3,0,0,'Données projet'!$E$10+1,1))</f>
        <v>335.71510570470264</v>
      </c>
      <c r="AO202" s="62">
        <f t="shared" si="205"/>
        <v>401.61823018046482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0.23602833263729778</v>
      </c>
      <c r="AW202" s="23">
        <f>EXP(-LN(2)/2)*AW201+(1-EXP(-LN(2)/2))/(LN(2)/2)*AQ202*AT202*VLOOKUP('Données projet'!$B$10,Paramètres!$A$1:$I$89,3,0)*0.475*44/12</f>
        <v>6.6776076767271131E-25</v>
      </c>
      <c r="AX202" s="23">
        <f t="shared" si="166"/>
        <v>0.23602833263729778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69.454533825607811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-5.6843418860808015E-14</v>
      </c>
      <c r="BE202" s="14">
        <f>BD202*VLOOKUP('Données projet'!$B$11,Paramètres!$A$1:$I$89,3,0)*VLOOKUP('Données projet'!$B$11,Paramètres!$A$1:$I$89,5,0)</f>
        <v>-5.1431925385259088E-14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462.677457131175</v>
      </c>
      <c r="BJ202" s="62">
        <f t="shared" si="206"/>
        <v>291.78368401945909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8.4242057834976819E-2</v>
      </c>
      <c r="BR202" s="23">
        <f>EXP(-LN(2)/2)*BR201+(1-EXP(-LN(2)/2))/(LN(2)/2)*BL202*BO202*VLOOKUP('Données projet'!$B$11,Paramètres!$A$1:$I$89,3,0)*0.475*44/12</f>
        <v>5.4505012766678214E-25</v>
      </c>
      <c r="BS202" s="24">
        <f t="shared" si="169"/>
        <v>8.4242057834976819E-2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69.454533825607811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-5.6843418860808015E-14</v>
      </c>
      <c r="BZ202" s="14">
        <f>BY202*VLOOKUP('Données projet'!$B$12,Paramètres!$A$1:$I$89,3,0)*VLOOKUP('Données projet'!$B$12,Paramètres!$A$1:$I$89,5,0)</f>
        <v>-3.1036506698001178E-14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302.37244372118971</v>
      </c>
      <c r="CE202" s="62">
        <f t="shared" si="207"/>
        <v>439.56450354660171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0.26526204223235639</v>
      </c>
      <c r="CL202" s="23">
        <f>EXP(-LN(2)/25)*CL201+(1-EXP(-LN(2)/25))/(LN(2)/25)*Calculateur!CG202*Calculateur!CI202*VLOOKUP('Données projet'!$B$12,Paramètres!$A$1:$I$89,3,0)*0.475*44/12</f>
        <v>0.1559556323863662</v>
      </c>
      <c r="CM202" s="23">
        <f>EXP(-LN(2)/2)*CM201+(1-EXP(-LN(2)/2))/(LN(2)/2)*CG202*CJ202*VLOOKUP('Données projet'!$B$12,Paramètres!$A$1:$I$89,3,0)*0.475*44/12</f>
        <v>5.8677246257123649E-25</v>
      </c>
      <c r="CN202" s="24">
        <f t="shared" si="172"/>
        <v>0.42121767461872262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69.454533825607811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2.8421709430404007E-14</v>
      </c>
      <c r="CU202" s="18">
        <f>CT202*VLOOKUP('Données projet'!$B$13,Paramètres!$A$1:$I$89,3,0)*VLOOKUP('Données projet'!$B$13,Paramètres!$A$1:$I$89,5,0)</f>
        <v>2.0838797354372217E-14</v>
      </c>
      <c r="CV202" s="14">
        <f t="shared" si="173"/>
        <v>3.7575774393093487E-13</v>
      </c>
      <c r="CW202" s="22">
        <f t="shared" si="174"/>
        <v>6.9073897607190981E-13</v>
      </c>
      <c r="CX202" s="62">
        <f t="shared" si="196"/>
        <v>291.333290693896</v>
      </c>
      <c r="CY202" s="62">
        <f ca="1">AVERAGE(OFFSET($CX$3,0,0,'Données projet'!$E$13+1,1))-AVERAGE(OFFSET($H$3,0,0,'Données projet'!$E$13+1,1))</f>
        <v>300.12722359176314</v>
      </c>
      <c r="CZ202" s="62">
        <f t="shared" si="208"/>
        <v>313.35115626175946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0.11084167346274434</v>
      </c>
      <c r="DH202" s="23">
        <f>EXP(-LN(2)/2)*DH201+(1-EXP(-LN(2)/2))/(LN(2)/2)*DB202*DE202*VLOOKUP('Données projet'!$B$13,Paramètres!$A$1:$I$89,3,0)*0.475*44/12</f>
        <v>5.50564117632661E-25</v>
      </c>
      <c r="DI202" s="24">
        <f t="shared" si="175"/>
        <v>0.11084167346274434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69.454533825607811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69.454533825607811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69.454533825607811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69.454533825607811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69.454533825607811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3.55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52.25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13.016666666666666</v>
      </c>
      <c r="H203" s="70">
        <f t="shared" si="192"/>
        <v>204.6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69.463996444253837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-2.2737367544323206E-13</v>
      </c>
      <c r="O203" s="14">
        <f>N203*VLOOKUP('Données projet'!$B$9,Paramètres!$A$1:$I$89,3,0)*VLOOKUP('Données projet'!$B$9,Paramètres!$A$1:$I$89,5,0)</f>
        <v>-1.2710188457276673E-13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455.44531340185631</v>
      </c>
      <c r="T203" s="62">
        <f t="shared" si="204"/>
        <v>560.14861617544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0.372781199553816</v>
      </c>
      <c r="AA203" s="23">
        <f>EXP(-LN(2)/25)*AA202+(1-EXP(-LN(2)/25))/(LN(2)/25)*Calculateur!V203*Calculateur!X203*VLOOKUP('Données projet'!$B$9,Paramètres!$A$1:$I$89,3,0)*0.475*44/12</f>
        <v>0.12761504044308031</v>
      </c>
      <c r="AB203" s="23">
        <f>EXP(-LN(2)/2)*AB202+(1-EXP(-LN(2)/2))/(LN(2)/2)*V203*Y203*VLOOKUP('Données projet'!$B$9,Paramètres!$A$1:$I$89,3,0)*0.475*44/12</f>
        <v>3.4312919176214808E-25</v>
      </c>
      <c r="AC203" s="24">
        <f t="shared" si="163"/>
        <v>0.50039623999689631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69.463996444253837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1.9895196601282805E-13</v>
      </c>
      <c r="AJ203" s="14">
        <f>AI203*VLOOKUP('Données projet'!$B$10,Paramètres!$A$1:$I$89,3,0)*VLOOKUP('Données projet'!$B$10,Paramètres!$A$1:$I$89,5,0)</f>
        <v>1.738044375088066E-13</v>
      </c>
      <c r="AK203" s="14">
        <f t="shared" si="164"/>
        <v>2.4483293633950478E-12</v>
      </c>
      <c r="AL203" s="22">
        <f t="shared" si="165"/>
        <v>4.566883036574213E-12</v>
      </c>
      <c r="AM203" s="62">
        <f t="shared" si="193"/>
        <v>291.36798696226862</v>
      </c>
      <c r="AN203" s="62">
        <f ca="1">AVERAGE(OFFSET($AM$3,0,0,'Données projet'!$E$10+1,1))-AVERAGE(OFFSET($H$3,0,0,'Données projet'!$E$10+1,1))</f>
        <v>335.71510570470264</v>
      </c>
      <c r="AO203" s="62">
        <f t="shared" si="205"/>
        <v>401.61823018046482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0.2295741254691403</v>
      </c>
      <c r="AW203" s="23">
        <f>EXP(-LN(2)/2)*AW202+(1-EXP(-LN(2)/2))/(LN(2)/2)*AQ203*AT203*VLOOKUP('Données projet'!$B$10,Paramètres!$A$1:$I$89,3,0)*0.475*44/12</f>
        <v>4.7217816703170886E-25</v>
      </c>
      <c r="AX203" s="23">
        <f t="shared" si="166"/>
        <v>0.2295741254691403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69.463996444253837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-5.6843418860808015E-14</v>
      </c>
      <c r="BE203" s="14">
        <f>BD203*VLOOKUP('Données projet'!$B$11,Paramètres!$A$1:$I$89,3,0)*VLOOKUP('Données projet'!$B$11,Paramètres!$A$1:$I$89,5,0)</f>
        <v>-5.1431925385259088E-14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462.677457131175</v>
      </c>
      <c r="BJ203" s="62">
        <f t="shared" si="206"/>
        <v>291.78368401945909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8.1938454333382094E-2</v>
      </c>
      <c r="BR203" s="23">
        <f>EXP(-LN(2)/2)*BR202+(1-EXP(-LN(2)/2))/(LN(2)/2)*BL203*BO203*VLOOKUP('Données projet'!$B$11,Paramètres!$A$1:$I$89,3,0)*0.475*44/12</f>
        <v>3.8540864135977511E-25</v>
      </c>
      <c r="BS203" s="24">
        <f t="shared" si="169"/>
        <v>8.1938454333382094E-2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69.463996444253837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-5.6843418860808015E-14</v>
      </c>
      <c r="BZ203" s="14">
        <f>BY203*VLOOKUP('Données projet'!$B$12,Paramètres!$A$1:$I$89,3,0)*VLOOKUP('Données projet'!$B$12,Paramètres!$A$1:$I$89,5,0)</f>
        <v>-3.1036506698001178E-14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302.37244372118971</v>
      </c>
      <c r="CE203" s="62">
        <f t="shared" si="207"/>
        <v>439.56450354660171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0.2600604153780498</v>
      </c>
      <c r="CL203" s="23">
        <f>EXP(-LN(2)/25)*CL202+(1-EXP(-LN(2)/25))/(LN(2)/25)*Calculateur!CG203*Calculateur!CI203*VLOOKUP('Données projet'!$B$12,Paramètres!$A$1:$I$89,3,0)*0.475*44/12</f>
        <v>0.15169101741741076</v>
      </c>
      <c r="CM203" s="23">
        <f>EXP(-LN(2)/2)*CM202+(1-EXP(-LN(2)/2))/(LN(2)/2)*CG203*CJ203*VLOOKUP('Données projet'!$B$12,Paramètres!$A$1:$I$89,3,0)*0.475*44/12</f>
        <v>4.1491078729765096E-25</v>
      </c>
      <c r="CN203" s="24">
        <f t="shared" si="172"/>
        <v>0.41175143279546056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69.463996444253837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2.8421709430404007E-14</v>
      </c>
      <c r="CU203" s="18">
        <f>CT203*VLOOKUP('Données projet'!$B$13,Paramètres!$A$1:$I$89,3,0)*VLOOKUP('Données projet'!$B$13,Paramètres!$A$1:$I$89,5,0)</f>
        <v>2.0838797354372217E-14</v>
      </c>
      <c r="CV203" s="14">
        <f t="shared" si="173"/>
        <v>3.7575774393093487E-13</v>
      </c>
      <c r="CW203" s="22">
        <f t="shared" si="174"/>
        <v>6.9073897607190981E-13</v>
      </c>
      <c r="CX203" s="62">
        <f t="shared" si="196"/>
        <v>291.36798696226475</v>
      </c>
      <c r="CY203" s="62">
        <f ca="1">AVERAGE(OFFSET($CX$3,0,0,'Données projet'!$E$13+1,1))-AVERAGE(OFFSET($H$3,0,0,'Données projet'!$E$13+1,1))</f>
        <v>300.12722359176314</v>
      </c>
      <c r="CZ203" s="62">
        <f t="shared" si="208"/>
        <v>313.35115626175946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0.10781070207299533</v>
      </c>
      <c r="DH203" s="23">
        <f>EXP(-LN(2)/2)*DH202+(1-EXP(-LN(2)/2))/(LN(2)/2)*DB203*DE203*VLOOKUP('Données projet'!$B$13,Paramètres!$A$1:$I$89,3,0)*0.475*44/12</f>
        <v>3.8930762105604263E-25</v>
      </c>
      <c r="DI203" s="24">
        <f t="shared" si="175"/>
        <v>0.10781070207299533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69.463996444253837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69.463996444253837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69.463996444253837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69.463996444253837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69.463996444253837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1.3070441688874561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1.3467943429205997</v>
      </c>
      <c r="BA205" s="88">
        <f>EXP(LN('Données projet'!B88)/'Données projet'!A88)</f>
        <v>1.2392705892426346</v>
      </c>
      <c r="BV205" s="88">
        <f>EXP(LN('Données projet'!B114)/'Données projet'!A114)</f>
        <v>1.5556353708263266</v>
      </c>
      <c r="CQ205" s="88">
        <f>EXP(LN('Données projet'!B140)/'Données projet'!A140)</f>
        <v>1.2765231539157764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J19" sqref="J19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Douglas</v>
      </c>
      <c r="B6" s="155">
        <f>'Données projet'!D9</f>
        <v>3.6608000000000001</v>
      </c>
      <c r="C6" s="156">
        <f ca="1">IF(OR('Données projet'!B9="",'Données projet'!C9="",'Données projet'!C9=0%),0,Calculateur!S3)</f>
        <v>455.44531340185631</v>
      </c>
      <c r="D6" s="156">
        <f>IF(OR('Données projet'!B9="",'Données projet'!C9="",'Données projet'!C9=0%),0,Calculateur!T3)</f>
        <v>560.14861617544</v>
      </c>
      <c r="E6" s="156">
        <f ca="1">MIN(C6,D6)</f>
        <v>455.44531340185631</v>
      </c>
      <c r="F6" s="156">
        <f ca="1">E6*B6</f>
        <v>1667.2942033015156</v>
      </c>
      <c r="G6" s="156">
        <f ca="1">F6*(100%-'Données projet'!$C$24)*(100%-'Données projet'!$C$25)*(100%-'Données projet'!$C$26)*(100%-'Données projet'!$C$27)</f>
        <v>1500.5647829713641</v>
      </c>
      <c r="H6" s="157">
        <f>IF(OR('Données projet'!B9="",'Données projet'!C9="",'Données projet'!C9=0%),0,AVERAGE(Calculateur!$AC$3:$AC$33)*B6)</f>
        <v>16.350532155698215</v>
      </c>
      <c r="I6" s="158">
        <f>H6*(100%-'Données projet'!$C$24)*(100%-'Données projet'!$C$25)*(100%-'Données projet'!$C$26)*(100%-'Données projet'!$C$27)</f>
        <v>14.715478940128394</v>
      </c>
      <c r="J6" s="159">
        <f>IF(OR('Données projet'!B9="",'Données projet'!C9="",'Données projet'!C9=0%),0,SUM(Calculateur!$V$3:$V$33)*VLOOKUP('Données projet'!$B$9,Paramètres!$A$1:$I$89,9,0)*B6)</f>
        <v>170.007552</v>
      </c>
      <c r="K6" s="160">
        <f>J6*(100%-'Données projet'!$C$24)*(100%-'Données projet'!$C$25)*(100%-'Données projet'!$C$26)*(100%-'Données projet'!$C$27)</f>
        <v>153.00679680000002</v>
      </c>
      <c r="L6" s="161">
        <f ca="1">G6+I6+K6</f>
        <v>1668.2870587114926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Chêne rouge d'Amérique</v>
      </c>
      <c r="B7" s="163">
        <f>'Données projet'!D10</f>
        <v>0.30720000000000003</v>
      </c>
      <c r="C7" s="156">
        <f ca="1">IF(OR('Données projet'!B10="",'Données projet'!C10="",'Données projet'!C10=0%),0,Calculateur!AN3)</f>
        <v>335.71510570470264</v>
      </c>
      <c r="D7" s="156">
        <f>IF(OR('Données projet'!B10="",'Données projet'!C10="",'Données projet'!C10=0%),0,Calculateur!AO3)</f>
        <v>401.61823018046482</v>
      </c>
      <c r="E7" s="156">
        <f t="shared" ref="E7:E15" ca="1" si="0">MIN(C7,D7)</f>
        <v>335.71510570470264</v>
      </c>
      <c r="F7" s="156">
        <f t="shared" ref="F7:F15" ca="1" si="1">E7*B7</f>
        <v>103.13168047248466</v>
      </c>
      <c r="G7" s="156">
        <f ca="1">F7*(100%-'Données projet'!$C$24)*(100%-'Données projet'!$C$25)*(100%-'Données projet'!$C$26)*(100%-'Données projet'!$C$27)</f>
        <v>92.818512425236193</v>
      </c>
      <c r="H7" s="164">
        <f>IF(OR('Données projet'!B10="",'Données projet'!C10="",'Données projet'!C10=0%),0,AVERAGE(Calculateur!$AX$3:$AX$33)*B7)</f>
        <v>2.7277193794012726</v>
      </c>
      <c r="I7" s="158">
        <f>H7*(100%-'Données projet'!$C$24)*(100%-'Données projet'!$C$25)*(100%-'Données projet'!$C$26)*(100%-'Données projet'!$C$27)</f>
        <v>2.4549474414611456</v>
      </c>
      <c r="J7" s="159">
        <f>IF(OR('Données projet'!B10="",'Données projet'!C10="",'Données projet'!C10=0%),0,SUM(Calculateur!$AQ$3:$AQ$33)*VLOOKUP('Données projet'!$B$10,Paramètres!$A$1:$I$89,9,0)*B7)</f>
        <v>11.6736</v>
      </c>
      <c r="K7" s="160">
        <f>J7*(100%-'Données projet'!$C$24)*(100%-'Données projet'!$C$25)*(100%-'Données projet'!$C$26)*(100%-'Données projet'!$C$27)</f>
        <v>10.50624</v>
      </c>
      <c r="L7" s="161">
        <f t="shared" ref="L7:L15" ca="1" si="2">G7+I7+K7</f>
        <v>105.77969986669734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Chêne sessile</v>
      </c>
      <c r="B8" s="163">
        <f>'Données projet'!D11</f>
        <v>0.30080000000000001</v>
      </c>
      <c r="C8" s="156">
        <f ca="1">IF(OR('Données projet'!B11="",'Données projet'!C11="",'Données projet'!C11=0%),0,Calculateur!BI3)</f>
        <v>462.677457131175</v>
      </c>
      <c r="D8" s="156">
        <f>IF(OR('Données projet'!B11="",'Données projet'!C11="",'Données projet'!C11=0%),0,Calculateur!BJ3)</f>
        <v>291.78368401945909</v>
      </c>
      <c r="E8" s="156">
        <f t="shared" ca="1" si="0"/>
        <v>291.78368401945909</v>
      </c>
      <c r="F8" s="156">
        <f t="shared" ca="1" si="1"/>
        <v>87.7685321530533</v>
      </c>
      <c r="G8" s="156">
        <f ca="1">F8*(100%-'Données projet'!$C$24)*(100%-'Données projet'!$C$25)*(100%-'Données projet'!$C$26)*(100%-'Données projet'!$C$27)</f>
        <v>78.991678937747977</v>
      </c>
      <c r="H8" s="164">
        <f>IF(OR('Données projet'!B11="",'Données projet'!C11="",'Données projet'!C11=0%),0,AVERAGE(Calculateur!$BS$3:$BS$33)*B8)</f>
        <v>0.8549060101708652</v>
      </c>
      <c r="I8" s="158">
        <f>H8*(100%-'Données projet'!$C$24)*(100%-'Données projet'!$C$25)*(100%-'Données projet'!$C$26)*(100%-'Données projet'!$C$27)</f>
        <v>0.76941540915377871</v>
      </c>
      <c r="J8" s="159">
        <f>IF(OR('Données projet'!B11="",'Données projet'!C11="",'Données projet'!C11=0%),0,SUM(Calculateur!$BL$3:$BL$33)*VLOOKUP('Données projet'!$B$11,Paramètres!$A$1:$I$89,9,0)*B8)</f>
        <v>4.6623999999999999</v>
      </c>
      <c r="K8" s="160">
        <f>J8*(100%-'Données projet'!$C$24)*(100%-'Données projet'!$C$25)*(100%-'Données projet'!$C$26)*(100%-'Données projet'!$C$27)</f>
        <v>4.1961599999999999</v>
      </c>
      <c r="L8" s="161">
        <f t="shared" ca="1" si="2"/>
        <v>83.957254346901763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>Mélèze hybride</v>
      </c>
      <c r="B9" s="163">
        <f>'Données projet'!D12</f>
        <v>1.8304</v>
      </c>
      <c r="C9" s="156">
        <f ca="1">IF(OR('Données projet'!B12="",'Données projet'!C12="",'Données projet'!C12=0%),0,Calculateur!CD3)</f>
        <v>302.37244372118971</v>
      </c>
      <c r="D9" s="156">
        <f>IF(OR('Données projet'!B12="",'Données projet'!C12="",'Données projet'!C12=0%),0,Calculateur!CE3)</f>
        <v>439.56450354660171</v>
      </c>
      <c r="E9" s="156">
        <f t="shared" ca="1" si="0"/>
        <v>302.37244372118971</v>
      </c>
      <c r="F9" s="156">
        <f t="shared" ca="1" si="1"/>
        <v>553.46252098726563</v>
      </c>
      <c r="G9" s="156">
        <f ca="1">F9*(100%-'Données projet'!$C$24)*(100%-'Données projet'!$C$25)*(100%-'Données projet'!$C$26)*(100%-'Données projet'!$C$27)</f>
        <v>498.11626888853908</v>
      </c>
      <c r="H9" s="164">
        <f>IF(OR('Données projet'!B12="",'Données projet'!C12="",'Données projet'!C12=0%),0,AVERAGE(Calculateur!$CN$3:$CN$33)*B9)</f>
        <v>26.129938493894446</v>
      </c>
      <c r="I9" s="158">
        <f>H9*(100%-'Données projet'!$C$24)*(100%-'Données projet'!$C$25)*(100%-'Données projet'!$C$26)*(100%-'Données projet'!$C$27)</f>
        <v>23.516944644505003</v>
      </c>
      <c r="J9" s="159">
        <f>IF(OR('Données projet'!B12="",'Données projet'!C12="",'Données projet'!C12=0%),0,SUM(Calculateur!$CG$3:$CG$33)*VLOOKUP('Données projet'!$B$12,Paramètres!$A$1:$I$89,9,0)*B9)</f>
        <v>193.61971199999999</v>
      </c>
      <c r="K9" s="160">
        <f>J9*(100%-'Données projet'!$C$24)*(100%-'Données projet'!$C$25)*(100%-'Données projet'!$C$26)*(100%-'Données projet'!$C$27)</f>
        <v>174.25774079999999</v>
      </c>
      <c r="L9" s="161">
        <f t="shared" ca="1" si="2"/>
        <v>695.89095433304408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>Châtaignier</v>
      </c>
      <c r="B10" s="163">
        <f>'Données projet'!D13</f>
        <v>0.30080000000000001</v>
      </c>
      <c r="C10" s="156">
        <f ca="1">IF(OR('Données projet'!B13="",'Données projet'!C13="",'Données projet'!C13=0%),0,Calculateur!CY3)</f>
        <v>300.12722359176314</v>
      </c>
      <c r="D10" s="156">
        <f>IF(OR('Données projet'!B13="",'Données projet'!C13="",'Données projet'!C13=0%),0,Calculateur!CZ3)</f>
        <v>313.35115626175946</v>
      </c>
      <c r="E10" s="156">
        <f t="shared" ca="1" si="0"/>
        <v>300.12722359176314</v>
      </c>
      <c r="F10" s="156">
        <f t="shared" ca="1" si="1"/>
        <v>90.278268856402363</v>
      </c>
      <c r="G10" s="156">
        <f ca="1">F10*(100%-'Données projet'!$C$24)*(100%-'Données projet'!$C$25)*(100%-'Données projet'!$C$26)*(100%-'Données projet'!$C$27)</f>
        <v>81.250441970762125</v>
      </c>
      <c r="H10" s="164">
        <f>IF(OR('Données projet'!B13="",'Données projet'!C13="",'Données projet'!C13=0%),0,AVERAGE(Calculateur!$DI$3:$DI$33)*B10)</f>
        <v>0.90675148979704734</v>
      </c>
      <c r="I10" s="158">
        <f>H10*(100%-'Données projet'!$C$24)*(100%-'Données projet'!$C$25)*(100%-'Données projet'!$C$26)*(100%-'Données projet'!$C$27)</f>
        <v>0.81607634081734259</v>
      </c>
      <c r="J10" s="159">
        <f>IF(OR('Données projet'!B13="",'Données projet'!C13="",'Données projet'!C13=0%),0,SUM(Calculateur!$DB$3:$DB$33)*VLOOKUP('Données projet'!$B$13,Paramètres!$A$1:$I$89,9,0)*B10)</f>
        <v>9.3247999999999998</v>
      </c>
      <c r="K10" s="160">
        <f>J10*(100%-'Données projet'!$C$24)*(100%-'Données projet'!$C$25)*(100%-'Données projet'!$C$26)*(100%-'Données projet'!$C$27)</f>
        <v>8.3923199999999998</v>
      </c>
      <c r="L10" s="161">
        <f t="shared" ca="1" si="2"/>
        <v>90.45883831157947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2501.9352057707215</v>
      </c>
      <c r="G16" s="175">
        <f t="shared" ca="1" si="3"/>
        <v>2251.7416851936496</v>
      </c>
      <c r="H16" s="176">
        <f t="shared" si="3"/>
        <v>46.969847528961843</v>
      </c>
      <c r="I16" s="176">
        <f t="shared" si="3"/>
        <v>42.272862776065658</v>
      </c>
      <c r="J16" s="177">
        <f t="shared" si="3"/>
        <v>389.28806399999996</v>
      </c>
      <c r="K16" s="177">
        <f t="shared" si="3"/>
        <v>350.35925759999998</v>
      </c>
      <c r="L16" s="178">
        <f t="shared" ca="1" si="3"/>
        <v>2644.3738055697149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Douglas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Chêne rouge d'Amérique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Chêne sessile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>Mélèze hybride</v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>Châtaignier</v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D3" zoomScale="90" zoomScaleNormal="90" workbookViewId="0">
      <selection activeCell="T58" sqref="T58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Douglas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5746.3953916721293</v>
      </c>
      <c r="U10" s="190">
        <f>'Données projet'!D9</f>
        <v>3.6608000000000001</v>
      </c>
      <c r="V10" s="189">
        <f>U10*T10</f>
        <v>21036.404249833333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Chêne rouge d'Amérique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1639.0556540421335</v>
      </c>
      <c r="U11" s="190">
        <f>'Données projet'!D10</f>
        <v>0.30720000000000003</v>
      </c>
      <c r="V11" s="189">
        <f t="shared" ref="V11" si="0">U11*T11</f>
        <v>503.51789692174344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Chêne sessile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901.56288615561471</v>
      </c>
      <c r="U12" s="190">
        <f>'Données projet'!D11</f>
        <v>0.30080000000000001</v>
      </c>
      <c r="V12" s="189">
        <f t="shared" ref="V12:V19" si="1">U12*T12</f>
        <v>271.19011615560891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>Mélèze hybride</v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4456.5371629769979</v>
      </c>
      <c r="U13" s="190">
        <f>'Données projet'!D12</f>
        <v>1.8304</v>
      </c>
      <c r="V13" s="189">
        <f t="shared" si="1"/>
        <v>8157.2456231130973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Douglas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>Châtaignier</v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1034.7393059587876</v>
      </c>
      <c r="U14" s="190">
        <f>'Données projet'!D13</f>
        <v>0.30080000000000001</v>
      </c>
      <c r="V14" s="189">
        <f t="shared" si="1"/>
        <v>311.24958323240332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>
        <v>1</v>
      </c>
      <c r="I20" s="204">
        <v>3481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2</v>
      </c>
      <c r="I21" s="204">
        <v>625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3</v>
      </c>
      <c r="I22" s="204">
        <v>680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19</v>
      </c>
      <c r="B23" s="193">
        <f>'Données projet'!D36</f>
        <v>0</v>
      </c>
      <c r="C23" s="206"/>
      <c r="D23" s="194">
        <f>B23*C23</f>
        <v>0</v>
      </c>
      <c r="E23" s="206"/>
      <c r="F23" s="261"/>
      <c r="H23" s="203">
        <v>4</v>
      </c>
      <c r="I23" s="204">
        <v>735</v>
      </c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-2460.5907790037418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25</v>
      </c>
      <c r="B24" s="193">
        <f>'Données projet'!D37</f>
        <v>54</v>
      </c>
      <c r="C24" s="206">
        <v>15</v>
      </c>
      <c r="D24" s="194">
        <f t="shared" ref="D24:D42" si="2">B24*C24</f>
        <v>810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30</v>
      </c>
      <c r="B25" s="193">
        <f>'Données projet'!D38</f>
        <v>54</v>
      </c>
      <c r="C25" s="206">
        <v>20</v>
      </c>
      <c r="D25" s="194">
        <f t="shared" si="2"/>
        <v>1080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1">
        <f ca="1">T23-T24</f>
        <v>-2460.5907790037418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35</v>
      </c>
      <c r="B26" s="193">
        <f>'Données projet'!D39</f>
        <v>69</v>
      </c>
      <c r="C26" s="206">
        <v>28</v>
      </c>
      <c r="D26" s="194">
        <f t="shared" si="2"/>
        <v>1932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est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40</v>
      </c>
      <c r="B27" s="193">
        <f>'Données projet'!D40</f>
        <v>72</v>
      </c>
      <c r="C27" s="206">
        <v>28</v>
      </c>
      <c r="D27" s="194">
        <f t="shared" si="2"/>
        <v>2016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45</v>
      </c>
      <c r="B28" s="193">
        <f>'Données projet'!D41</f>
        <v>66</v>
      </c>
      <c r="C28" s="206">
        <v>35</v>
      </c>
      <c r="D28" s="194">
        <f t="shared" si="2"/>
        <v>2310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50</v>
      </c>
      <c r="B29" s="193">
        <f>'Données projet'!D42</f>
        <v>48</v>
      </c>
      <c r="C29" s="206">
        <v>40</v>
      </c>
      <c r="D29" s="194">
        <f t="shared" si="2"/>
        <v>1920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55</v>
      </c>
      <c r="B30" s="193">
        <f>'Données projet'!D43</f>
        <v>35</v>
      </c>
      <c r="C30" s="206">
        <v>50</v>
      </c>
      <c r="D30" s="194">
        <f t="shared" si="2"/>
        <v>1750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60</v>
      </c>
      <c r="B31" s="193">
        <f>'Données projet'!D44</f>
        <v>656</v>
      </c>
      <c r="C31" s="206">
        <v>80</v>
      </c>
      <c r="D31" s="194">
        <f t="shared" si="2"/>
        <v>52480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Chêne rouge d'Amérique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15</v>
      </c>
      <c r="B54" s="193">
        <f>'Données projet'!D62</f>
        <v>21</v>
      </c>
      <c r="C54" s="204">
        <v>5</v>
      </c>
      <c r="D54" s="191">
        <f>B54*C54</f>
        <v>105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20</v>
      </c>
      <c r="B55" s="193">
        <f>'Données projet'!D63</f>
        <v>43</v>
      </c>
      <c r="C55" s="204">
        <v>7</v>
      </c>
      <c r="D55" s="191">
        <f t="shared" ref="D55:D73" si="4">B55*C55</f>
        <v>301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25</v>
      </c>
      <c r="B56" s="193">
        <f>'Données projet'!D64</f>
        <v>44</v>
      </c>
      <c r="C56" s="204">
        <v>9</v>
      </c>
      <c r="D56" s="191">
        <f t="shared" si="4"/>
        <v>396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44</v>
      </c>
      <c r="C57" s="204">
        <v>9</v>
      </c>
      <c r="D57" s="191">
        <f t="shared" si="4"/>
        <v>396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35</v>
      </c>
      <c r="B58" s="193">
        <f>'Données projet'!D66</f>
        <v>42</v>
      </c>
      <c r="C58" s="204">
        <v>9</v>
      </c>
      <c r="D58" s="191">
        <f t="shared" si="4"/>
        <v>378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40</v>
      </c>
      <c r="B59" s="193">
        <f>'Données projet'!D67</f>
        <v>39</v>
      </c>
      <c r="C59" s="204">
        <v>14</v>
      </c>
      <c r="D59" s="191">
        <f t="shared" si="4"/>
        <v>546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45</v>
      </c>
      <c r="B60" s="193">
        <f>'Données projet'!D68</f>
        <v>36</v>
      </c>
      <c r="C60" s="204">
        <v>14</v>
      </c>
      <c r="D60" s="191">
        <f t="shared" si="4"/>
        <v>504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50</v>
      </c>
      <c r="B61" s="193">
        <f>'Données projet'!D69</f>
        <v>33</v>
      </c>
      <c r="C61" s="204">
        <v>14</v>
      </c>
      <c r="D61" s="191">
        <f t="shared" si="4"/>
        <v>462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55</v>
      </c>
      <c r="B62" s="193">
        <f>'Données projet'!D70</f>
        <v>29</v>
      </c>
      <c r="C62" s="204">
        <v>20</v>
      </c>
      <c r="D62" s="191">
        <f t="shared" si="4"/>
        <v>580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60</v>
      </c>
      <c r="B63" s="193">
        <f>'Données projet'!D71</f>
        <v>26</v>
      </c>
      <c r="C63" s="204">
        <v>25</v>
      </c>
      <c r="D63" s="191">
        <f t="shared" si="4"/>
        <v>650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65</v>
      </c>
      <c r="B64" s="193">
        <f>'Données projet'!D72</f>
        <v>23</v>
      </c>
      <c r="C64" s="204">
        <v>30</v>
      </c>
      <c r="D64" s="191">
        <f t="shared" si="4"/>
        <v>690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70</v>
      </c>
      <c r="B65" s="193">
        <f>'Données projet'!D73</f>
        <v>249</v>
      </c>
      <c r="C65" s="204">
        <v>80</v>
      </c>
      <c r="D65" s="191">
        <f t="shared" si="4"/>
        <v>19920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Chêne sessile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str">
        <f>IF(O83+1&lt;=MIN('Données projet'!$E$9:$E$18),O83+1,"STOP")</f>
        <v>STOP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20</v>
      </c>
      <c r="B85" s="193">
        <f>'Données projet'!D88</f>
        <v>6</v>
      </c>
      <c r="C85" s="204">
        <v>4</v>
      </c>
      <c r="D85" s="191">
        <f>B85*C85</f>
        <v>24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25</v>
      </c>
      <c r="B86" s="193">
        <f>'Données projet'!D89</f>
        <v>28</v>
      </c>
      <c r="C86" s="204">
        <v>8</v>
      </c>
      <c r="D86" s="191">
        <f t="shared" ref="D86:D104" si="6">B86*C86</f>
        <v>224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30</v>
      </c>
      <c r="B87" s="193">
        <f>'Données projet'!D90</f>
        <v>28</v>
      </c>
      <c r="C87" s="204">
        <v>10</v>
      </c>
      <c r="D87" s="191">
        <f t="shared" si="6"/>
        <v>280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35</v>
      </c>
      <c r="B88" s="193">
        <f>'Données projet'!D91</f>
        <v>28</v>
      </c>
      <c r="C88" s="204">
        <v>10</v>
      </c>
      <c r="D88" s="191">
        <f t="shared" si="6"/>
        <v>280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40</v>
      </c>
      <c r="B89" s="193">
        <f>'Données projet'!D92</f>
        <v>28</v>
      </c>
      <c r="C89" s="204">
        <v>10</v>
      </c>
      <c r="D89" s="191">
        <f t="shared" si="6"/>
        <v>280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45</v>
      </c>
      <c r="B90" s="193">
        <f>'Données projet'!D93</f>
        <v>28</v>
      </c>
      <c r="C90" s="204">
        <v>10</v>
      </c>
      <c r="D90" s="191">
        <f t="shared" si="6"/>
        <v>280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50</v>
      </c>
      <c r="B91" s="193">
        <f>'Données projet'!D94</f>
        <v>28</v>
      </c>
      <c r="C91" s="204">
        <v>15</v>
      </c>
      <c r="D91" s="191">
        <f t="shared" si="6"/>
        <v>420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55</v>
      </c>
      <c r="B92" s="193">
        <f>'Données projet'!D95</f>
        <v>28</v>
      </c>
      <c r="C92" s="204">
        <v>15</v>
      </c>
      <c r="D92" s="191">
        <f t="shared" si="6"/>
        <v>420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60</v>
      </c>
      <c r="B93" s="193">
        <f>'Données projet'!D96</f>
        <v>28</v>
      </c>
      <c r="C93" s="204">
        <v>15</v>
      </c>
      <c r="D93" s="191">
        <f t="shared" si="6"/>
        <v>420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65</v>
      </c>
      <c r="B94" s="193">
        <f>'Données projet'!D97</f>
        <v>28</v>
      </c>
      <c r="C94" s="204">
        <v>20</v>
      </c>
      <c r="D94" s="191">
        <f t="shared" si="6"/>
        <v>560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70</v>
      </c>
      <c r="B95" s="193">
        <f>'Données projet'!D98</f>
        <v>28</v>
      </c>
      <c r="C95" s="204">
        <v>20</v>
      </c>
      <c r="D95" s="191">
        <f t="shared" si="6"/>
        <v>560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75</v>
      </c>
      <c r="B96" s="193">
        <f>'Données projet'!D99</f>
        <v>28</v>
      </c>
      <c r="C96" s="204">
        <v>20</v>
      </c>
      <c r="D96" s="191">
        <f t="shared" si="6"/>
        <v>560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80</v>
      </c>
      <c r="B97" s="193">
        <f>'Données projet'!D100</f>
        <v>28</v>
      </c>
      <c r="C97" s="204">
        <v>20</v>
      </c>
      <c r="D97" s="191">
        <f t="shared" si="6"/>
        <v>560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85</v>
      </c>
      <c r="B98" s="193">
        <f>'Données projet'!D101</f>
        <v>28</v>
      </c>
      <c r="C98" s="204">
        <v>20</v>
      </c>
      <c r="D98" s="191">
        <f t="shared" si="6"/>
        <v>560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90</v>
      </c>
      <c r="B99" s="193">
        <f>'Données projet'!D102</f>
        <v>28</v>
      </c>
      <c r="C99" s="204">
        <v>30</v>
      </c>
      <c r="D99" s="191">
        <f t="shared" si="6"/>
        <v>840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95</v>
      </c>
      <c r="B100" s="193">
        <f>'Données projet'!D103</f>
        <v>28</v>
      </c>
      <c r="C100" s="204">
        <v>30</v>
      </c>
      <c r="D100" s="191">
        <f t="shared" si="6"/>
        <v>840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100</v>
      </c>
      <c r="B101" s="193">
        <f>'Données projet'!D104</f>
        <v>27</v>
      </c>
      <c r="C101" s="204">
        <v>40</v>
      </c>
      <c r="D101" s="191">
        <f t="shared" si="6"/>
        <v>1080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105</v>
      </c>
      <c r="B102" s="193">
        <f>'Données projet'!D105</f>
        <v>26</v>
      </c>
      <c r="C102" s="204">
        <v>50</v>
      </c>
      <c r="D102" s="191">
        <f t="shared" si="6"/>
        <v>1300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110</v>
      </c>
      <c r="B103" s="193">
        <f>'Données projet'!D106</f>
        <v>25</v>
      </c>
      <c r="C103" s="204">
        <v>70</v>
      </c>
      <c r="D103" s="191">
        <f t="shared" si="6"/>
        <v>1750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115</v>
      </c>
      <c r="B104" s="193">
        <f>'Données projet'!D107</f>
        <v>321</v>
      </c>
      <c r="C104" s="204">
        <v>150</v>
      </c>
      <c r="D104" s="191">
        <f t="shared" si="6"/>
        <v>48150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>Mélèze hybride</v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10</v>
      </c>
      <c r="B116" s="193">
        <f>'Données projet'!D114</f>
        <v>26</v>
      </c>
      <c r="C116" s="204">
        <v>12</v>
      </c>
      <c r="D116" s="191">
        <f>B116*C116</f>
        <v>312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15</v>
      </c>
      <c r="B117" s="193">
        <f>'Données projet'!D115</f>
        <v>54</v>
      </c>
      <c r="C117" s="204">
        <v>12</v>
      </c>
      <c r="D117" s="191">
        <f t="shared" ref="D117:D135" si="8">B117*C117</f>
        <v>648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20</v>
      </c>
      <c r="B118" s="193">
        <f>'Données projet'!D116</f>
        <v>61</v>
      </c>
      <c r="C118" s="204">
        <v>15</v>
      </c>
      <c r="D118" s="191">
        <f t="shared" si="8"/>
        <v>915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25</v>
      </c>
      <c r="B119" s="193">
        <f>'Données projet'!D117</f>
        <v>57</v>
      </c>
      <c r="C119" s="204">
        <v>17</v>
      </c>
      <c r="D119" s="191">
        <f t="shared" si="8"/>
        <v>969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30</v>
      </c>
      <c r="B120" s="193">
        <f>'Données projet'!D118</f>
        <v>48</v>
      </c>
      <c r="C120" s="204">
        <v>20</v>
      </c>
      <c r="D120" s="191">
        <f t="shared" si="8"/>
        <v>960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35</v>
      </c>
      <c r="B121" s="193">
        <f>'Données projet'!D119</f>
        <v>38</v>
      </c>
      <c r="C121" s="204">
        <v>25</v>
      </c>
      <c r="D121" s="191">
        <f t="shared" si="8"/>
        <v>950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40</v>
      </c>
      <c r="B122" s="193">
        <f>'Données projet'!D120</f>
        <v>28</v>
      </c>
      <c r="C122" s="204">
        <v>30</v>
      </c>
      <c r="D122" s="191">
        <f t="shared" si="8"/>
        <v>840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45</v>
      </c>
      <c r="B123" s="193">
        <f>'Données projet'!D121</f>
        <v>21</v>
      </c>
      <c r="C123" s="204">
        <v>45</v>
      </c>
      <c r="D123" s="191">
        <f t="shared" si="8"/>
        <v>945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50</v>
      </c>
      <c r="B124" s="193">
        <f>'Données projet'!D122</f>
        <v>374</v>
      </c>
      <c r="C124" s="204">
        <v>60</v>
      </c>
      <c r="D124" s="191">
        <f t="shared" si="8"/>
        <v>22440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>Châtaignier</v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20</v>
      </c>
      <c r="B147" s="187">
        <f>'Données projet'!D140</f>
        <v>50</v>
      </c>
      <c r="C147" s="204">
        <v>5</v>
      </c>
      <c r="D147" s="194">
        <f>B147*C147</f>
        <v>250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25</v>
      </c>
      <c r="B148" s="187">
        <f>'Données projet'!D141</f>
        <v>37</v>
      </c>
      <c r="C148" s="204">
        <v>7</v>
      </c>
      <c r="D148" s="194">
        <f t="shared" ref="D148:D166" si="10">B148*C148</f>
        <v>259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30</v>
      </c>
      <c r="B149" s="187">
        <f>'Données projet'!D142</f>
        <v>37</v>
      </c>
      <c r="C149" s="204">
        <v>9</v>
      </c>
      <c r="D149" s="194">
        <f t="shared" si="10"/>
        <v>333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35</v>
      </c>
      <c r="B150" s="187">
        <f>'Données projet'!D143</f>
        <v>36</v>
      </c>
      <c r="C150" s="204">
        <v>9</v>
      </c>
      <c r="D150" s="194">
        <f t="shared" si="10"/>
        <v>324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40</v>
      </c>
      <c r="B151" s="187">
        <f>'Données projet'!D144</f>
        <v>33</v>
      </c>
      <c r="C151" s="204">
        <v>9</v>
      </c>
      <c r="D151" s="194">
        <f t="shared" si="10"/>
        <v>297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45</v>
      </c>
      <c r="B152" s="187">
        <f>'Données projet'!D145</f>
        <v>31</v>
      </c>
      <c r="C152" s="204">
        <v>14</v>
      </c>
      <c r="D152" s="194">
        <f t="shared" si="10"/>
        <v>434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50</v>
      </c>
      <c r="B153" s="187">
        <f>'Données projet'!D146</f>
        <v>28</v>
      </c>
      <c r="C153" s="204">
        <v>14</v>
      </c>
      <c r="D153" s="194">
        <f t="shared" si="10"/>
        <v>392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55</v>
      </c>
      <c r="B154" s="187">
        <f>'Données projet'!D147</f>
        <v>25</v>
      </c>
      <c r="C154" s="204">
        <v>14</v>
      </c>
      <c r="D154" s="194">
        <f t="shared" si="10"/>
        <v>350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60</v>
      </c>
      <c r="B155" s="187">
        <f>'Données projet'!D148</f>
        <v>22</v>
      </c>
      <c r="C155" s="204">
        <v>20</v>
      </c>
      <c r="D155" s="194">
        <f t="shared" si="10"/>
        <v>440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65</v>
      </c>
      <c r="B156" s="187">
        <f>'Données projet'!D149</f>
        <v>20</v>
      </c>
      <c r="C156" s="204">
        <v>25</v>
      </c>
      <c r="D156" s="194">
        <f t="shared" si="10"/>
        <v>500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70</v>
      </c>
      <c r="B157" s="187">
        <f>'Données projet'!D150</f>
        <v>17</v>
      </c>
      <c r="C157" s="204">
        <v>30</v>
      </c>
      <c r="D157" s="194">
        <f t="shared" si="10"/>
        <v>510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75</v>
      </c>
      <c r="B158" s="187">
        <f>'Données projet'!D151</f>
        <v>15</v>
      </c>
      <c r="C158" s="204">
        <v>40</v>
      </c>
      <c r="D158" s="194">
        <f t="shared" si="10"/>
        <v>600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80</v>
      </c>
      <c r="B159" s="187">
        <f>'Données projet'!D152</f>
        <v>13</v>
      </c>
      <c r="C159" s="204">
        <v>50</v>
      </c>
      <c r="D159" s="194">
        <f t="shared" si="10"/>
        <v>650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85</v>
      </c>
      <c r="B160" s="187">
        <f>'Données projet'!D153</f>
        <v>12</v>
      </c>
      <c r="C160" s="204">
        <v>60</v>
      </c>
      <c r="D160" s="194">
        <f t="shared" si="10"/>
        <v>720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90</v>
      </c>
      <c r="B161" s="187">
        <f>'Données projet'!D154</f>
        <v>236</v>
      </c>
      <c r="C161" s="204">
        <v>80</v>
      </c>
      <c r="D161" s="194">
        <f t="shared" si="10"/>
        <v>18880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2023-10-27T09:58:52Z</dcterms:modified>
</cp:coreProperties>
</file>