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LA FERTE EN OUCHE - M MARAIS - SWC AXA4\Dossier déposé le 18-12-2023\"/>
    </mc:Choice>
  </mc:AlternateContent>
  <xr:revisionPtr revIDLastSave="0" documentId="13_ncr:1_{931CCE4B-7847-4E43-8F65-A3AD043F13D6}" xr6:coauthVersionLast="36" xr6:coauthVersionMax="36" xr10:uidLastSave="{00000000-0000-0000-0000-000000000000}"/>
  <bookViews>
    <workbookView xWindow="0" yWindow="0" windowWidth="21570" windowHeight="9330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FS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Y154" i="2"/>
  <c r="DI154" i="2"/>
  <c r="ED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DH156" i="2"/>
  <c r="FS156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Y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EX161" i="2"/>
  <c r="EA161" i="2"/>
  <c r="ED160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C162" i="2"/>
  <c r="EW162" i="2"/>
  <c r="EY161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Y163" i="2"/>
  <c r="FR164" i="2"/>
  <c r="EX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EC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FR167" i="2"/>
  <c r="EY166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1" i="2"/>
  <c r="EY171" i="2"/>
  <c r="EV172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D177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D180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A185" i="2"/>
  <c r="EV185" i="2"/>
  <c r="EW185" i="2"/>
  <c r="ED184" i="2"/>
  <c r="EB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ED185" i="2"/>
  <c r="FS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DI192" i="2" l="1"/>
  <c r="EY192" i="2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A194" i="2"/>
  <c r="EB194" i="2"/>
  <c r="ED193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A195" i="2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W197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FS201" i="2"/>
  <c r="ED200" i="2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EY201" i="2"/>
  <c r="FS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65" i="2" a="1"/>
  <c r="BC65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167" i="2" a="1"/>
  <c r="FD167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32" i="2" a="1"/>
  <c r="BC32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FD159" i="2" l="1" a="1"/>
  <c r="FD159" i="2" s="1"/>
  <c r="FD131" i="2" a="1"/>
  <c r="FD131" i="2" s="1"/>
  <c r="FD43" i="2" a="1"/>
  <c r="FD43" i="2" s="1"/>
  <c r="FD64" i="2" a="1"/>
  <c r="FD64" i="2" s="1"/>
  <c r="FD14" i="2" a="1"/>
  <c r="FD14" i="2" s="1"/>
  <c r="FD189" i="2" a="1"/>
  <c r="FD189" i="2" s="1"/>
  <c r="FD48" i="2" a="1"/>
  <c r="FD48" i="2" s="1"/>
  <c r="FD44" i="2" a="1"/>
  <c r="FD44" i="2" s="1"/>
  <c r="FD188" i="2" a="1"/>
  <c r="FD188" i="2" s="1"/>
  <c r="FD60" i="2" a="1"/>
  <c r="FD60" i="2" s="1"/>
  <c r="FD21" i="2" a="1"/>
  <c r="FD21" i="2" s="1"/>
  <c r="FD107" i="2" a="1"/>
  <c r="FD107" i="2" s="1"/>
  <c r="EI113" i="2" a="1"/>
  <c r="EI113" i="2" s="1"/>
  <c r="EI128" i="2" a="1"/>
  <c r="EI128" i="2" s="1"/>
  <c r="EI142" i="2" a="1"/>
  <c r="EI142" i="2" s="1"/>
  <c r="EI178" i="2" a="1"/>
  <c r="EI178" i="2" s="1"/>
  <c r="EI145" i="2" a="1"/>
  <c r="EI145" i="2" s="1"/>
  <c r="CS38" i="2" a="1"/>
  <c r="CS38" i="2" s="1"/>
  <c r="CS161" i="2" a="1"/>
  <c r="CS161" i="2" s="1"/>
  <c r="CS105" i="2" a="1"/>
  <c r="CS105" i="2" s="1"/>
  <c r="CS66" i="2" a="1"/>
  <c r="CS66" i="2" s="1"/>
  <c r="CS116" i="2" a="1"/>
  <c r="CS116" i="2" s="1"/>
  <c r="CS134" i="2" a="1"/>
  <c r="CS134" i="2" s="1"/>
  <c r="BC164" i="2" a="1"/>
  <c r="BC164" i="2" s="1"/>
  <c r="BC192" i="2" a="1"/>
  <c r="BC192" i="2" s="1"/>
  <c r="BC117" i="2" a="1"/>
  <c r="BC117" i="2" s="1"/>
  <c r="BC114" i="2" a="1"/>
  <c r="BC114" i="2" s="1"/>
  <c r="BC151" i="2" a="1"/>
  <c r="BC151" i="2" s="1"/>
  <c r="BC126" i="2" a="1"/>
  <c r="BC126" i="2" s="1"/>
  <c r="BC7" i="2" a="1"/>
  <c r="BC7" i="2" s="1"/>
  <c r="BC82" i="2" a="1"/>
  <c r="BC82" i="2" s="1"/>
  <c r="BC83" i="2" a="1"/>
  <c r="BC83" i="2" s="1"/>
  <c r="BC68" i="2" a="1"/>
  <c r="BC68" i="2" s="1"/>
  <c r="BC185" i="2" a="1"/>
  <c r="BC185" i="2" s="1"/>
  <c r="BC84" i="2" a="1"/>
  <c r="BC84" i="2" s="1"/>
  <c r="BC47" i="2" a="1"/>
  <c r="BC47" i="2" s="1"/>
  <c r="BC58" i="2" a="1"/>
  <c r="BC58" i="2" s="1"/>
  <c r="AH62" i="2" a="1"/>
  <c r="AH62" i="2" s="1"/>
  <c r="AH90" i="2" a="1"/>
  <c r="AH90" i="2" s="1"/>
  <c r="EI166" i="2" a="1"/>
  <c r="EI166" i="2" s="1"/>
  <c r="CS114" i="2" a="1"/>
  <c r="CS114" i="2" s="1"/>
  <c r="CS120" i="2" a="1"/>
  <c r="CS120" i="2" s="1"/>
  <c r="CS77" i="2" a="1"/>
  <c r="CS77" i="2" s="1"/>
  <c r="CS72" i="2" a="1"/>
  <c r="CS72" i="2" s="1"/>
  <c r="CS56" i="2" a="1"/>
  <c r="CS56" i="2" s="1"/>
  <c r="CS129" i="2" a="1"/>
  <c r="CS129" i="2" s="1"/>
  <c r="CS137" i="2" a="1"/>
  <c r="CS137" i="2" s="1"/>
  <c r="CS52" i="2" a="1"/>
  <c r="CS52" i="2" s="1"/>
  <c r="CS185" i="2" a="1"/>
  <c r="CS185" i="2" s="1"/>
  <c r="CS24" i="2" a="1"/>
  <c r="CS24" i="2" s="1"/>
  <c r="FS203" i="2"/>
  <c r="FD59" i="2" a="1"/>
  <c r="FD59" i="2" s="1"/>
  <c r="FD144" i="2" a="1"/>
  <c r="FD144" i="2" s="1"/>
  <c r="BX107" i="2" a="1"/>
  <c r="BX107" i="2" s="1"/>
  <c r="BC34" i="2" a="1"/>
  <c r="BC34" i="2" s="1"/>
  <c r="BC143" i="2" a="1"/>
  <c r="BC143" i="2" s="1"/>
  <c r="BC31" i="2" a="1"/>
  <c r="BC31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T203" i="2"/>
  <c r="ED203" i="2"/>
  <c r="CN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118" i="2" l="1"/>
  <c r="CD60" i="2"/>
  <c r="CD192" i="2"/>
  <c r="CD47" i="2"/>
  <c r="CD78" i="2"/>
  <c r="CD63" i="2"/>
  <c r="CD196" i="2"/>
  <c r="CD153" i="2"/>
  <c r="CD85" i="2"/>
  <c r="CD97" i="2"/>
  <c r="CD93" i="2"/>
  <c r="CD40" i="2"/>
  <c r="CD71" i="2"/>
  <c r="CD67" i="2"/>
  <c r="CD170" i="2"/>
  <c r="CD156" i="2"/>
  <c r="CD172" i="2"/>
  <c r="CD173" i="2"/>
  <c r="CD21" i="2"/>
  <c r="CD117" i="2"/>
  <c r="CD34" i="2"/>
  <c r="CD76" i="2"/>
  <c r="CD194" i="2"/>
  <c r="CD61" i="2"/>
  <c r="CD94" i="2"/>
  <c r="CD72" i="2"/>
  <c r="CD180" i="2"/>
  <c r="CD13" i="2"/>
  <c r="CD11" i="2"/>
  <c r="CD158" i="2"/>
  <c r="CD31" i="2"/>
  <c r="CD62" i="2"/>
  <c r="CD42" i="2"/>
  <c r="CD102" i="2"/>
  <c r="CD203" i="2"/>
  <c r="CD149" i="2"/>
  <c r="CD141" i="2"/>
  <c r="CD7" i="2"/>
  <c r="CD160" i="2"/>
  <c r="CD59" i="2"/>
  <c r="CD174" i="2"/>
  <c r="CD45" i="2"/>
  <c r="CD145" i="2"/>
  <c r="CD86" i="2"/>
  <c r="CD155" i="2"/>
  <c r="CD193" i="2"/>
  <c r="CD168" i="2"/>
  <c r="CD19" i="2"/>
  <c r="CD28" i="2"/>
  <c r="CD12" i="2"/>
  <c r="CD152" i="2"/>
  <c r="CD178" i="2"/>
  <c r="CD87" i="2"/>
  <c r="CD151" i="2"/>
  <c r="CD84" i="2"/>
  <c r="CD46" i="2"/>
  <c r="CD176" i="2"/>
  <c r="CD175" i="2"/>
  <c r="CD134" i="2"/>
  <c r="CD125" i="2"/>
  <c r="CD35" i="2"/>
  <c r="CD198" i="2"/>
  <c r="CD27" i="2"/>
  <c r="CD199" i="2"/>
  <c r="CD112" i="2"/>
  <c r="CD18" i="2"/>
  <c r="CD147" i="2"/>
  <c r="CD182" i="2"/>
  <c r="CD122" i="2"/>
  <c r="CD53" i="2"/>
  <c r="CD120" i="2"/>
  <c r="CD106" i="2"/>
  <c r="CD124" i="2"/>
  <c r="CD75" i="2"/>
  <c r="CD82" i="2"/>
  <c r="CD33" i="2"/>
  <c r="CD191" i="2"/>
  <c r="CD184" i="2"/>
  <c r="CD52" i="2"/>
  <c r="CD171" i="2"/>
  <c r="CD185" i="2"/>
  <c r="CD29" i="2"/>
  <c r="CD74" i="2"/>
  <c r="CD130" i="2"/>
  <c r="CD100" i="2"/>
  <c r="CD107" i="2"/>
  <c r="CD51" i="2"/>
  <c r="CD138" i="2"/>
  <c r="CD41" i="2"/>
  <c r="CD166" i="2"/>
  <c r="CD36" i="2"/>
  <c r="CD136" i="2"/>
  <c r="CD159" i="2"/>
  <c r="CD186" i="2"/>
  <c r="CD113" i="2"/>
  <c r="CD126" i="2"/>
  <c r="CD127" i="2"/>
  <c r="CD24" i="2"/>
  <c r="CD54" i="2"/>
  <c r="CD80" i="2"/>
  <c r="CD114" i="2"/>
  <c r="CD121" i="2"/>
  <c r="CD103" i="2"/>
  <c r="CD8" i="2"/>
  <c r="CD137" i="2"/>
  <c r="CD163" i="2"/>
  <c r="CD66" i="2"/>
  <c r="CD162" i="2"/>
  <c r="CD77" i="2"/>
  <c r="CD32" i="2"/>
  <c r="CD90" i="2"/>
  <c r="CD109" i="2"/>
  <c r="CD148" i="2"/>
  <c r="CD23" i="2"/>
  <c r="CD43" i="2"/>
  <c r="CD164" i="2"/>
  <c r="CD144" i="2"/>
  <c r="CD202" i="2"/>
  <c r="CD123" i="2"/>
  <c r="CD129" i="2"/>
  <c r="CD58" i="2"/>
  <c r="CD50" i="2"/>
  <c r="CD14" i="2"/>
  <c r="CD183" i="2"/>
  <c r="CD143" i="2"/>
  <c r="CD48" i="2"/>
  <c r="CD119" i="2"/>
  <c r="CD20" i="2"/>
  <c r="CD57" i="2"/>
  <c r="CD69" i="2"/>
  <c r="CD25" i="2"/>
  <c r="CD64" i="2"/>
  <c r="CD110" i="2"/>
  <c r="CD167" i="2"/>
  <c r="CD150" i="2"/>
  <c r="CD68" i="2"/>
  <c r="CD140" i="2"/>
  <c r="CD44" i="2"/>
  <c r="CD157" i="2"/>
  <c r="CD16" i="2"/>
  <c r="CD89" i="2"/>
  <c r="CD49" i="2"/>
  <c r="CD96" i="2"/>
  <c r="CD181" i="2"/>
  <c r="CD169" i="2"/>
  <c r="CD26" i="2"/>
  <c r="CD83" i="2"/>
  <c r="CD139" i="2"/>
  <c r="CD165" i="2"/>
  <c r="CD81" i="2"/>
  <c r="CD201" i="2"/>
  <c r="CD154" i="2"/>
  <c r="CD131" i="2"/>
  <c r="CD187" i="2"/>
  <c r="CD88" i="2"/>
  <c r="CD115" i="2"/>
  <c r="CD101" i="2"/>
  <c r="CD188" i="2"/>
  <c r="CD5" i="2"/>
  <c r="CD55" i="2"/>
  <c r="CD161" i="2"/>
  <c r="CD200" i="2"/>
  <c r="CD179" i="2"/>
  <c r="CD111" i="2"/>
  <c r="CD132" i="2"/>
  <c r="CD146" i="2"/>
  <c r="CD73" i="2"/>
  <c r="CD70" i="2"/>
  <c r="CD135" i="2"/>
  <c r="CD39" i="2"/>
  <c r="CD95" i="2"/>
  <c r="CD189" i="2"/>
  <c r="CD116" i="2"/>
  <c r="CD4" i="2"/>
  <c r="CD108" i="2"/>
  <c r="CD92" i="2"/>
  <c r="CD37" i="2"/>
  <c r="CD133" i="2"/>
  <c r="CD79" i="2"/>
  <c r="CD38" i="2"/>
  <c r="CD6" i="2"/>
  <c r="CD65" i="2"/>
  <c r="CD195" i="2"/>
  <c r="CD30" i="2"/>
  <c r="CD104" i="2"/>
  <c r="CD105" i="2"/>
  <c r="CD17" i="2"/>
  <c r="CD98" i="2"/>
  <c r="CD15" i="2"/>
  <c r="CD128" i="2"/>
  <c r="CD91" i="2"/>
  <c r="CD9" i="2"/>
  <c r="CD10" i="2"/>
  <c r="CD22" i="2"/>
  <c r="CD99" i="2"/>
  <c r="CD197" i="2"/>
  <c r="CD142" i="2"/>
  <c r="CD3" i="2"/>
  <c r="C9" i="4" s="1"/>
  <c r="E9" i="4" s="1"/>
  <c r="F9" i="4" s="1"/>
  <c r="G9" i="4" s="1"/>
  <c r="L9" i="4" s="1"/>
  <c r="CD177" i="2"/>
  <c r="CD190" i="2"/>
  <c r="CD56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32" i="2" l="1"/>
  <c r="BI102" i="2"/>
  <c r="BI143" i="2"/>
  <c r="BI47" i="2"/>
  <c r="BI10" i="2"/>
  <c r="BI77" i="2"/>
  <c r="BI177" i="2"/>
  <c r="BI76" i="2"/>
  <c r="BI197" i="2"/>
  <c r="BI196" i="2"/>
  <c r="BI9" i="2"/>
  <c r="BI94" i="2"/>
  <c r="BI22" i="2"/>
  <c r="BI67" i="2"/>
  <c r="BI69" i="2"/>
  <c r="BI59" i="2"/>
  <c r="BI159" i="2"/>
  <c r="BI57" i="2"/>
  <c r="BI145" i="2"/>
  <c r="BI192" i="2"/>
  <c r="BI13" i="2"/>
  <c r="BI11" i="2"/>
  <c r="BI200" i="2"/>
  <c r="BI6" i="2"/>
  <c r="BI111" i="2"/>
  <c r="BI43" i="2"/>
  <c r="BI105" i="2"/>
  <c r="BI34" i="2"/>
  <c r="BI179" i="2"/>
  <c r="BI45" i="2"/>
  <c r="BI97" i="2"/>
  <c r="BI15" i="2"/>
  <c r="BI49" i="2"/>
  <c r="BI160" i="2"/>
  <c r="BI72" i="2"/>
  <c r="BI154" i="2"/>
  <c r="BI37" i="2"/>
  <c r="BI68" i="2"/>
  <c r="BI109" i="2"/>
  <c r="BI116" i="2"/>
  <c r="BI27" i="2"/>
  <c r="BI132" i="2"/>
  <c r="BI90" i="2"/>
  <c r="BI25" i="2"/>
  <c r="BI108" i="2"/>
  <c r="BI148" i="2"/>
  <c r="BI36" i="2"/>
  <c r="BI79" i="2"/>
  <c r="BI144" i="2"/>
  <c r="BI35" i="2"/>
  <c r="BI112" i="2"/>
  <c r="BI123" i="2"/>
  <c r="BI65" i="2"/>
  <c r="BI53" i="2"/>
  <c r="BI71" i="2"/>
  <c r="BI118" i="2"/>
  <c r="BI85" i="2"/>
  <c r="BI138" i="2"/>
  <c r="BI127" i="2"/>
  <c r="BI38" i="2"/>
  <c r="BI114" i="2"/>
  <c r="BI193" i="2"/>
  <c r="BI48" i="2"/>
  <c r="BI155" i="2"/>
  <c r="BI135" i="2"/>
  <c r="BI117" i="2"/>
  <c r="BI86" i="2"/>
  <c r="BI42" i="2"/>
  <c r="BI58" i="2"/>
  <c r="BI186" i="2"/>
  <c r="BI141" i="2"/>
  <c r="BI183" i="2"/>
  <c r="BI3" i="2"/>
  <c r="C8" i="4" s="1"/>
  <c r="E8" i="4" s="1"/>
  <c r="F8" i="4" s="1"/>
  <c r="G8" i="4" s="1"/>
  <c r="L8" i="4" s="1"/>
  <c r="BI201" i="2"/>
  <c r="BI169" i="2"/>
  <c r="BI103" i="2"/>
  <c r="BI176" i="2"/>
  <c r="BI74" i="2"/>
  <c r="BI188" i="2"/>
  <c r="BI125" i="2"/>
  <c r="BI26" i="2"/>
  <c r="BI14" i="2"/>
  <c r="BI29" i="2"/>
  <c r="BI66" i="2"/>
  <c r="BI18" i="2"/>
  <c r="BI119" i="2"/>
  <c r="BI84" i="2"/>
  <c r="BI23" i="2"/>
  <c r="BI17" i="2"/>
  <c r="BI8" i="2"/>
  <c r="BI175" i="2"/>
  <c r="BI124" i="2"/>
  <c r="BI106" i="2"/>
  <c r="BI12" i="2"/>
  <c r="BI115" i="2"/>
  <c r="BI157" i="2"/>
  <c r="BI171" i="2"/>
  <c r="BI134" i="2"/>
  <c r="BI184" i="2"/>
  <c r="BI4" i="2"/>
  <c r="BI122" i="2"/>
  <c r="BI7" i="2"/>
  <c r="BI126" i="2"/>
  <c r="BI95" i="2"/>
  <c r="BI187" i="2"/>
  <c r="BI60" i="2"/>
  <c r="BI180" i="2"/>
  <c r="BI146" i="2"/>
  <c r="BI51" i="2"/>
  <c r="BI156" i="2"/>
  <c r="BI70" i="2"/>
  <c r="BI75" i="2"/>
  <c r="BI61" i="2"/>
  <c r="BI170" i="2"/>
  <c r="BI172" i="2"/>
  <c r="BI21" i="2"/>
  <c r="BI64" i="2"/>
  <c r="BI173" i="2"/>
  <c r="BI40" i="2"/>
  <c r="BI191" i="2"/>
  <c r="BI161" i="2"/>
  <c r="BI120" i="2"/>
  <c r="BI44" i="2"/>
  <c r="BI149" i="2"/>
  <c r="BI151" i="2"/>
  <c r="BI113" i="2"/>
  <c r="BI189" i="2"/>
  <c r="BI131" i="2"/>
  <c r="BI182" i="2"/>
  <c r="BI142" i="2"/>
  <c r="BI158" i="2"/>
  <c r="BI89" i="2"/>
  <c r="BI46" i="2"/>
  <c r="BI130" i="2"/>
  <c r="BI30" i="2"/>
  <c r="BI162" i="2"/>
  <c r="BI139" i="2"/>
  <c r="BI195" i="2"/>
  <c r="BI133" i="2"/>
  <c r="BI128" i="2"/>
  <c r="BI121" i="2"/>
  <c r="BI181" i="2"/>
  <c r="BI147" i="2"/>
  <c r="BI129" i="2"/>
  <c r="BI41" i="2"/>
  <c r="BI168" i="2"/>
  <c r="BI178" i="2"/>
  <c r="BI101" i="2"/>
  <c r="BI166" i="2"/>
  <c r="BI19" i="2"/>
  <c r="BI137" i="2"/>
  <c r="BI39" i="2"/>
  <c r="BI91" i="2"/>
  <c r="BI104" i="2"/>
  <c r="BI50" i="2"/>
  <c r="BI56" i="2"/>
  <c r="BI96" i="2"/>
  <c r="BI5" i="2"/>
  <c r="BI87" i="2"/>
  <c r="BI55" i="2"/>
  <c r="BI153" i="2"/>
  <c r="BI99" i="2"/>
  <c r="BI202" i="2"/>
  <c r="BI62" i="2"/>
  <c r="BI28" i="2"/>
  <c r="BI136" i="2"/>
  <c r="BI190" i="2"/>
  <c r="BI54" i="2"/>
  <c r="BI100" i="2"/>
  <c r="BI199" i="2"/>
  <c r="BI163" i="2"/>
  <c r="BI203" i="2"/>
  <c r="BI16" i="2"/>
  <c r="BI63" i="2"/>
  <c r="BI152" i="2"/>
  <c r="BI83" i="2"/>
  <c r="BI92" i="2"/>
  <c r="BI73" i="2"/>
  <c r="BI78" i="2"/>
  <c r="BI80" i="2"/>
  <c r="BI140" i="2"/>
  <c r="BI194" i="2"/>
  <c r="BI107" i="2"/>
  <c r="BI150" i="2"/>
  <c r="BI185" i="2"/>
  <c r="BI174" i="2"/>
  <c r="BI98" i="2"/>
  <c r="BI24" i="2"/>
  <c r="BI52" i="2"/>
  <c r="BI31" i="2"/>
  <c r="BI93" i="2"/>
  <c r="BI110" i="2"/>
  <c r="BI82" i="2"/>
  <c r="BI198" i="2"/>
  <c r="BI20" i="2"/>
  <c r="BI33" i="2"/>
  <c r="BI164" i="2"/>
  <c r="BI88" i="2"/>
  <c r="BI167" i="2"/>
  <c r="BI81" i="2"/>
  <c r="BI165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<sst xmlns="http://schemas.openxmlformats.org/spreadsheetml/2006/main" count="1177" uniqueCount="324">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</sst>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1.876233189998038</c:v>
                </c:pt>
                <c:pt idx="2">
                  <c:v>2.4221020119216585</c:v>
                </c:pt>
                <c:pt idx="3">
                  <c:v>3.1274303333147428</c:v>
                </c:pt>
                <c:pt idx="4">
                  <c:v>4.0389774557224944</c:v>
                </c:pt>
                <c:pt idx="5">
                  <c:v>5.2172630626744434</c:v>
                </c:pt>
                <c:pt idx="6">
                  <c:v>6.7406300094102312</c:v>
                </c:pt>
                <c:pt idx="7">
                  <c:v>8.7105103068045704</c:v>
                </c:pt>
                <c:pt idx="8">
                  <c:v>11.258251615526754</c:v>
                </c:pt>
                <c:pt idx="9">
                  <c:v>14.553967947937716</c:v>
                </c:pt>
                <c:pt idx="10">
                  <c:v>18.818016401466895</c:v>
                </c:pt>
                <c:pt idx="11">
                  <c:v>24.335881110556681</c:v>
                </c:pt>
                <c:pt idx="12">
                  <c:v>31.477478540701004</c:v>
                </c:pt>
                <c:pt idx="13">
                  <c:v>40.722200790569744</c:v>
                </c:pt>
                <c:pt idx="14">
                  <c:v>52.691406556297359</c:v>
                </c:pt>
                <c:pt idx="15">
                  <c:v>68.190579935279629</c:v>
                </c:pt>
                <c:pt idx="16">
                  <c:v>88.264040522074353</c:v>
                </c:pt>
                <c:pt idx="17">
                  <c:v>114.26595006222796</c:v>
                </c:pt>
                <c:pt idx="18">
                  <c:v>147.95248081283867</c:v>
                </c:pt>
                <c:pt idx="19">
                  <c:v>191.60146612159338</c:v>
                </c:pt>
                <c:pt idx="20">
                  <c:v>216.18647368682664</c:v>
                </c:pt>
                <c:pt idx="21">
                  <c:v>240.70714044550854</c:v>
                </c:pt>
                <c:pt idx="22">
                  <c:v>188.87090934206267</c:v>
                </c:pt>
                <c:pt idx="23">
                  <c:v>214.98109510056551</c:v>
                </c:pt>
                <c:pt idx="24">
                  <c:v>241.018248922053</c:v>
                </c:pt>
                <c:pt idx="25">
                  <c:v>266.99136970847246</c:v>
                </c:pt>
                <c:pt idx="26">
                  <c:v>292.90756031220479</c:v>
                </c:pt>
                <c:pt idx="27">
                  <c:v>318.77256321643932</c:v>
                </c:pt>
                <c:pt idx="28">
                  <c:v>344.59111272829563</c:v>
                </c:pt>
                <c:pt idx="29">
                  <c:v>291.5692824343468</c:v>
                </c:pt>
                <c:pt idx="30">
                  <c:v>319.4147749371653</c:v>
                </c:pt>
                <c:pt idx="31">
                  <c:v>347.20654312637589</c:v>
                </c:pt>
                <c:pt idx="32">
                  <c:v>374.94948796267522</c:v>
                </c:pt>
                <c:pt idx="33">
                  <c:v>402.64772617105814</c:v>
                </c:pt>
                <c:pt idx="34">
                  <c:v>430.30476217007725</c:v>
                </c:pt>
                <c:pt idx="35">
                  <c:v>457.92361345472085</c:v>
                </c:pt>
                <c:pt idx="36">
                  <c:v>382.03503582506414</c:v>
                </c:pt>
                <c:pt idx="37">
                  <c:v>409.19922205124954</c:v>
                </c:pt>
                <c:pt idx="38">
                  <c:v>436.32447725278098</c:v>
                </c:pt>
                <c:pt idx="39">
                  <c:v>463.41355924810642</c:v>
                </c:pt>
                <c:pt idx="40">
                  <c:v>490.46887740764834</c:v>
                </c:pt>
                <c:pt idx="41">
                  <c:v>517.49255386051107</c:v>
                </c:pt>
                <c:pt idx="42">
                  <c:v>544.48647125175023</c:v>
                </c:pt>
                <c:pt idx="43">
                  <c:v>452.07459634378012</c:v>
                </c:pt>
                <c:pt idx="44">
                  <c:v>478.09239623400526</c:v>
                </c:pt>
                <c:pt idx="45">
                  <c:v>504.08010035598926</c:v>
                </c:pt>
                <c:pt idx="46">
                  <c:v>530.03947668561875</c:v>
                </c:pt>
                <c:pt idx="47">
                  <c:v>555.97210607718182</c:v>
                </c:pt>
                <c:pt idx="48">
                  <c:v>581.87941004696063</c:v>
                </c:pt>
                <c:pt idx="49">
                  <c:v>607.76267335393857</c:v>
                </c:pt>
                <c:pt idx="50">
                  <c:v>498.72181261790985</c:v>
                </c:pt>
                <c:pt idx="51">
                  <c:v>522.77570769625004</c:v>
                </c:pt>
                <c:pt idx="52">
                  <c:v>546.80628686047896</c:v>
                </c:pt>
                <c:pt idx="53">
                  <c:v>570.81471779944991</c:v>
                </c:pt>
                <c:pt idx="54">
                  <c:v>594.80206206973287</c:v>
                </c:pt>
                <c:pt idx="55">
                  <c:v>618.76928871875054</c:v>
                </c:pt>
                <c:pt idx="56">
                  <c:v>642.71728568895776</c:v>
                </c:pt>
                <c:pt idx="57">
                  <c:v>553.08091315642696</c:v>
                </c:pt>
                <c:pt idx="58">
                  <c:v>575.02795262432016</c:v>
                </c:pt>
                <c:pt idx="59">
                  <c:v>596.9575126936345</c:v>
                </c:pt>
                <c:pt idx="60">
                  <c:v>618.87032518267222</c:v>
                </c:pt>
                <c:pt idx="61">
                  <c:v>640.76706591360471</c:v>
                </c:pt>
                <c:pt idx="62">
                  <c:v>662.64836080260773</c:v>
                </c:pt>
                <c:pt idx="63">
                  <c:v>684.51479110444382</c:v>
                </c:pt>
                <c:pt idx="64">
                  <c:v>587.03080587133184</c:v>
                </c:pt>
                <c:pt idx="65">
                  <c:v>606.78392125207699</c:v>
                </c:pt>
                <c:pt idx="66">
                  <c:v>626.52368994592871</c:v>
                </c:pt>
                <c:pt idx="67">
                  <c:v>646.25059127404677</c:v>
                </c:pt>
                <c:pt idx="68">
                  <c:v>665.96507293676598</c:v>
                </c:pt>
                <c:pt idx="69">
                  <c:v>685.66755399284511</c:v>
                </c:pt>
                <c:pt idx="70">
                  <c:v>704.57665364194065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2.1741481815660317</c:v>
                </c:pt>
                <c:pt idx="2">
                  <c:v>3.3279919278058419</c:v>
                </c:pt>
                <c:pt idx="3">
                  <c:v>5.0970686122234934</c:v>
                </c:pt>
                <c:pt idx="4">
                  <c:v>7.8108603439262572</c:v>
                </c:pt>
                <c:pt idx="5">
                  <c:v>11.976016001557646</c:v>
                </c:pt>
                <c:pt idx="6">
                  <c:v>18.371970801719861</c:v>
                </c:pt>
                <c:pt idx="7">
                  <c:v>28.198348261169219</c:v>
                </c:pt>
                <c:pt idx="8">
                  <c:v>43.302273190862593</c:v>
                </c:pt>
                <c:pt idx="9">
                  <c:v>66.529046266496863</c:v>
                </c:pt>
                <c:pt idx="10">
                  <c:v>102.26331921155065</c:v>
                </c:pt>
                <c:pt idx="11">
                  <c:v>99.383832042107713</c:v>
                </c:pt>
                <c:pt idx="12">
                  <c:v>127.61811425323567</c:v>
                </c:pt>
                <c:pt idx="13">
                  <c:v>155.70032484556364</c:v>
                </c:pt>
                <c:pt idx="14">
                  <c:v>183.66187873507451</c:v>
                </c:pt>
                <c:pt idx="15">
                  <c:v>211.5237693240953</c:v>
                </c:pt>
                <c:pt idx="16">
                  <c:v>177.273330248728</c:v>
                </c:pt>
                <c:pt idx="17">
                  <c:v>206.80772973999618</c:v>
                </c:pt>
                <c:pt idx="18">
                  <c:v>236.24455995422252</c:v>
                </c:pt>
                <c:pt idx="19">
                  <c:v>265.59769251928259</c:v>
                </c:pt>
                <c:pt idx="20">
                  <c:v>294.87767605242158</c:v>
                </c:pt>
                <c:pt idx="21">
                  <c:v>249.16956379358496</c:v>
                </c:pt>
                <c:pt idx="22">
                  <c:v>274.97481117699641</c:v>
                </c:pt>
                <c:pt idx="23">
                  <c:v>300.72565518272023</c:v>
                </c:pt>
                <c:pt idx="24">
                  <c:v>326.42740643086165</c:v>
                </c:pt>
                <c:pt idx="25">
                  <c:v>352.08447089489545</c:v>
                </c:pt>
                <c:pt idx="26">
                  <c:v>306.3373322127826</c:v>
                </c:pt>
                <c:pt idx="27">
                  <c:v>327.12771904371101</c:v>
                </c:pt>
                <c:pt idx="28">
                  <c:v>347.88893729723378</c:v>
                </c:pt>
                <c:pt idx="29">
                  <c:v>368.62297160187927</c:v>
                </c:pt>
                <c:pt idx="30">
                  <c:v>389.33156517747528</c:v>
                </c:pt>
                <c:pt idx="31">
                  <c:v>349.28757120195638</c:v>
                </c:pt>
                <c:pt idx="32">
                  <c:v>365.13029886543012</c:v>
                </c:pt>
                <c:pt idx="33">
                  <c:v>380.95801656536122</c:v>
                </c:pt>
                <c:pt idx="34">
                  <c:v>396.77143560147573</c:v>
                </c:pt>
                <c:pt idx="35">
                  <c:v>412.57120595911425</c:v>
                </c:pt>
                <c:pt idx="36">
                  <c:v>380.26004138661079</c:v>
                </c:pt>
                <c:pt idx="37">
                  <c:v>392.12187483767138</c:v>
                </c:pt>
                <c:pt idx="38">
                  <c:v>403.97592783450415</c:v>
                </c:pt>
                <c:pt idx="39">
                  <c:v>415.82246089092337</c:v>
                </c:pt>
                <c:pt idx="40">
                  <c:v>427.66171846396492</c:v>
                </c:pt>
                <c:pt idx="41">
                  <c:v>403.74356852619422</c:v>
                </c:pt>
                <c:pt idx="42">
                  <c:v>412.33895235831295</c:v>
                </c:pt>
                <c:pt idx="43">
                  <c:v>420.93047014195105</c:v>
                </c:pt>
                <c:pt idx="44">
                  <c:v>429.51821195249221</c:v>
                </c:pt>
                <c:pt idx="45">
                  <c:v>438.10226396786584</c:v>
                </c:pt>
                <c:pt idx="46">
                  <c:v>419.76967683146569</c:v>
                </c:pt>
                <c:pt idx="47">
                  <c:v>425.80505163704908</c:v>
                </c:pt>
                <c:pt idx="48">
                  <c:v>431.83858635941425</c:v>
                </c:pt>
                <c:pt idx="49">
                  <c:v>437.87031035511887</c:v>
                </c:pt>
                <c:pt idx="50">
                  <c:v>443.90025210533031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604.94863836746174</c:v>
                </c:pt>
                <c:pt idx="112">
                  <c:v>610.29290728129274</c:v>
                </c:pt>
                <c:pt idx="113">
                  <c:v>615.63620511985016</c:v>
                </c:pt>
                <c:pt idx="114">
                  <c:v>620.97854150271473</c:v>
                </c:pt>
                <c:pt idx="115">
                  <c:v>626.31992587040452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160.02029104347795</c:v>
                </c:pt>
                <c:pt idx="22">
                  <c:v>175.13585803907259</c:v>
                </c:pt>
                <c:pt idx="23">
                  <c:v>190.22078828852798</c:v>
                </c:pt>
                <c:pt idx="24">
                  <c:v>205.2778545096966</c:v>
                </c:pt>
                <c:pt idx="25">
                  <c:v>220.30938898976538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221.97807266554162</c:v>
                </c:pt>
                <c:pt idx="32">
                  <c:v>244.47808276569106</c:v>
                </c:pt>
                <c:pt idx="33">
                  <c:v>266.93103161478729</c:v>
                </c:pt>
                <c:pt idx="34">
                  <c:v>289.3414331694662</c:v>
                </c:pt>
                <c:pt idx="35">
                  <c:v>311.71304479765803</c:v>
                </c:pt>
                <c:pt idx="36">
                  <c:v>276.89622424264081</c:v>
                </c:pt>
                <c:pt idx="37">
                  <c:v>300.11758429718861</c:v>
                </c:pt>
                <c:pt idx="38">
                  <c:v>323.29893699066071</c:v>
                </c:pt>
                <c:pt idx="39">
                  <c:v>346.4435525568872</c:v>
                </c:pt>
                <c:pt idx="40">
                  <c:v>369.55422870449632</c:v>
                </c:pt>
                <c:pt idx="41">
                  <c:v>335.28894123596257</c:v>
                </c:pt>
                <c:pt idx="42">
                  <c:v>358.82833079757535</c:v>
                </c:pt>
                <c:pt idx="43">
                  <c:v>382.33394334423559</c:v>
                </c:pt>
                <c:pt idx="44">
                  <c:v>405.80814582937325</c:v>
                </c:pt>
                <c:pt idx="45">
                  <c:v>429.25300917701088</c:v>
                </c:pt>
                <c:pt idx="46">
                  <c:v>394.28074727616126</c:v>
                </c:pt>
                <c:pt idx="47">
                  <c:v>416.91714761061024</c:v>
                </c:pt>
                <c:pt idx="48">
                  <c:v>439.52706413119489</c:v>
                </c:pt>
                <c:pt idx="49">
                  <c:v>462.11204968448237</c:v>
                </c:pt>
                <c:pt idx="50">
                  <c:v>484.67349306043207</c:v>
                </c:pt>
                <c:pt idx="51">
                  <c:v>448.15328569496359</c:v>
                </c:pt>
                <c:pt idx="52">
                  <c:v>469.08803973384329</c:v>
                </c:pt>
                <c:pt idx="53">
                  <c:v>490.00289665080521</c:v>
                </c:pt>
                <c:pt idx="54">
                  <c:v>510.89882453659499</c:v>
                </c:pt>
                <c:pt idx="55">
                  <c:v>531.77670589409706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531.36750389275585</c:v>
                </c:pt>
                <c:pt idx="62">
                  <c:v>549.3661998253956</c:v>
                </c:pt>
                <c:pt idx="63">
                  <c:v>567.35253375731543</c:v>
                </c:pt>
                <c:pt idx="64">
                  <c:v>585.32695249209939</c:v>
                </c:pt>
                <c:pt idx="65">
                  <c:v>603.28987317463418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588.18544859108772</c:v>
                </c:pt>
                <c:pt idx="72">
                  <c:v>603.69799084952581</c:v>
                </c:pt>
                <c:pt idx="73">
                  <c:v>619.20225497367608</c:v>
                </c:pt>
                <c:pt idx="74">
                  <c:v>634.69847731101868</c:v>
                </c:pt>
                <c:pt idx="75">
                  <c:v>650.18688173454336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623.2809785427969</c:v>
                </c:pt>
                <c:pt idx="82">
                  <c:v>637.1445290217099</c:v>
                </c:pt>
                <c:pt idx="83">
                  <c:v>651.00184842596218</c:v>
                </c:pt>
                <c:pt idx="84">
                  <c:v>664.85308800712107</c:v>
                </c:pt>
                <c:pt idx="85">
                  <c:v>678.69839220429378</c:v>
                </c:pt>
                <c:pt idx="86">
                  <c:v>634.69847731101868</c:v>
                </c:pt>
                <c:pt idx="87">
                  <c:v>647.74185514581279</c:v>
                </c:pt>
                <c:pt idx="88">
                  <c:v>660.77981648497882</c:v>
                </c:pt>
                <c:pt idx="89">
                  <c:v>673.81248320912653</c:v>
                </c:pt>
                <c:pt idx="90">
                  <c:v>686.83997210216705</c:v>
                </c:pt>
                <c:pt idx="91">
                  <c:v>642.44364323070249</c:v>
                </c:pt>
                <c:pt idx="92">
                  <c:v>655.07636694999792</c:v>
                </c:pt>
                <c:pt idx="93">
                  <c:v>667.70407238667042</c:v>
                </c:pt>
                <c:pt idx="94">
                  <c:v>680.32686777604431</c:v>
                </c:pt>
                <c:pt idx="95">
                  <c:v>692.94485701159181</c:v>
                </c:pt>
                <c:pt idx="96">
                  <c:v>647.33433222460883</c:v>
                </c:pt>
                <c:pt idx="97">
                  <c:v>658.74298707117862</c:v>
                </c:pt>
                <c:pt idx="98">
                  <c:v>670.14757398808365</c:v>
                </c:pt>
                <c:pt idx="99">
                  <c:v>681.54817193396354</c:v>
                </c:pt>
                <c:pt idx="100">
                  <c:v>692.94485701159203</c:v>
                </c:pt>
                <c:pt idx="101">
                  <c:v>648.96439218997557</c:v>
                </c:pt>
                <c:pt idx="102">
                  <c:v>659.96510025530517</c:v>
                </c:pt>
                <c:pt idx="103">
                  <c:v>670.96203378278858</c:v>
                </c:pt>
                <c:pt idx="104">
                  <c:v>681.95526333416171</c:v>
                </c:pt>
                <c:pt idx="105">
                  <c:v>692.94485701159181</c:v>
                </c:pt>
                <c:pt idx="106">
                  <c:v>650.18688173454302</c:v>
                </c:pt>
                <c:pt idx="107">
                  <c:v>660.37246095701687</c:v>
                </c:pt>
                <c:pt idx="108">
                  <c:v>670.55480642750729</c:v>
                </c:pt>
                <c:pt idx="109">
                  <c:v>680.73397415831266</c:v>
                </c:pt>
                <c:pt idx="110">
                  <c:v>690.91001835052737</c:v>
                </c:pt>
                <c:pt idx="111">
                  <c:v>645.70418757261734</c:v>
                </c:pt>
                <c:pt idx="112">
                  <c:v>651.40932388148224</c:v>
                </c:pt>
                <c:pt idx="113">
                  <c:v>657.11343017139041</c:v>
                </c:pt>
                <c:pt idx="114">
                  <c:v>662.81651664582569</c:v>
                </c:pt>
                <c:pt idx="115">
                  <c:v>668.51859331833975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44.716696017915012</c:v>
                </c:pt>
                <c:pt idx="12">
                  <c:v>68.267356266852531</c:v>
                </c:pt>
                <c:pt idx="13">
                  <c:v>91.605526277825675</c:v>
                </c:pt>
                <c:pt idx="14">
                  <c:v>114.79386073387417</c:v>
                </c:pt>
                <c:pt idx="15">
                  <c:v>137.86711899238378</c:v>
                </c:pt>
                <c:pt idx="16">
                  <c:v>96.447363572255242</c:v>
                </c:pt>
                <c:pt idx="17">
                  <c:v>122.49645924610256</c:v>
                </c:pt>
                <c:pt idx="18">
                  <c:v>148.41023510355402</c:v>
                </c:pt>
                <c:pt idx="19">
                  <c:v>174.21574506160064</c:v>
                </c:pt>
                <c:pt idx="20">
                  <c:v>199.93131520555619</c:v>
                </c:pt>
                <c:pt idx="21">
                  <c:v>159.89147845501216</c:v>
                </c:pt>
                <c:pt idx="22">
                  <c:v>186.6076360513151</c:v>
                </c:pt>
                <c:pt idx="23">
                  <c:v>213.23441535885948</c:v>
                </c:pt>
                <c:pt idx="24">
                  <c:v>239.78455379251184</c:v>
                </c:pt>
                <c:pt idx="25">
                  <c:v>266.26773098057953</c:v>
                </c:pt>
                <c:pt idx="26">
                  <c:v>225.88624492093732</c:v>
                </c:pt>
                <c:pt idx="27">
                  <c:v>251.77283729785236</c:v>
                </c:pt>
                <c:pt idx="28">
                  <c:v>277.59910531675155</c:v>
                </c:pt>
                <c:pt idx="29">
                  <c:v>303.37144778612094</c:v>
                </c:pt>
                <c:pt idx="30">
                  <c:v>329.09508705409212</c:v>
                </c:pt>
                <c:pt idx="31">
                  <c:v>287.03396888617937</c:v>
                </c:pt>
                <c:pt idx="32">
                  <c:v>310.90515078463847</c:v>
                </c:pt>
                <c:pt idx="33">
                  <c:v>334.73566468440248</c:v>
                </c:pt>
                <c:pt idx="34">
                  <c:v>358.52881092769786</c:v>
                </c:pt>
                <c:pt idx="35">
                  <c:v>382.28741618096228</c:v>
                </c:pt>
                <c:pt idx="36">
                  <c:v>337.24191352703082</c:v>
                </c:pt>
                <c:pt idx="37">
                  <c:v>357.90312952366207</c:v>
                </c:pt>
                <c:pt idx="38">
                  <c:v>378.53824995849158</c:v>
                </c:pt>
                <c:pt idx="39">
                  <c:v>399.14889663922986</c:v>
                </c:pt>
                <c:pt idx="40">
                  <c:v>419.73651029301618</c:v>
                </c:pt>
                <c:pt idx="41">
                  <c:v>375.10080417289322</c:v>
                </c:pt>
                <c:pt idx="42">
                  <c:v>392.90574133229569</c:v>
                </c:pt>
                <c:pt idx="43">
                  <c:v>410.69318870493333</c:v>
                </c:pt>
                <c:pt idx="44">
                  <c:v>428.46401008226007</c:v>
                </c:pt>
                <c:pt idx="45">
                  <c:v>446.21899178570357</c:v>
                </c:pt>
                <c:pt idx="46">
                  <c:v>420.98353332932442</c:v>
                </c:pt>
                <c:pt idx="47">
                  <c:v>436.25318896943855</c:v>
                </c:pt>
                <c:pt idx="48">
                  <c:v>451.51137887574367</c:v>
                </c:pt>
                <c:pt idx="49">
                  <c:v>466.75854497480481</c:v>
                </c:pt>
                <c:pt idx="50">
                  <c:v>481.99509797473166</c:v>
                </c:pt>
                <c:pt idx="51">
                  <c:v>462.4033121825118</c:v>
                </c:pt>
                <c:pt idx="52">
                  <c:v>475.46642110106609</c:v>
                </c:pt>
                <c:pt idx="53">
                  <c:v>488.5218960991653</c:v>
                </c:pt>
                <c:pt idx="54">
                  <c:v>501.5699699024297</c:v>
                </c:pt>
                <c:pt idx="55">
                  <c:v>514.61086214265526</c:v>
                </c:pt>
                <c:pt idx="56">
                  <c:v>498.15332008482136</c:v>
                </c:pt>
                <c:pt idx="57">
                  <c:v>509.64373653602433</c:v>
                </c:pt>
                <c:pt idx="58">
                  <c:v>521.12868049361134</c:v>
                </c:pt>
                <c:pt idx="59">
                  <c:v>532.60828955263503</c:v>
                </c:pt>
                <c:pt idx="60">
                  <c:v>544.08269489370571</c:v>
                </c:pt>
                <c:pt idx="61">
                  <c:v>527.02427283891677</c:v>
                </c:pt>
                <c:pt idx="62">
                  <c:v>536.330282305266</c:v>
                </c:pt>
                <c:pt idx="63">
                  <c:v>545.63289799541383</c:v>
                </c:pt>
                <c:pt idx="64">
                  <c:v>554.9321859329965</c:v>
                </c:pt>
                <c:pt idx="65">
                  <c:v>564.22820974827573</c:v>
                </c:pt>
                <c:pt idx="66">
                  <c:v>547.4930197333249</c:v>
                </c:pt>
                <c:pt idx="67">
                  <c:v>555.55202171385451</c:v>
                </c:pt>
                <c:pt idx="68">
                  <c:v>563.60857513569988</c:v>
                </c:pt>
                <c:pt idx="69">
                  <c:v>571.66271994120405</c:v>
                </c:pt>
                <c:pt idx="70">
                  <c:v>579.71449485526693</c:v>
                </c:pt>
                <c:pt idx="71">
                  <c:v>563.9183942223159</c:v>
                </c:pt>
                <c:pt idx="72">
                  <c:v>571.35298920709954</c:v>
                </c:pt>
                <c:pt idx="73">
                  <c:v>578.78556363786606</c:v>
                </c:pt>
                <c:pt idx="74">
                  <c:v>586.21614712582311</c:v>
                </c:pt>
                <c:pt idx="75">
                  <c:v>593.64476847015783</c:v>
                </c:pt>
                <c:pt idx="76">
                  <c:v>578.47591298878478</c:v>
                </c:pt>
                <c:pt idx="77">
                  <c:v>584.97785357240684</c:v>
                </c:pt>
                <c:pt idx="78">
                  <c:v>591.47828826876241</c:v>
                </c:pt>
                <c:pt idx="79">
                  <c:v>597.97723596598223</c:v>
                </c:pt>
                <c:pt idx="80">
                  <c:v>604.47471510805701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84.113672803399268</c:v>
                </c:pt>
                <c:pt idx="17">
                  <c:v>107.92051495671598</c:v>
                </c:pt>
                <c:pt idx="18">
                  <c:v>131.59741333417946</c:v>
                </c:pt>
                <c:pt idx="19">
                  <c:v>155.17115527031999</c:v>
                </c:pt>
                <c:pt idx="20">
                  <c:v>178.65965761508951</c:v>
                </c:pt>
                <c:pt idx="21">
                  <c:v>143.74255992313238</c:v>
                </c:pt>
                <c:pt idx="22">
                  <c:v>169.34263834209935</c:v>
                </c:pt>
                <c:pt idx="23">
                  <c:v>194.85139259598841</c:v>
                </c:pt>
                <c:pt idx="24">
                  <c:v>220.2824723640712</c:v>
                </c:pt>
                <c:pt idx="25">
                  <c:v>245.64610894283177</c:v>
                </c:pt>
                <c:pt idx="26">
                  <c:v>209.98122047833627</c:v>
                </c:pt>
                <c:pt idx="27">
                  <c:v>234.34307827690756</c:v>
                </c:pt>
                <c:pt idx="28">
                  <c:v>258.64712580976101</c:v>
                </c:pt>
                <c:pt idx="29">
                  <c:v>282.89955759178855</c:v>
                </c:pt>
                <c:pt idx="30">
                  <c:v>307.10541864100406</c:v>
                </c:pt>
                <c:pt idx="31">
                  <c:v>269.58386372149999</c:v>
                </c:pt>
                <c:pt idx="32">
                  <c:v>291.76884281866893</c:v>
                </c:pt>
                <c:pt idx="33">
                  <c:v>313.9161563114389</c:v>
                </c:pt>
                <c:pt idx="34">
                  <c:v>336.02883386480761</c:v>
                </c:pt>
                <c:pt idx="35">
                  <c:v>358.10947390735402</c:v>
                </c:pt>
                <c:pt idx="36">
                  <c:v>318.00102122537891</c:v>
                </c:pt>
                <c:pt idx="37">
                  <c:v>337.38854301296448</c:v>
                </c:pt>
                <c:pt idx="38">
                  <c:v>356.7515468667284</c:v>
                </c:pt>
                <c:pt idx="39">
                  <c:v>376.09155014049139</c:v>
                </c:pt>
                <c:pt idx="40">
                  <c:v>395.40990144559356</c:v>
                </c:pt>
                <c:pt idx="41">
                  <c:v>352.67708456218475</c:v>
                </c:pt>
                <c:pt idx="42">
                  <c:v>369.30811574035579</c:v>
                </c:pt>
                <c:pt idx="43">
                  <c:v>385.92281180916166</c:v>
                </c:pt>
                <c:pt idx="44">
                  <c:v>402.5219748287804</c:v>
                </c:pt>
                <c:pt idx="45">
                  <c:v>419.10633532774767</c:v>
                </c:pt>
                <c:pt idx="46">
                  <c:v>392.69981359198135</c:v>
                </c:pt>
                <c:pt idx="47">
                  <c:v>406.92332134334953</c:v>
                </c:pt>
                <c:pt idx="48">
                  <c:v>421.13608919058862</c:v>
                </c:pt>
                <c:pt idx="49">
                  <c:v>435.33853059869926</c:v>
                </c:pt>
                <c:pt idx="50">
                  <c:v>449.53102985794368</c:v>
                </c:pt>
                <c:pt idx="51">
                  <c:v>429.92926929891951</c:v>
                </c:pt>
                <c:pt idx="52">
                  <c:v>442.43600003546334</c:v>
                </c:pt>
                <c:pt idx="53">
                  <c:v>454.93515661064185</c:v>
                </c:pt>
                <c:pt idx="54">
                  <c:v>467.42697643811471</c:v>
                </c:pt>
                <c:pt idx="55">
                  <c:v>479.91168320756537</c:v>
                </c:pt>
                <c:pt idx="56">
                  <c:v>463.71394501783237</c:v>
                </c:pt>
                <c:pt idx="57">
                  <c:v>474.51375017343656</c:v>
                </c:pt>
                <c:pt idx="58">
                  <c:v>485.30832573764309</c:v>
                </c:pt>
                <c:pt idx="59">
                  <c:v>496.09780443549545</c:v>
                </c:pt>
                <c:pt idx="60">
                  <c:v>506.88231274768867</c:v>
                </c:pt>
                <c:pt idx="61">
                  <c:v>492.05233905304038</c:v>
                </c:pt>
                <c:pt idx="62">
                  <c:v>500.81663116885534</c:v>
                </c:pt>
                <c:pt idx="63">
                  <c:v>509.57767746501696</c:v>
                </c:pt>
                <c:pt idx="64">
                  <c:v>518.33554162748908</c:v>
                </c:pt>
                <c:pt idx="65">
                  <c:v>527.09028501417163</c:v>
                </c:pt>
                <c:pt idx="66">
                  <c:v>512.60960277392599</c:v>
                </c:pt>
                <c:pt idx="67">
                  <c:v>520.0193866370247</c:v>
                </c:pt>
                <c:pt idx="68">
                  <c:v>527.42694440011905</c:v>
                </c:pt>
                <c:pt idx="69">
                  <c:v>534.83231174765172</c:v>
                </c:pt>
                <c:pt idx="70">
                  <c:v>542.23552329497818</c:v>
                </c:pt>
                <c:pt idx="71">
                  <c:v>527.42694440011894</c:v>
                </c:pt>
                <c:pt idx="72">
                  <c:v>534.49575116718847</c:v>
                </c:pt>
                <c:pt idx="73">
                  <c:v>541.56259225555311</c:v>
                </c:pt>
                <c:pt idx="74">
                  <c:v>548.62749694119634</c:v>
                </c:pt>
                <c:pt idx="75">
                  <c:v>555.69049368437459</c:v>
                </c:pt>
                <c:pt idx="76">
                  <c:v>541.56259225555311</c:v>
                </c:pt>
                <c:pt idx="77">
                  <c:v>547.61834231122236</c:v>
                </c:pt>
                <c:pt idx="78">
                  <c:v>553.67268767470523</c:v>
                </c:pt>
                <c:pt idx="79">
                  <c:v>559.72564587886836</c:v>
                </c:pt>
                <c:pt idx="80">
                  <c:v>565.7772340462966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4.7281227377105433</c:v>
                </c:pt>
                <c:pt idx="2">
                  <c:v>9.6902676502173968</c:v>
                </c:pt>
                <c:pt idx="3">
                  <c:v>19.890217426399502</c:v>
                </c:pt>
                <c:pt idx="4">
                  <c:v>40.886013356832393</c:v>
                </c:pt>
                <c:pt idx="5">
                  <c:v>84.161881941878903</c:v>
                </c:pt>
                <c:pt idx="6">
                  <c:v>103.28436593678082</c:v>
                </c:pt>
                <c:pt idx="7">
                  <c:v>138.12565423826746</c:v>
                </c:pt>
                <c:pt idx="8">
                  <c:v>172.75415403607255</c:v>
                </c:pt>
                <c:pt idx="9">
                  <c:v>207.21879690654114</c:v>
                </c:pt>
                <c:pt idx="10">
                  <c:v>241.5507456503326</c:v>
                </c:pt>
                <c:pt idx="11">
                  <c:v>202.52745814509981</c:v>
                </c:pt>
                <c:pt idx="12">
                  <c:v>235.70707416481403</c:v>
                </c:pt>
                <c:pt idx="13">
                  <c:v>268.78003756948306</c:v>
                </c:pt>
                <c:pt idx="14">
                  <c:v>301.76131730306923</c:v>
                </c:pt>
                <c:pt idx="15">
                  <c:v>334.66233736464409</c:v>
                </c:pt>
                <c:pt idx="16">
                  <c:v>308.34762462686348</c:v>
                </c:pt>
                <c:pt idx="17">
                  <c:v>338.14166327303155</c:v>
                </c:pt>
                <c:pt idx="18">
                  <c:v>367.87792895100188</c:v>
                </c:pt>
                <c:pt idx="19">
                  <c:v>397.56174311317318</c:v>
                </c:pt>
                <c:pt idx="20">
                  <c:v>427.19756804132595</c:v>
                </c:pt>
                <c:pt idx="21">
                  <c:v>407.95878231757439</c:v>
                </c:pt>
                <c:pt idx="22">
                  <c:v>432.96552861089231</c:v>
                </c:pt>
                <c:pt idx="23">
                  <c:v>457.94126927057505</c:v>
                </c:pt>
                <c:pt idx="24">
                  <c:v>482.8879313845502</c:v>
                </c:pt>
                <c:pt idx="25">
                  <c:v>507.80722686130622</c:v>
                </c:pt>
                <c:pt idx="26">
                  <c:v>493.62565905582687</c:v>
                </c:pt>
                <c:pt idx="27">
                  <c:v>513.93718925042367</c:v>
                </c:pt>
                <c:pt idx="28">
                  <c:v>534.23177896582104</c:v>
                </c:pt>
                <c:pt idx="29">
                  <c:v>554.51016178271277</c:v>
                </c:pt>
                <c:pt idx="30">
                  <c:v>574.77301329675242</c:v>
                </c:pt>
                <c:pt idx="31">
                  <c:v>564.45232939981622</c:v>
                </c:pt>
                <c:pt idx="32">
                  <c:v>580.88714383067816</c:v>
                </c:pt>
                <c:pt idx="33">
                  <c:v>597.31226449625308</c:v>
                </c:pt>
                <c:pt idx="34">
                  <c:v>613.72799533010232</c:v>
                </c:pt>
                <c:pt idx="35">
                  <c:v>630.13462269202159</c:v>
                </c:pt>
                <c:pt idx="36">
                  <c:v>623.64935210528506</c:v>
                </c:pt>
                <c:pt idx="37">
                  <c:v>638.1439351253598</c:v>
                </c:pt>
                <c:pt idx="38">
                  <c:v>652.63171873234603</c:v>
                </c:pt>
                <c:pt idx="39">
                  <c:v>667.11287504220138</c:v>
                </c:pt>
                <c:pt idx="40">
                  <c:v>681.58756809397687</c:v>
                </c:pt>
                <c:pt idx="41">
                  <c:v>678.54079353970121</c:v>
                </c:pt>
                <c:pt idx="42">
                  <c:v>692.6297932397805</c:v>
                </c:pt>
                <c:pt idx="43">
                  <c:v>706.71292251165823</c:v>
                </c:pt>
                <c:pt idx="44">
                  <c:v>720.7903147447181</c:v>
                </c:pt>
                <c:pt idx="45">
                  <c:v>734.86209769680136</c:v>
                </c:pt>
                <c:pt idx="46">
                  <c:v>5.3075956424674458E-12</c:v>
                </c:pt>
                <c:pt idx="47">
                  <c:v>5.3075956424674458E-12</c:v>
                </c:pt>
                <c:pt idx="48">
                  <c:v>5.3075956424674458E-12</c:v>
                </c:pt>
                <c:pt idx="49">
                  <c:v>5.3075956424674458E-12</c:v>
                </c:pt>
                <c:pt idx="50">
                  <c:v>5.3075956424674458E-12</c:v>
                </c:pt>
                <c:pt idx="51">
                  <c:v>5.3075956424674458E-12</c:v>
                </c:pt>
                <c:pt idx="52">
                  <c:v>5.3075956424674458E-12</c:v>
                </c:pt>
                <c:pt idx="53">
                  <c:v>5.3075956424674458E-12</c:v>
                </c:pt>
                <c:pt idx="54">
                  <c:v>5.3075956424674458E-12</c:v>
                </c:pt>
                <c:pt idx="55">
                  <c:v>5.3075956424674458E-12</c:v>
                </c:pt>
                <c:pt idx="56">
                  <c:v>5.3075956424674458E-12</c:v>
                </c:pt>
                <c:pt idx="57">
                  <c:v>5.3075956424674458E-12</c:v>
                </c:pt>
                <c:pt idx="58">
                  <c:v>5.3075956424674458E-12</c:v>
                </c:pt>
                <c:pt idx="59">
                  <c:v>5.3075956424674458E-12</c:v>
                </c:pt>
                <c:pt idx="60">
                  <c:v>5.3075956424674458E-12</c:v>
                </c:pt>
                <c:pt idx="61">
                  <c:v>5.3075956424674458E-12</c:v>
                </c:pt>
                <c:pt idx="62">
                  <c:v>5.3075956424674458E-12</c:v>
                </c:pt>
                <c:pt idx="63">
                  <c:v>5.3075956424674458E-12</c:v>
                </c:pt>
                <c:pt idx="64">
                  <c:v>5.3075956424674458E-12</c:v>
                </c:pt>
                <c:pt idx="65">
                  <c:v>5.3075956424674458E-12</c:v>
                </c:pt>
                <c:pt idx="66">
                  <c:v>5.3075956424674458E-12</c:v>
                </c:pt>
                <c:pt idx="67">
                  <c:v>5.3075956424674458E-12</c:v>
                </c:pt>
                <c:pt idx="68">
                  <c:v>5.3075956424674458E-12</c:v>
                </c:pt>
                <c:pt idx="69">
                  <c:v>5.3075956424674458E-12</c:v>
                </c:pt>
                <c:pt idx="70">
                  <c:v>5.3075956424674458E-12</c:v>
                </c:pt>
                <c:pt idx="71">
                  <c:v>5.3075956424674458E-12</c:v>
                </c:pt>
                <c:pt idx="72">
                  <c:v>5.3075956424674458E-12</c:v>
                </c:pt>
                <c:pt idx="73">
                  <c:v>5.3075956424674458E-12</c:v>
                </c:pt>
                <c:pt idx="74">
                  <c:v>5.3075956424674458E-12</c:v>
                </c:pt>
                <c:pt idx="75">
                  <c:v>5.3075956424674458E-12</c:v>
                </c:pt>
                <c:pt idx="76">
                  <c:v>5.3075956424674458E-12</c:v>
                </c:pt>
                <c:pt idx="77">
                  <c:v>5.3075956424674458E-12</c:v>
                </c:pt>
                <c:pt idx="78">
                  <c:v>5.3075956424674458E-12</c:v>
                </c:pt>
                <c:pt idx="79">
                  <c:v>5.3075956424674458E-12</c:v>
                </c:pt>
                <c:pt idx="80">
                  <c:v>5.3075956424674458E-12</c:v>
                </c:pt>
                <c:pt idx="81">
                  <c:v>5.3075956424674458E-12</c:v>
                </c:pt>
                <c:pt idx="82">
                  <c:v>5.3075956424674458E-12</c:v>
                </c:pt>
                <c:pt idx="83">
                  <c:v>5.3075956424674458E-12</c:v>
                </c:pt>
                <c:pt idx="84">
                  <c:v>5.3075956424674458E-12</c:v>
                </c:pt>
                <c:pt idx="85">
                  <c:v>5.3075956424674458E-12</c:v>
                </c:pt>
                <c:pt idx="86">
                  <c:v>5.3075956424674458E-12</c:v>
                </c:pt>
                <c:pt idx="87">
                  <c:v>5.3075956424674458E-12</c:v>
                </c:pt>
                <c:pt idx="88">
                  <c:v>5.3075956424674458E-12</c:v>
                </c:pt>
                <c:pt idx="89">
                  <c:v>5.3075956424674458E-12</c:v>
                </c:pt>
                <c:pt idx="90">
                  <c:v>5.3075956424674458E-12</c:v>
                </c:pt>
                <c:pt idx="91">
                  <c:v>5.3075956424674458E-12</c:v>
                </c:pt>
                <c:pt idx="92">
                  <c:v>5.3075956424674458E-12</c:v>
                </c:pt>
                <c:pt idx="93">
                  <c:v>5.3075956424674458E-12</c:v>
                </c:pt>
                <c:pt idx="94">
                  <c:v>5.3075956424674458E-12</c:v>
                </c:pt>
                <c:pt idx="95">
                  <c:v>5.3075956424674458E-12</c:v>
                </c:pt>
                <c:pt idx="96">
                  <c:v>5.3075956424674458E-12</c:v>
                </c:pt>
                <c:pt idx="97">
                  <c:v>5.3075956424674458E-12</c:v>
                </c:pt>
                <c:pt idx="98">
                  <c:v>5.3075956424674458E-12</c:v>
                </c:pt>
                <c:pt idx="99">
                  <c:v>5.3075956424674458E-12</c:v>
                </c:pt>
                <c:pt idx="100">
                  <c:v>5.3075956424674458E-12</c:v>
                </c:pt>
                <c:pt idx="101">
                  <c:v>5.3075956424674458E-12</c:v>
                </c:pt>
                <c:pt idx="102">
                  <c:v>5.3075956424674458E-12</c:v>
                </c:pt>
                <c:pt idx="103">
                  <c:v>5.3075956424674458E-12</c:v>
                </c:pt>
                <c:pt idx="104">
                  <c:v>5.3075956424674458E-12</c:v>
                </c:pt>
                <c:pt idx="105">
                  <c:v>5.3075956424674458E-12</c:v>
                </c:pt>
                <c:pt idx="106">
                  <c:v>5.3075956424674458E-12</c:v>
                </c:pt>
                <c:pt idx="107">
                  <c:v>5.3075956424674458E-12</c:v>
                </c:pt>
                <c:pt idx="108">
                  <c:v>5.3075956424674458E-12</c:v>
                </c:pt>
                <c:pt idx="109">
                  <c:v>5.3075956424674458E-12</c:v>
                </c:pt>
                <c:pt idx="110">
                  <c:v>5.3075956424674458E-12</c:v>
                </c:pt>
                <c:pt idx="111">
                  <c:v>5.3075956424674458E-12</c:v>
                </c:pt>
                <c:pt idx="112">
                  <c:v>5.3075956424674458E-12</c:v>
                </c:pt>
                <c:pt idx="113">
                  <c:v>5.3075956424674458E-12</c:v>
                </c:pt>
                <c:pt idx="114">
                  <c:v>5.3075956424674458E-12</c:v>
                </c:pt>
                <c:pt idx="115">
                  <c:v>5.3075956424674458E-12</c:v>
                </c:pt>
                <c:pt idx="116">
                  <c:v>5.3075956424674458E-12</c:v>
                </c:pt>
                <c:pt idx="117">
                  <c:v>5.3075956424674458E-12</c:v>
                </c:pt>
                <c:pt idx="118">
                  <c:v>5.3075956424674458E-12</c:v>
                </c:pt>
                <c:pt idx="119">
                  <c:v>5.3075956424674458E-12</c:v>
                </c:pt>
                <c:pt idx="120">
                  <c:v>5.3075956424674458E-12</c:v>
                </c:pt>
                <c:pt idx="121">
                  <c:v>5.3075956424674458E-12</c:v>
                </c:pt>
                <c:pt idx="122">
                  <c:v>5.3075956424674458E-12</c:v>
                </c:pt>
                <c:pt idx="123">
                  <c:v>5.3075956424674458E-12</c:v>
                </c:pt>
                <c:pt idx="124">
                  <c:v>5.3075956424674458E-12</c:v>
                </c:pt>
                <c:pt idx="125">
                  <c:v>5.3075956424674458E-12</c:v>
                </c:pt>
                <c:pt idx="126">
                  <c:v>5.3075956424674458E-12</c:v>
                </c:pt>
                <c:pt idx="127">
                  <c:v>5.3075956424674458E-12</c:v>
                </c:pt>
                <c:pt idx="128">
                  <c:v>5.3075956424674458E-12</c:v>
                </c:pt>
                <c:pt idx="129">
                  <c:v>5.3075956424674458E-12</c:v>
                </c:pt>
                <c:pt idx="130">
                  <c:v>5.3075956424674458E-12</c:v>
                </c:pt>
                <c:pt idx="131">
                  <c:v>5.3075956424674458E-12</c:v>
                </c:pt>
                <c:pt idx="132">
                  <c:v>5.3075956424674458E-12</c:v>
                </c:pt>
                <c:pt idx="133">
                  <c:v>5.3075956424674458E-12</c:v>
                </c:pt>
                <c:pt idx="134">
                  <c:v>5.3075956424674458E-12</c:v>
                </c:pt>
                <c:pt idx="135">
                  <c:v>5.3075956424674458E-12</c:v>
                </c:pt>
                <c:pt idx="136">
                  <c:v>5.3075956424674458E-12</c:v>
                </c:pt>
                <c:pt idx="137">
                  <c:v>5.3075956424674458E-12</c:v>
                </c:pt>
                <c:pt idx="138">
                  <c:v>5.3075956424674458E-12</c:v>
                </c:pt>
                <c:pt idx="139">
                  <c:v>5.3075956424674458E-12</c:v>
                </c:pt>
                <c:pt idx="140">
                  <c:v>5.3075956424674458E-12</c:v>
                </c:pt>
                <c:pt idx="141">
                  <c:v>5.3075956424674458E-12</c:v>
                </c:pt>
                <c:pt idx="142">
                  <c:v>5.3075956424674458E-12</c:v>
                </c:pt>
                <c:pt idx="143">
                  <c:v>5.3075956424674458E-12</c:v>
                </c:pt>
                <c:pt idx="144">
                  <c:v>5.3075956424674458E-12</c:v>
                </c:pt>
                <c:pt idx="145">
                  <c:v>5.3075956424674458E-12</c:v>
                </c:pt>
                <c:pt idx="146">
                  <c:v>5.3075956424674458E-12</c:v>
                </c:pt>
                <c:pt idx="147">
                  <c:v>5.3075956424674458E-12</c:v>
                </c:pt>
                <c:pt idx="148">
                  <c:v>5.3075956424674458E-12</c:v>
                </c:pt>
                <c:pt idx="149">
                  <c:v>5.3075956424674458E-12</c:v>
                </c:pt>
                <c:pt idx="150">
                  <c:v>5.3075956424674458E-12</c:v>
                </c:pt>
                <c:pt idx="151">
                  <c:v>5.3075956424674458E-12</c:v>
                </c:pt>
                <c:pt idx="152">
                  <c:v>5.3075956424674458E-12</c:v>
                </c:pt>
                <c:pt idx="153">
                  <c:v>5.3075956424674458E-12</c:v>
                </c:pt>
                <c:pt idx="154">
                  <c:v>5.3075956424674458E-12</c:v>
                </c:pt>
                <c:pt idx="155">
                  <c:v>5.3075956424674458E-12</c:v>
                </c:pt>
                <c:pt idx="156">
                  <c:v>5.3075956424674458E-12</c:v>
                </c:pt>
                <c:pt idx="157">
                  <c:v>5.3075956424674458E-12</c:v>
                </c:pt>
                <c:pt idx="158">
                  <c:v>5.3075956424674458E-12</c:v>
                </c:pt>
                <c:pt idx="159">
                  <c:v>5.3075956424674458E-12</c:v>
                </c:pt>
                <c:pt idx="160">
                  <c:v>5.3075956424674458E-12</c:v>
                </c:pt>
                <c:pt idx="161">
                  <c:v>5.3075956424674458E-12</c:v>
                </c:pt>
                <c:pt idx="162">
                  <c:v>5.3075956424674458E-12</c:v>
                </c:pt>
                <c:pt idx="163">
                  <c:v>5.3075956424674458E-12</c:v>
                </c:pt>
                <c:pt idx="164">
                  <c:v>5.3075956424674458E-12</c:v>
                </c:pt>
                <c:pt idx="165">
                  <c:v>5.3075956424674458E-12</c:v>
                </c:pt>
                <c:pt idx="166">
                  <c:v>5.3075956424674458E-12</c:v>
                </c:pt>
                <c:pt idx="167">
                  <c:v>5.3075956424674458E-12</c:v>
                </c:pt>
                <c:pt idx="168">
                  <c:v>5.3075956424674458E-12</c:v>
                </c:pt>
                <c:pt idx="169">
                  <c:v>5.3075956424674458E-12</c:v>
                </c:pt>
                <c:pt idx="170">
                  <c:v>5.3075956424674458E-12</c:v>
                </c:pt>
                <c:pt idx="171">
                  <c:v>5.3075956424674458E-12</c:v>
                </c:pt>
                <c:pt idx="172">
                  <c:v>5.3075956424674458E-12</c:v>
                </c:pt>
                <c:pt idx="173">
                  <c:v>5.3075956424674458E-12</c:v>
                </c:pt>
                <c:pt idx="174">
                  <c:v>5.3075956424674458E-12</c:v>
                </c:pt>
                <c:pt idx="175">
                  <c:v>5.3075956424674458E-12</c:v>
                </c:pt>
                <c:pt idx="176">
                  <c:v>5.3075956424674458E-12</c:v>
                </c:pt>
                <c:pt idx="177">
                  <c:v>5.3075956424674458E-12</c:v>
                </c:pt>
                <c:pt idx="178">
                  <c:v>5.3075956424674458E-12</c:v>
                </c:pt>
                <c:pt idx="179">
                  <c:v>5.3075956424674458E-12</c:v>
                </c:pt>
                <c:pt idx="180">
                  <c:v>5.3075956424674458E-12</c:v>
                </c:pt>
                <c:pt idx="181">
                  <c:v>5.3075956424674458E-12</c:v>
                </c:pt>
                <c:pt idx="182">
                  <c:v>5.3075956424674458E-12</c:v>
                </c:pt>
                <c:pt idx="183">
                  <c:v>5.3075956424674458E-12</c:v>
                </c:pt>
                <c:pt idx="184">
                  <c:v>5.3075956424674458E-12</c:v>
                </c:pt>
                <c:pt idx="185">
                  <c:v>5.3075956424674458E-12</c:v>
                </c:pt>
                <c:pt idx="186">
                  <c:v>5.3075956424674458E-12</c:v>
                </c:pt>
                <c:pt idx="187">
                  <c:v>5.3075956424674458E-12</c:v>
                </c:pt>
                <c:pt idx="188">
                  <c:v>5.3075956424674458E-12</c:v>
                </c:pt>
                <c:pt idx="189">
                  <c:v>5.3075956424674458E-12</c:v>
                </c:pt>
                <c:pt idx="190">
                  <c:v>5.3075956424674458E-12</c:v>
                </c:pt>
                <c:pt idx="191">
                  <c:v>5.3075956424674458E-12</c:v>
                </c:pt>
                <c:pt idx="192">
                  <c:v>5.3075956424674458E-12</c:v>
                </c:pt>
                <c:pt idx="193">
                  <c:v>5.3075956424674458E-12</c:v>
                </c:pt>
                <c:pt idx="194">
                  <c:v>5.3075956424674458E-12</c:v>
                </c:pt>
                <c:pt idx="195">
                  <c:v>5.3075956424674458E-12</c:v>
                </c:pt>
                <c:pt idx="196">
                  <c:v>5.3075956424674458E-12</c:v>
                </c:pt>
                <c:pt idx="197">
                  <c:v>5.3075956424674458E-12</c:v>
                </c:pt>
                <c:pt idx="198">
                  <c:v>5.3075956424674458E-12</c:v>
                </c:pt>
                <c:pt idx="199">
                  <c:v>5.3075956424674458E-12</c:v>
                </c:pt>
                <c:pt idx="200">
                  <c:v>5.3075956424674458E-12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373.37184903581334</c:v>
                </c:pt>
                <c:pt idx="47">
                  <c:v>389.75013922020406</c:v>
                </c:pt>
                <c:pt idx="48">
                  <c:v>406.11349808426445</c:v>
                </c:pt>
                <c:pt idx="49">
                  <c:v>422.46261177230537</c:v>
                </c:pt>
                <c:pt idx="50">
                  <c:v>438.7981090039209</c:v>
                </c:pt>
                <c:pt idx="51">
                  <c:v>391.98236961231743</c:v>
                </c:pt>
                <c:pt idx="52">
                  <c:v>406.48522456571527</c:v>
                </c:pt>
                <c:pt idx="53">
                  <c:v>420.97690043878242</c:v>
                </c:pt>
                <c:pt idx="54">
                  <c:v>435.45783620208516</c:v>
                </c:pt>
                <c:pt idx="55">
                  <c:v>449.92843925372966</c:v>
                </c:pt>
                <c:pt idx="56">
                  <c:v>408.71542941668878</c:v>
                </c:pt>
                <c:pt idx="57">
                  <c:v>421.34833884363542</c:v>
                </c:pt>
                <c:pt idx="58">
                  <c:v>433.97309421022049</c:v>
                </c:pt>
                <c:pt idx="59">
                  <c:v>446.58996615169809</c:v>
                </c:pt>
                <c:pt idx="60">
                  <c:v>459.19920876443319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444.36402075569396</c:v>
                </c:pt>
                <c:pt idx="64">
                  <c:v>455.49138558575584</c:v>
                </c:pt>
                <c:pt idx="65">
                  <c:v>466.61294333655468</c:v>
                </c:pt>
                <c:pt idx="66">
                  <c:v>433.60189168293124</c:v>
                </c:pt>
                <c:pt idx="67">
                  <c:v>443.25095855050807</c:v>
                </c:pt>
                <c:pt idx="68">
                  <c:v>452.89552584845842</c:v>
                </c:pt>
                <c:pt idx="69">
                  <c:v>462.53570293273214</c:v>
                </c:pt>
                <c:pt idx="70">
                  <c:v>472.17159422788467</c:v>
                </c:pt>
                <c:pt idx="71">
                  <c:v>4.566883036574213E-12</c:v>
                </c:pt>
                <c:pt idx="72">
                  <c:v>4.566883036574213E-12</c:v>
                </c:pt>
                <c:pt idx="73">
                  <c:v>4.566883036574213E-12</c:v>
                </c:pt>
                <c:pt idx="74">
                  <c:v>4.566883036574213E-12</c:v>
                </c:pt>
                <c:pt idx="75">
                  <c:v>4.566883036574213E-12</c:v>
                </c:pt>
                <c:pt idx="76">
                  <c:v>4.566883036574213E-12</c:v>
                </c:pt>
                <c:pt idx="77">
                  <c:v>4.566883036574213E-12</c:v>
                </c:pt>
                <c:pt idx="78">
                  <c:v>4.566883036574213E-12</c:v>
                </c:pt>
                <c:pt idx="79">
                  <c:v>4.566883036574213E-12</c:v>
                </c:pt>
                <c:pt idx="80">
                  <c:v>4.566883036574213E-12</c:v>
                </c:pt>
                <c:pt idx="81">
                  <c:v>4.566883036574213E-12</c:v>
                </c:pt>
                <c:pt idx="82">
                  <c:v>4.566883036574213E-12</c:v>
                </c:pt>
                <c:pt idx="83">
                  <c:v>4.566883036574213E-12</c:v>
                </c:pt>
                <c:pt idx="84">
                  <c:v>4.566883036574213E-12</c:v>
                </c:pt>
                <c:pt idx="85">
                  <c:v>4.566883036574213E-12</c:v>
                </c:pt>
                <c:pt idx="86">
                  <c:v>4.566883036574213E-12</c:v>
                </c:pt>
                <c:pt idx="87">
                  <c:v>4.566883036574213E-12</c:v>
                </c:pt>
                <c:pt idx="88">
                  <c:v>4.566883036574213E-12</c:v>
                </c:pt>
                <c:pt idx="89">
                  <c:v>4.566883036574213E-12</c:v>
                </c:pt>
                <c:pt idx="90">
                  <c:v>4.566883036574213E-12</c:v>
                </c:pt>
                <c:pt idx="91">
                  <c:v>4.566883036574213E-12</c:v>
                </c:pt>
                <c:pt idx="92">
                  <c:v>4.566883036574213E-12</c:v>
                </c:pt>
                <c:pt idx="93">
                  <c:v>4.566883036574213E-12</c:v>
                </c:pt>
                <c:pt idx="94">
                  <c:v>4.566883036574213E-12</c:v>
                </c:pt>
                <c:pt idx="95">
                  <c:v>4.566883036574213E-12</c:v>
                </c:pt>
                <c:pt idx="96">
                  <c:v>4.566883036574213E-12</c:v>
                </c:pt>
                <c:pt idx="97">
                  <c:v>4.566883036574213E-12</c:v>
                </c:pt>
                <c:pt idx="98">
                  <c:v>4.566883036574213E-12</c:v>
                </c:pt>
                <c:pt idx="99">
                  <c:v>4.566883036574213E-12</c:v>
                </c:pt>
                <c:pt idx="100">
                  <c:v>4.566883036574213E-12</c:v>
                </c:pt>
                <c:pt idx="101">
                  <c:v>4.566883036574213E-12</c:v>
                </c:pt>
                <c:pt idx="102">
                  <c:v>4.566883036574213E-12</c:v>
                </c:pt>
                <c:pt idx="103">
                  <c:v>4.566883036574213E-12</c:v>
                </c:pt>
                <c:pt idx="104">
                  <c:v>4.566883036574213E-12</c:v>
                </c:pt>
                <c:pt idx="105">
                  <c:v>4.566883036574213E-12</c:v>
                </c:pt>
                <c:pt idx="106">
                  <c:v>4.566883036574213E-12</c:v>
                </c:pt>
                <c:pt idx="107">
                  <c:v>4.566883036574213E-12</c:v>
                </c:pt>
                <c:pt idx="108">
                  <c:v>4.566883036574213E-12</c:v>
                </c:pt>
                <c:pt idx="109">
                  <c:v>4.566883036574213E-12</c:v>
                </c:pt>
                <c:pt idx="110">
                  <c:v>4.566883036574213E-12</c:v>
                </c:pt>
                <c:pt idx="111">
                  <c:v>4.566883036574213E-12</c:v>
                </c:pt>
                <c:pt idx="112">
                  <c:v>4.566883036574213E-12</c:v>
                </c:pt>
                <c:pt idx="113">
                  <c:v>4.566883036574213E-12</c:v>
                </c:pt>
                <c:pt idx="114">
                  <c:v>4.566883036574213E-12</c:v>
                </c:pt>
                <c:pt idx="115">
                  <c:v>4.566883036574213E-12</c:v>
                </c:pt>
                <c:pt idx="116">
                  <c:v>4.566883036574213E-12</c:v>
                </c:pt>
                <c:pt idx="117">
                  <c:v>4.566883036574213E-12</c:v>
                </c:pt>
                <c:pt idx="118">
                  <c:v>4.566883036574213E-12</c:v>
                </c:pt>
                <c:pt idx="119">
                  <c:v>4.566883036574213E-12</c:v>
                </c:pt>
                <c:pt idx="120">
                  <c:v>4.566883036574213E-12</c:v>
                </c:pt>
                <c:pt idx="121">
                  <c:v>4.566883036574213E-12</c:v>
                </c:pt>
                <c:pt idx="122">
                  <c:v>4.566883036574213E-12</c:v>
                </c:pt>
                <c:pt idx="123">
                  <c:v>4.566883036574213E-12</c:v>
                </c:pt>
                <c:pt idx="124">
                  <c:v>4.566883036574213E-12</c:v>
                </c:pt>
                <c:pt idx="125">
                  <c:v>4.566883036574213E-12</c:v>
                </c:pt>
                <c:pt idx="126">
                  <c:v>4.566883036574213E-12</c:v>
                </c:pt>
                <c:pt idx="127">
                  <c:v>4.566883036574213E-12</c:v>
                </c:pt>
                <c:pt idx="128">
                  <c:v>4.566883036574213E-12</c:v>
                </c:pt>
                <c:pt idx="129">
                  <c:v>4.566883036574213E-12</c:v>
                </c:pt>
                <c:pt idx="130">
                  <c:v>4.566883036574213E-12</c:v>
                </c:pt>
                <c:pt idx="131">
                  <c:v>4.566883036574213E-12</c:v>
                </c:pt>
                <c:pt idx="132">
                  <c:v>4.566883036574213E-12</c:v>
                </c:pt>
                <c:pt idx="133">
                  <c:v>4.566883036574213E-12</c:v>
                </c:pt>
                <c:pt idx="134">
                  <c:v>4.566883036574213E-12</c:v>
                </c:pt>
                <c:pt idx="135">
                  <c:v>4.566883036574213E-12</c:v>
                </c:pt>
                <c:pt idx="136">
                  <c:v>4.566883036574213E-12</c:v>
                </c:pt>
                <c:pt idx="137">
                  <c:v>4.566883036574213E-12</c:v>
                </c:pt>
                <c:pt idx="138">
                  <c:v>4.566883036574213E-12</c:v>
                </c:pt>
                <c:pt idx="139">
                  <c:v>4.566883036574213E-12</c:v>
                </c:pt>
                <c:pt idx="140">
                  <c:v>4.566883036574213E-12</c:v>
                </c:pt>
                <c:pt idx="141">
                  <c:v>4.566883036574213E-12</c:v>
                </c:pt>
                <c:pt idx="142">
                  <c:v>4.566883036574213E-12</c:v>
                </c:pt>
                <c:pt idx="143">
                  <c:v>4.566883036574213E-12</c:v>
                </c:pt>
                <c:pt idx="144">
                  <c:v>4.566883036574213E-12</c:v>
                </c:pt>
                <c:pt idx="145">
                  <c:v>4.566883036574213E-12</c:v>
                </c:pt>
                <c:pt idx="146">
                  <c:v>4.566883036574213E-12</c:v>
                </c:pt>
                <c:pt idx="147">
                  <c:v>4.566883036574213E-12</c:v>
                </c:pt>
                <c:pt idx="148">
                  <c:v>4.566883036574213E-12</c:v>
                </c:pt>
                <c:pt idx="149">
                  <c:v>4.566883036574213E-12</c:v>
                </c:pt>
                <c:pt idx="150">
                  <c:v>4.566883036574213E-12</c:v>
                </c:pt>
                <c:pt idx="151">
                  <c:v>4.566883036574213E-12</c:v>
                </c:pt>
                <c:pt idx="152">
                  <c:v>4.566883036574213E-12</c:v>
                </c:pt>
                <c:pt idx="153">
                  <c:v>4.566883036574213E-12</c:v>
                </c:pt>
                <c:pt idx="154">
                  <c:v>4.566883036574213E-12</c:v>
                </c:pt>
                <c:pt idx="155">
                  <c:v>4.566883036574213E-12</c:v>
                </c:pt>
                <c:pt idx="156">
                  <c:v>4.566883036574213E-12</c:v>
                </c:pt>
                <c:pt idx="157">
                  <c:v>4.566883036574213E-12</c:v>
                </c:pt>
                <c:pt idx="158">
                  <c:v>4.566883036574213E-12</c:v>
                </c:pt>
                <c:pt idx="159">
                  <c:v>4.566883036574213E-12</c:v>
                </c:pt>
                <c:pt idx="160">
                  <c:v>4.566883036574213E-12</c:v>
                </c:pt>
                <c:pt idx="161">
                  <c:v>4.566883036574213E-12</c:v>
                </c:pt>
                <c:pt idx="162">
                  <c:v>4.566883036574213E-12</c:v>
                </c:pt>
                <c:pt idx="163">
                  <c:v>4.566883036574213E-12</c:v>
                </c:pt>
                <c:pt idx="164">
                  <c:v>4.566883036574213E-12</c:v>
                </c:pt>
                <c:pt idx="165">
                  <c:v>4.566883036574213E-12</c:v>
                </c:pt>
                <c:pt idx="166">
                  <c:v>4.566883036574213E-12</c:v>
                </c:pt>
                <c:pt idx="167">
                  <c:v>4.566883036574213E-12</c:v>
                </c:pt>
                <c:pt idx="168">
                  <c:v>4.566883036574213E-12</c:v>
                </c:pt>
                <c:pt idx="169">
                  <c:v>4.566883036574213E-12</c:v>
                </c:pt>
                <c:pt idx="170">
                  <c:v>4.566883036574213E-12</c:v>
                </c:pt>
                <c:pt idx="171">
                  <c:v>4.566883036574213E-12</c:v>
                </c:pt>
                <c:pt idx="172">
                  <c:v>4.566883036574213E-12</c:v>
                </c:pt>
                <c:pt idx="173">
                  <c:v>4.566883036574213E-12</c:v>
                </c:pt>
                <c:pt idx="174">
                  <c:v>4.566883036574213E-12</c:v>
                </c:pt>
                <c:pt idx="175">
                  <c:v>4.566883036574213E-12</c:v>
                </c:pt>
                <c:pt idx="176">
                  <c:v>4.566883036574213E-12</c:v>
                </c:pt>
                <c:pt idx="177">
                  <c:v>4.566883036574213E-12</c:v>
                </c:pt>
                <c:pt idx="178">
                  <c:v>4.566883036574213E-12</c:v>
                </c:pt>
                <c:pt idx="179">
                  <c:v>4.566883036574213E-12</c:v>
                </c:pt>
                <c:pt idx="180">
                  <c:v>4.566883036574213E-12</c:v>
                </c:pt>
                <c:pt idx="181">
                  <c:v>4.566883036574213E-12</c:v>
                </c:pt>
                <c:pt idx="182">
                  <c:v>4.566883036574213E-12</c:v>
                </c:pt>
                <c:pt idx="183">
                  <c:v>4.566883036574213E-12</c:v>
                </c:pt>
                <c:pt idx="184">
                  <c:v>4.566883036574213E-12</c:v>
                </c:pt>
                <c:pt idx="185">
                  <c:v>4.566883036574213E-12</c:v>
                </c:pt>
                <c:pt idx="186">
                  <c:v>4.566883036574213E-12</c:v>
                </c:pt>
                <c:pt idx="187">
                  <c:v>4.566883036574213E-12</c:v>
                </c:pt>
                <c:pt idx="188">
                  <c:v>4.566883036574213E-12</c:v>
                </c:pt>
                <c:pt idx="189">
                  <c:v>4.566883036574213E-12</c:v>
                </c:pt>
                <c:pt idx="190">
                  <c:v>4.566883036574213E-12</c:v>
                </c:pt>
                <c:pt idx="191">
                  <c:v>4.566883036574213E-12</c:v>
                </c:pt>
                <c:pt idx="192">
                  <c:v>4.566883036574213E-12</c:v>
                </c:pt>
                <c:pt idx="193">
                  <c:v>4.566883036574213E-12</c:v>
                </c:pt>
                <c:pt idx="194">
                  <c:v>4.566883036574213E-12</c:v>
                </c:pt>
                <c:pt idx="195">
                  <c:v>4.566883036574213E-12</c:v>
                </c:pt>
                <c:pt idx="196">
                  <c:v>4.566883036574213E-12</c:v>
                </c:pt>
                <c:pt idx="197">
                  <c:v>4.566883036574213E-12</c:v>
                </c:pt>
                <c:pt idx="198">
                  <c:v>4.566883036574213E-12</c:v>
                </c:pt>
                <c:pt idx="199">
                  <c:v>4.566883036574213E-12</c:v>
                </c:pt>
                <c:pt idx="200">
                  <c:v>4.566883036574213E-12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G45" sqref="G4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0.35</v>
      </c>
      <c r="D9" s="36">
        <f t="shared" ref="D9:D18" si="0">C9*$C$5</f>
        <v>2.4499999999999997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81</v>
      </c>
      <c r="C10" s="35">
        <v>0.22</v>
      </c>
      <c r="D10" s="36">
        <f t="shared" si="0"/>
        <v>1.54</v>
      </c>
      <c r="E10" s="37">
        <v>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0.19</v>
      </c>
      <c r="D11" s="36">
        <f t="shared" si="0"/>
        <v>1.33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</v>
      </c>
      <c r="C12" s="35">
        <v>7.0000000000000007E-2</v>
      </c>
      <c r="D12" s="36">
        <f t="shared" si="0"/>
        <v>0.49000000000000005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8</v>
      </c>
      <c r="C13" s="35">
        <v>7.0000000000000007E-2</v>
      </c>
      <c r="D13" s="36">
        <f t="shared" si="0"/>
        <v>0.49000000000000005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23</v>
      </c>
      <c r="C14" s="35">
        <v>3.3300000000000003E-2</v>
      </c>
      <c r="D14" s="36">
        <f t="shared" si="0"/>
        <v>0.23310000000000003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44</v>
      </c>
      <c r="C15" s="35">
        <v>3.3300000000000003E-2</v>
      </c>
      <c r="D15" s="36">
        <f t="shared" si="0"/>
        <v>0.23310000000000003</v>
      </c>
      <c r="E15" s="37">
        <v>45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13</v>
      </c>
      <c r="C16" s="35">
        <v>3.3300000000000003E-2</v>
      </c>
      <c r="D16" s="36">
        <f t="shared" si="0"/>
        <v>0.23310000000000003</v>
      </c>
      <c r="E16" s="37">
        <v>70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0.99990000000000012</v>
      </c>
      <c r="D19" s="41">
        <f>SUM(D9:D18)</f>
        <v>6.9993000000000016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19</v>
      </c>
      <c r="B36" s="63">
        <v>154.44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8.1284210526315785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21</v>
      </c>
      <c r="B37" s="63">
        <v>195.15</v>
      </c>
      <c r="C37" s="63">
        <v>2</v>
      </c>
      <c r="D37" s="63">
        <v>64.58</v>
      </c>
      <c r="E37" s="54"/>
      <c r="F37" s="54">
        <v>0.5</v>
      </c>
      <c r="G37" s="54">
        <v>0.5</v>
      </c>
      <c r="H37" s="54"/>
      <c r="I37" s="56">
        <f t="shared" ref="I37:I55" si="1">IF(A37&lt;&gt;0,(B37-(B36-D36))/(A37-A36),"")</f>
        <v>20.355000000000004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28</v>
      </c>
      <c r="B38" s="63">
        <v>281.86</v>
      </c>
      <c r="C38" s="63">
        <v>3</v>
      </c>
      <c r="D38" s="63">
        <v>67.61</v>
      </c>
      <c r="E38" s="54"/>
      <c r="F38" s="54">
        <v>0.8</v>
      </c>
      <c r="G38" s="54">
        <v>0.2</v>
      </c>
      <c r="H38" s="54"/>
      <c r="I38" s="56">
        <f t="shared" si="1"/>
        <v>21.612857142857145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377.12</v>
      </c>
      <c r="C39" s="63">
        <v>4</v>
      </c>
      <c r="D39" s="63">
        <v>86.68</v>
      </c>
      <c r="E39" s="54"/>
      <c r="F39" s="54"/>
      <c r="G39" s="54"/>
      <c r="H39" s="54"/>
      <c r="I39" s="52">
        <f t="shared" si="1"/>
        <v>23.267142857142858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42</v>
      </c>
      <c r="B40" s="63">
        <v>450.23</v>
      </c>
      <c r="C40" s="63">
        <v>5</v>
      </c>
      <c r="D40" s="63">
        <v>99.98</v>
      </c>
      <c r="E40" s="54"/>
      <c r="F40" s="54"/>
      <c r="G40" s="54"/>
      <c r="H40" s="54"/>
      <c r="I40" s="52">
        <f t="shared" si="1"/>
        <v>22.82714285714286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49</v>
      </c>
      <c r="B41" s="63">
        <v>503.83</v>
      </c>
      <c r="C41" s="63">
        <v>6</v>
      </c>
      <c r="D41" s="63">
        <v>112.61</v>
      </c>
      <c r="E41" s="54"/>
      <c r="F41" s="54"/>
      <c r="G41" s="54"/>
      <c r="H41" s="54"/>
      <c r="I41" s="56">
        <f t="shared" si="1"/>
        <v>21.939999999999998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56</v>
      </c>
      <c r="B42" s="63">
        <v>533.49</v>
      </c>
      <c r="C42" s="63">
        <v>7</v>
      </c>
      <c r="D42" s="63">
        <v>94.57</v>
      </c>
      <c r="E42" s="54"/>
      <c r="F42" s="54"/>
      <c r="G42" s="54"/>
      <c r="H42" s="54"/>
      <c r="I42" s="56">
        <f t="shared" si="1"/>
        <v>20.324285714285718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63</v>
      </c>
      <c r="B43" s="63">
        <v>569</v>
      </c>
      <c r="C43" s="63">
        <v>8</v>
      </c>
      <c r="D43" s="63">
        <v>99.49</v>
      </c>
      <c r="E43" s="54"/>
      <c r="F43" s="54"/>
      <c r="G43" s="54"/>
      <c r="H43" s="54"/>
      <c r="I43" s="52">
        <f t="shared" si="1"/>
        <v>18.58285714285714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69</v>
      </c>
      <c r="B44" s="63">
        <v>569.98</v>
      </c>
      <c r="C44" s="63">
        <v>9</v>
      </c>
      <c r="D44" s="63">
        <v>0</v>
      </c>
      <c r="E44" s="54"/>
      <c r="F44" s="54"/>
      <c r="G44" s="54"/>
      <c r="H44" s="54"/>
      <c r="I44" s="52">
        <f t="shared" si="1"/>
        <v>16.745000000000005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586.05999999999995</v>
      </c>
      <c r="C45" s="63">
        <v>10</v>
      </c>
      <c r="D45" s="63">
        <v>586.05999999999995</v>
      </c>
      <c r="E45" s="54"/>
      <c r="F45" s="54"/>
      <c r="G45" s="54"/>
      <c r="H45" s="54"/>
      <c r="I45" s="52">
        <f t="shared" si="1"/>
        <v>16.079999999999927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Mélèze hybride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3">
        <v>83</v>
      </c>
      <c r="C62" s="63">
        <v>1</v>
      </c>
      <c r="D62" s="63">
        <v>26</v>
      </c>
      <c r="E62" s="54"/>
      <c r="F62" s="54"/>
      <c r="G62" s="54">
        <v>1</v>
      </c>
      <c r="H62" s="54"/>
      <c r="I62" s="56">
        <f>IFERROR(B62/A62,"")</f>
        <v>8.3000000000000007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3">
        <v>175</v>
      </c>
      <c r="C63" s="63">
        <v>2</v>
      </c>
      <c r="D63" s="63">
        <v>54</v>
      </c>
      <c r="E63" s="54"/>
      <c r="F63" s="54"/>
      <c r="G63" s="54">
        <v>1</v>
      </c>
      <c r="H63" s="54"/>
      <c r="I63" s="52">
        <f>IF(A63&lt;&gt;0,(B63-(B62-D62))/(A63-A62),"")</f>
        <v>23.6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20</v>
      </c>
      <c r="B64" s="63">
        <v>246</v>
      </c>
      <c r="C64" s="63">
        <v>3</v>
      </c>
      <c r="D64" s="63">
        <v>61</v>
      </c>
      <c r="E64" s="54"/>
      <c r="F64" s="54"/>
      <c r="G64" s="54">
        <v>1</v>
      </c>
      <c r="H64" s="54"/>
      <c r="I64" s="52">
        <f>IF(A64&lt;&gt;0,(B64-(B63-D63))/(A64-A63),"")</f>
        <v>25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25</v>
      </c>
      <c r="B65" s="63">
        <v>295</v>
      </c>
      <c r="C65" s="63">
        <v>4</v>
      </c>
      <c r="D65" s="63">
        <v>57</v>
      </c>
      <c r="E65" s="54"/>
      <c r="F65" s="54">
        <v>0.5</v>
      </c>
      <c r="G65" s="54">
        <v>0.5</v>
      </c>
      <c r="H65" s="54"/>
      <c r="I65" s="52">
        <f>IF(A65&lt;&gt;0,(B65-(B64-D64))/(A65-A64),"")</f>
        <v>22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3">
        <v>327</v>
      </c>
      <c r="C66" s="63">
        <v>5</v>
      </c>
      <c r="D66" s="63">
        <v>48</v>
      </c>
      <c r="E66" s="54"/>
      <c r="F66" s="54">
        <v>0.5</v>
      </c>
      <c r="G66" s="54">
        <v>0.5</v>
      </c>
      <c r="H66" s="54"/>
      <c r="I66" s="52">
        <f t="shared" ref="I66:I81" si="2">IF(A66&lt;&gt;0,(B66-(B65-D65))/(A66-A65),"")</f>
        <v>17.8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3">
        <v>347</v>
      </c>
      <c r="C67" s="63">
        <v>6</v>
      </c>
      <c r="D67" s="63">
        <v>38</v>
      </c>
      <c r="E67" s="54"/>
      <c r="F67" s="54"/>
      <c r="G67" s="54"/>
      <c r="H67" s="54"/>
      <c r="I67" s="52">
        <f t="shared" si="2"/>
        <v>13.6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3">
        <v>360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10.199999999999999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45</v>
      </c>
      <c r="B69" s="53">
        <v>369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50</v>
      </c>
      <c r="B70" s="53">
        <v>374</v>
      </c>
      <c r="C70" s="53">
        <v>9</v>
      </c>
      <c r="D70" s="53">
        <v>374</v>
      </c>
      <c r="E70" s="54"/>
      <c r="F70" s="54"/>
      <c r="G70" s="54"/>
      <c r="H70" s="54"/>
      <c r="I70" s="52">
        <f t="shared" si="2"/>
        <v>5.2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73</v>
      </c>
      <c r="C88" s="63">
        <v>1</v>
      </c>
      <c r="D88" s="63">
        <v>6</v>
      </c>
      <c r="E88" s="54"/>
      <c r="F88" s="54"/>
      <c r="G88" s="54"/>
      <c r="H88" s="93">
        <v>1</v>
      </c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103</v>
      </c>
      <c r="C89" s="63">
        <v>2</v>
      </c>
      <c r="D89" s="63">
        <v>28</v>
      </c>
      <c r="E89" s="54"/>
      <c r="F89" s="54"/>
      <c r="G89" s="54"/>
      <c r="H89" s="93">
        <v>1</v>
      </c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121</v>
      </c>
      <c r="C90" s="63">
        <v>3</v>
      </c>
      <c r="D90" s="63">
        <v>28</v>
      </c>
      <c r="E90" s="93"/>
      <c r="F90" s="93"/>
      <c r="G90" s="93"/>
      <c r="H90" s="93">
        <v>1</v>
      </c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147</v>
      </c>
      <c r="C91" s="63">
        <v>4</v>
      </c>
      <c r="D91" s="63">
        <v>28</v>
      </c>
      <c r="E91" s="93"/>
      <c r="F91" s="93"/>
      <c r="G91" s="93"/>
      <c r="H91" s="93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175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204</v>
      </c>
      <c r="C93" s="63">
        <v>6</v>
      </c>
      <c r="D93" s="63">
        <v>28</v>
      </c>
      <c r="E93" s="93"/>
      <c r="F93" s="93"/>
      <c r="G93" s="93"/>
      <c r="H93" s="93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231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254</v>
      </c>
      <c r="C95" s="63">
        <v>8</v>
      </c>
      <c r="D95" s="63">
        <v>28</v>
      </c>
      <c r="E95" s="93"/>
      <c r="F95" s="93"/>
      <c r="G95" s="93"/>
      <c r="H95" s="93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273</v>
      </c>
      <c r="C96" s="63">
        <v>9</v>
      </c>
      <c r="D96" s="63">
        <v>28</v>
      </c>
      <c r="E96" s="93"/>
      <c r="F96" s="93"/>
      <c r="G96" s="93"/>
      <c r="H96" s="93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289</v>
      </c>
      <c r="C97" s="63">
        <v>10</v>
      </c>
      <c r="D97" s="63">
        <v>28</v>
      </c>
      <c r="E97" s="93"/>
      <c r="F97" s="93"/>
      <c r="G97" s="93"/>
      <c r="H97" s="93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302</v>
      </c>
      <c r="C98" s="63">
        <v>11</v>
      </c>
      <c r="D98" s="63">
        <v>28</v>
      </c>
      <c r="E98" s="93"/>
      <c r="F98" s="93"/>
      <c r="G98" s="93"/>
      <c r="H98" s="93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312</v>
      </c>
      <c r="C99" s="63">
        <v>12</v>
      </c>
      <c r="D99" s="63">
        <v>28</v>
      </c>
      <c r="E99" s="93"/>
      <c r="F99" s="93"/>
      <c r="G99" s="93"/>
      <c r="H99" s="93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320</v>
      </c>
      <c r="C100" s="63">
        <v>13</v>
      </c>
      <c r="D100" s="63">
        <v>28</v>
      </c>
      <c r="E100" s="68"/>
      <c r="F100" s="68"/>
      <c r="G100" s="68"/>
      <c r="H100" s="68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326</v>
      </c>
      <c r="C101" s="63">
        <v>14</v>
      </c>
      <c r="D101" s="63">
        <v>28</v>
      </c>
      <c r="E101" s="68"/>
      <c r="F101" s="68"/>
      <c r="G101" s="68"/>
      <c r="H101" s="68"/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330</v>
      </c>
      <c r="C102" s="63">
        <v>15</v>
      </c>
      <c r="D102" s="53">
        <v>28</v>
      </c>
      <c r="E102" s="57"/>
      <c r="F102" s="57"/>
      <c r="G102" s="57"/>
      <c r="H102" s="57"/>
      <c r="I102" s="56">
        <f t="shared" si="3"/>
        <v>6.4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95</v>
      </c>
      <c r="B103" s="53">
        <v>333</v>
      </c>
      <c r="C103" s="63">
        <v>16</v>
      </c>
      <c r="D103" s="53">
        <v>28</v>
      </c>
      <c r="E103" s="57"/>
      <c r="F103" s="57"/>
      <c r="G103" s="57"/>
      <c r="H103" s="57"/>
      <c r="I103" s="56">
        <f t="shared" si="3"/>
        <v>6.2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100</v>
      </c>
      <c r="B104" s="53">
        <v>333</v>
      </c>
      <c r="C104" s="63">
        <v>17</v>
      </c>
      <c r="D104" s="53">
        <v>27</v>
      </c>
      <c r="E104" s="57"/>
      <c r="F104" s="57"/>
      <c r="G104" s="57"/>
      <c r="H104" s="57"/>
      <c r="I104" s="56">
        <f t="shared" si="3"/>
        <v>5.6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105</v>
      </c>
      <c r="B105" s="53">
        <v>333</v>
      </c>
      <c r="C105" s="53">
        <v>18</v>
      </c>
      <c r="D105" s="53">
        <v>26</v>
      </c>
      <c r="E105" s="57"/>
      <c r="F105" s="57"/>
      <c r="G105" s="57"/>
      <c r="H105" s="57"/>
      <c r="I105" s="56">
        <f t="shared" si="3"/>
        <v>5.4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332</v>
      </c>
      <c r="C106" s="53">
        <v>19</v>
      </c>
      <c r="D106" s="53">
        <v>25</v>
      </c>
      <c r="E106" s="57"/>
      <c r="F106" s="57"/>
      <c r="G106" s="57"/>
      <c r="H106" s="57"/>
      <c r="I106" s="56">
        <f t="shared" si="3"/>
        <v>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115</v>
      </c>
      <c r="B107" s="53">
        <v>321</v>
      </c>
      <c r="C107" s="53">
        <v>20</v>
      </c>
      <c r="D107" s="53">
        <v>321</v>
      </c>
      <c r="E107" s="57"/>
      <c r="F107" s="57"/>
      <c r="G107" s="57"/>
      <c r="H107" s="57"/>
      <c r="I107" s="56">
        <f t="shared" si="3"/>
        <v>2.8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Alisier torminal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73</v>
      </c>
      <c r="C114" s="53">
        <v>1</v>
      </c>
      <c r="D114" s="63">
        <v>6</v>
      </c>
      <c r="E114" s="54"/>
      <c r="F114" s="54"/>
      <c r="G114" s="54"/>
      <c r="H114" s="54">
        <v>1</v>
      </c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103</v>
      </c>
      <c r="C115" s="53">
        <v>2</v>
      </c>
      <c r="D115" s="63">
        <v>28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121</v>
      </c>
      <c r="C116" s="53">
        <v>3</v>
      </c>
      <c r="D116" s="63">
        <v>28</v>
      </c>
      <c r="E116" s="54"/>
      <c r="F116" s="54"/>
      <c r="G116" s="54"/>
      <c r="H116" s="54">
        <v>1</v>
      </c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147</v>
      </c>
      <c r="C117" s="53">
        <v>4</v>
      </c>
      <c r="D117" s="63">
        <v>28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175</v>
      </c>
      <c r="C118" s="53">
        <v>5</v>
      </c>
      <c r="D118" s="63">
        <v>28</v>
      </c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204</v>
      </c>
      <c r="C119" s="53">
        <v>6</v>
      </c>
      <c r="D119" s="63">
        <v>28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231</v>
      </c>
      <c r="C120" s="63">
        <v>7</v>
      </c>
      <c r="D120" s="63">
        <v>28</v>
      </c>
      <c r="E120" s="93"/>
      <c r="F120" s="93"/>
      <c r="G120" s="93"/>
      <c r="H120" s="93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55</v>
      </c>
      <c r="B121" s="63">
        <v>254</v>
      </c>
      <c r="C121" s="63">
        <v>8</v>
      </c>
      <c r="D121" s="63">
        <v>28</v>
      </c>
      <c r="E121" s="93"/>
      <c r="F121" s="93"/>
      <c r="G121" s="93"/>
      <c r="H121" s="93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60</v>
      </c>
      <c r="B122" s="63">
        <v>273</v>
      </c>
      <c r="C122" s="63">
        <v>9</v>
      </c>
      <c r="D122" s="63">
        <v>28</v>
      </c>
      <c r="E122" s="93"/>
      <c r="F122" s="93"/>
      <c r="G122" s="93"/>
      <c r="H122" s="93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65</v>
      </c>
      <c r="B123" s="63">
        <v>289</v>
      </c>
      <c r="C123" s="63">
        <v>10</v>
      </c>
      <c r="D123" s="63">
        <v>28</v>
      </c>
      <c r="E123" s="93"/>
      <c r="F123" s="93"/>
      <c r="G123" s="93"/>
      <c r="H123" s="93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v>302</v>
      </c>
      <c r="C124" s="63">
        <v>11</v>
      </c>
      <c r="D124" s="63">
        <v>28</v>
      </c>
      <c r="E124" s="93"/>
      <c r="F124" s="93"/>
      <c r="G124" s="93"/>
      <c r="H124" s="93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75</v>
      </c>
      <c r="B125" s="63">
        <v>312</v>
      </c>
      <c r="C125" s="63">
        <v>12</v>
      </c>
      <c r="D125" s="63">
        <v>28</v>
      </c>
      <c r="E125" s="93"/>
      <c r="F125" s="93"/>
      <c r="G125" s="93"/>
      <c r="H125" s="93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80</v>
      </c>
      <c r="B126" s="63">
        <v>320</v>
      </c>
      <c r="C126" s="63">
        <v>13</v>
      </c>
      <c r="D126" s="63">
        <v>28</v>
      </c>
      <c r="E126" s="68"/>
      <c r="F126" s="68"/>
      <c r="G126" s="68"/>
      <c r="H126" s="68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85</v>
      </c>
      <c r="B127" s="63">
        <v>326</v>
      </c>
      <c r="C127" s="63">
        <v>14</v>
      </c>
      <c r="D127" s="63">
        <v>28</v>
      </c>
      <c r="E127" s="68"/>
      <c r="F127" s="68"/>
      <c r="G127" s="68"/>
      <c r="H127" s="68"/>
      <c r="I127" s="56">
        <f t="shared" si="4"/>
        <v>6.8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v>330</v>
      </c>
      <c r="C128" s="53">
        <v>15</v>
      </c>
      <c r="D128" s="53">
        <v>28</v>
      </c>
      <c r="E128" s="57"/>
      <c r="F128" s="57"/>
      <c r="G128" s="57"/>
      <c r="H128" s="57"/>
      <c r="I128" s="56">
        <f t="shared" si="4"/>
        <v>6.4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95</v>
      </c>
      <c r="B129" s="53">
        <v>333</v>
      </c>
      <c r="C129" s="53">
        <v>16</v>
      </c>
      <c r="D129" s="53">
        <v>28</v>
      </c>
      <c r="E129" s="57"/>
      <c r="F129" s="57"/>
      <c r="G129" s="57"/>
      <c r="H129" s="57"/>
      <c r="I129" s="56">
        <f t="shared" si="4"/>
        <v>6.2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100</v>
      </c>
      <c r="B130" s="53">
        <v>333</v>
      </c>
      <c r="C130" s="53">
        <v>17</v>
      </c>
      <c r="D130" s="53">
        <v>27</v>
      </c>
      <c r="E130" s="57"/>
      <c r="F130" s="57"/>
      <c r="G130" s="57"/>
      <c r="H130" s="57"/>
      <c r="I130" s="56">
        <f t="shared" si="4"/>
        <v>5.6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105</v>
      </c>
      <c r="B131" s="53">
        <v>333</v>
      </c>
      <c r="C131" s="53">
        <v>18</v>
      </c>
      <c r="D131" s="53">
        <v>26</v>
      </c>
      <c r="E131" s="57"/>
      <c r="F131" s="57"/>
      <c r="G131" s="57"/>
      <c r="H131" s="57"/>
      <c r="I131" s="56">
        <f t="shared" si="4"/>
        <v>5.4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v>332</v>
      </c>
      <c r="C132" s="53">
        <v>19</v>
      </c>
      <c r="D132" s="53">
        <v>25</v>
      </c>
      <c r="E132" s="57"/>
      <c r="F132" s="57"/>
      <c r="G132" s="57"/>
      <c r="H132" s="57"/>
      <c r="I132" s="56">
        <f t="shared" si="4"/>
        <v>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115</v>
      </c>
      <c r="B133" s="53">
        <v>321</v>
      </c>
      <c r="C133" s="53">
        <v>20</v>
      </c>
      <c r="D133" s="53">
        <v>321</v>
      </c>
      <c r="E133" s="57"/>
      <c r="F133" s="57"/>
      <c r="G133" s="57"/>
      <c r="H133" s="57"/>
      <c r="I133" s="56">
        <f t="shared" si="4"/>
        <v>2.8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Châtaignier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10</v>
      </c>
      <c r="B140" s="63">
        <v>19</v>
      </c>
      <c r="C140" s="53">
        <v>1</v>
      </c>
      <c r="D140" s="63">
        <v>7</v>
      </c>
      <c r="E140" s="54"/>
      <c r="F140" s="54"/>
      <c r="G140" s="54"/>
      <c r="H140" s="54">
        <v>1</v>
      </c>
      <c r="I140" s="60">
        <f>IFERROR(B140/A140,"")</f>
        <v>1.9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15</v>
      </c>
      <c r="B141" s="63">
        <v>84</v>
      </c>
      <c r="C141" s="53">
        <v>2</v>
      </c>
      <c r="D141" s="63">
        <v>42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14.4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20</v>
      </c>
      <c r="B142" s="63">
        <v>123</v>
      </c>
      <c r="C142" s="53">
        <v>3</v>
      </c>
      <c r="D142" s="63">
        <v>42</v>
      </c>
      <c r="E142" s="54"/>
      <c r="F142" s="54"/>
      <c r="G142" s="54"/>
      <c r="H142" s="54">
        <v>1</v>
      </c>
      <c r="I142" s="60">
        <f t="shared" si="5"/>
        <v>16.2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25</v>
      </c>
      <c r="B143" s="63">
        <v>165</v>
      </c>
      <c r="C143" s="53">
        <v>4</v>
      </c>
      <c r="D143" s="63">
        <v>42</v>
      </c>
      <c r="E143" s="54"/>
      <c r="F143" s="54"/>
      <c r="G143" s="54"/>
      <c r="H143" s="54">
        <v>1</v>
      </c>
      <c r="I143" s="60">
        <f t="shared" si="5"/>
        <v>16.8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30</v>
      </c>
      <c r="B144" s="63">
        <v>205</v>
      </c>
      <c r="C144" s="53">
        <v>5</v>
      </c>
      <c r="D144" s="63">
        <v>42</v>
      </c>
      <c r="E144" s="54"/>
      <c r="F144" s="54"/>
      <c r="G144" s="54"/>
      <c r="H144" s="54">
        <v>1</v>
      </c>
      <c r="I144" s="60">
        <f t="shared" si="5"/>
        <v>16.399999999999999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35</v>
      </c>
      <c r="B145" s="63">
        <v>239</v>
      </c>
      <c r="C145" s="53">
        <v>6</v>
      </c>
      <c r="D145" s="63">
        <v>42</v>
      </c>
      <c r="E145" s="54"/>
      <c r="F145" s="54"/>
      <c r="G145" s="54"/>
      <c r="H145" s="54"/>
      <c r="I145" s="60">
        <f t="shared" si="5"/>
        <v>15.2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40</v>
      </c>
      <c r="B146" s="63">
        <v>263</v>
      </c>
      <c r="C146" s="53">
        <v>7</v>
      </c>
      <c r="D146" s="63">
        <v>40</v>
      </c>
      <c r="E146" s="54"/>
      <c r="F146" s="54"/>
      <c r="G146" s="54"/>
      <c r="H146" s="54"/>
      <c r="I146" s="60">
        <f t="shared" si="5"/>
        <v>13.2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45</v>
      </c>
      <c r="B147" s="63">
        <v>280</v>
      </c>
      <c r="C147" s="53">
        <v>8</v>
      </c>
      <c r="D147" s="63">
        <v>26</v>
      </c>
      <c r="E147" s="54"/>
      <c r="F147" s="54"/>
      <c r="G147" s="54"/>
      <c r="H147" s="54"/>
      <c r="I147" s="60">
        <f>IF(A147&lt;&gt;0,(B147-(B146-D146))/(A147-A146),"")</f>
        <v>11.4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50</v>
      </c>
      <c r="B148" s="63">
        <v>303</v>
      </c>
      <c r="C148" s="53">
        <v>9</v>
      </c>
      <c r="D148" s="63">
        <v>21</v>
      </c>
      <c r="E148" s="54"/>
      <c r="F148" s="54"/>
      <c r="G148" s="54"/>
      <c r="H148" s="54"/>
      <c r="I148" s="60">
        <f t="shared" si="5"/>
        <v>9.8000000000000007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55</v>
      </c>
      <c r="B149" s="63">
        <v>324</v>
      </c>
      <c r="C149" s="53">
        <v>10</v>
      </c>
      <c r="D149" s="63">
        <v>18</v>
      </c>
      <c r="E149" s="54"/>
      <c r="F149" s="54"/>
      <c r="G149" s="54"/>
      <c r="H149" s="54"/>
      <c r="I149" s="60">
        <f t="shared" si="5"/>
        <v>8.4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60</v>
      </c>
      <c r="B150" s="63">
        <v>343</v>
      </c>
      <c r="C150" s="53">
        <v>11</v>
      </c>
      <c r="D150" s="63">
        <v>17</v>
      </c>
      <c r="E150" s="54"/>
      <c r="F150" s="54"/>
      <c r="G150" s="54"/>
      <c r="H150" s="54"/>
      <c r="I150" s="60">
        <f t="shared" si="5"/>
        <v>7.4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65</v>
      </c>
      <c r="B151" s="63">
        <v>356</v>
      </c>
      <c r="C151" s="53">
        <v>12</v>
      </c>
      <c r="D151" s="63">
        <v>16</v>
      </c>
      <c r="E151" s="54"/>
      <c r="F151" s="54"/>
      <c r="G151" s="54"/>
      <c r="H151" s="54"/>
      <c r="I151" s="60">
        <f t="shared" si="5"/>
        <v>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70</v>
      </c>
      <c r="B152" s="63">
        <v>366</v>
      </c>
      <c r="C152" s="53">
        <v>13</v>
      </c>
      <c r="D152" s="63">
        <v>15</v>
      </c>
      <c r="E152" s="57"/>
      <c r="F152" s="57"/>
      <c r="G152" s="57"/>
      <c r="H152" s="57"/>
      <c r="I152" s="60">
        <f t="shared" si="5"/>
        <v>5.2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75</v>
      </c>
      <c r="B153" s="63">
        <v>375</v>
      </c>
      <c r="C153" s="53">
        <v>14</v>
      </c>
      <c r="D153" s="63">
        <v>14</v>
      </c>
      <c r="E153" s="57"/>
      <c r="F153" s="57"/>
      <c r="G153" s="57"/>
      <c r="H153" s="57"/>
      <c r="I153" s="60">
        <f t="shared" si="5"/>
        <v>4.8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80</v>
      </c>
      <c r="B154" s="59">
        <v>382</v>
      </c>
      <c r="C154" s="53">
        <v>15</v>
      </c>
      <c r="D154" s="53">
        <v>382</v>
      </c>
      <c r="E154" s="57"/>
      <c r="F154" s="57"/>
      <c r="G154" s="57"/>
      <c r="H154" s="57"/>
      <c r="I154" s="60">
        <f t="shared" si="5"/>
        <v>4.2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Erable sycomore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10</v>
      </c>
      <c r="B166" s="63">
        <v>11</v>
      </c>
      <c r="C166" s="63">
        <v>1</v>
      </c>
      <c r="D166" s="63">
        <v>0</v>
      </c>
      <c r="E166" s="54"/>
      <c r="F166" s="54"/>
      <c r="G166" s="54"/>
      <c r="H166" s="54">
        <v>1</v>
      </c>
      <c r="I166" s="52">
        <f>IFERROR(B166/A166,"")</f>
        <v>1.1000000000000001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15</v>
      </c>
      <c r="B167" s="63">
        <v>65</v>
      </c>
      <c r="C167" s="63">
        <v>2</v>
      </c>
      <c r="D167" s="63">
        <v>32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10.8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20</v>
      </c>
      <c r="B168" s="63">
        <v>101</v>
      </c>
      <c r="C168" s="63">
        <v>3</v>
      </c>
      <c r="D168" s="63">
        <v>35</v>
      </c>
      <c r="E168" s="54"/>
      <c r="F168" s="54"/>
      <c r="G168" s="54"/>
      <c r="H168" s="54">
        <v>1</v>
      </c>
      <c r="I168" s="52">
        <f t="shared" si="6"/>
        <v>13.6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25</v>
      </c>
      <c r="B169" s="63">
        <v>140</v>
      </c>
      <c r="C169" s="63">
        <v>4</v>
      </c>
      <c r="D169" s="63">
        <v>35</v>
      </c>
      <c r="E169" s="54"/>
      <c r="F169" s="54"/>
      <c r="G169" s="54"/>
      <c r="H169" s="54">
        <v>1</v>
      </c>
      <c r="I169" s="52">
        <f t="shared" si="6"/>
        <v>14.8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30</v>
      </c>
      <c r="B170" s="63">
        <v>176</v>
      </c>
      <c r="C170" s="63">
        <v>5</v>
      </c>
      <c r="D170" s="63">
        <v>35</v>
      </c>
      <c r="E170" s="54"/>
      <c r="F170" s="54"/>
      <c r="G170" s="54"/>
      <c r="H170" s="54">
        <v>1</v>
      </c>
      <c r="I170" s="52">
        <f t="shared" si="6"/>
        <v>14.2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35</v>
      </c>
      <c r="B171" s="63">
        <v>206</v>
      </c>
      <c r="C171" s="63">
        <v>6</v>
      </c>
      <c r="D171" s="63">
        <v>35</v>
      </c>
      <c r="E171" s="54"/>
      <c r="F171" s="54"/>
      <c r="G171" s="54"/>
      <c r="H171" s="54"/>
      <c r="I171" s="52">
        <f t="shared" si="6"/>
        <v>13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40</v>
      </c>
      <c r="B172" s="63">
        <v>228</v>
      </c>
      <c r="C172" s="63">
        <v>7</v>
      </c>
      <c r="D172" s="63">
        <v>35</v>
      </c>
      <c r="E172" s="54"/>
      <c r="F172" s="54"/>
      <c r="G172" s="54"/>
      <c r="H172" s="54"/>
      <c r="I172" s="52">
        <f t="shared" si="6"/>
        <v>11.4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45</v>
      </c>
      <c r="B173" s="53">
        <v>242</v>
      </c>
      <c r="C173" s="53">
        <v>8</v>
      </c>
      <c r="D173" s="53">
        <v>24</v>
      </c>
      <c r="E173" s="54"/>
      <c r="F173" s="54"/>
      <c r="G173" s="54"/>
      <c r="H173" s="54"/>
      <c r="I173" s="52">
        <f t="shared" si="6"/>
        <v>9.8000000000000007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50</v>
      </c>
      <c r="B174" s="53">
        <v>260</v>
      </c>
      <c r="C174" s="53">
        <v>9</v>
      </c>
      <c r="D174" s="53">
        <v>19</v>
      </c>
      <c r="E174" s="54"/>
      <c r="F174" s="54"/>
      <c r="G174" s="54"/>
      <c r="H174" s="54"/>
      <c r="I174" s="52">
        <f t="shared" si="6"/>
        <v>8.4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55</v>
      </c>
      <c r="B175" s="53">
        <v>278</v>
      </c>
      <c r="C175" s="53">
        <v>10</v>
      </c>
      <c r="D175" s="53">
        <v>16</v>
      </c>
      <c r="E175" s="54"/>
      <c r="F175" s="54"/>
      <c r="G175" s="54"/>
      <c r="H175" s="54"/>
      <c r="I175" s="52">
        <f t="shared" si="6"/>
        <v>7.4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60</v>
      </c>
      <c r="B176" s="53">
        <v>294</v>
      </c>
      <c r="C176" s="53">
        <v>11</v>
      </c>
      <c r="D176" s="53">
        <v>14</v>
      </c>
      <c r="E176" s="54"/>
      <c r="F176" s="54"/>
      <c r="G176" s="54"/>
      <c r="H176" s="54"/>
      <c r="I176" s="52">
        <f t="shared" si="6"/>
        <v>6.4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65</v>
      </c>
      <c r="B177" s="53">
        <v>306</v>
      </c>
      <c r="C177" s="53">
        <v>12</v>
      </c>
      <c r="D177" s="53">
        <v>13</v>
      </c>
      <c r="E177" s="54"/>
      <c r="F177" s="54"/>
      <c r="G177" s="54"/>
      <c r="H177" s="54"/>
      <c r="I177" s="52">
        <f t="shared" si="6"/>
        <v>5.2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70</v>
      </c>
      <c r="B178" s="53">
        <v>315</v>
      </c>
      <c r="C178" s="53">
        <v>13</v>
      </c>
      <c r="D178" s="53">
        <v>13</v>
      </c>
      <c r="E178" s="54"/>
      <c r="F178" s="54"/>
      <c r="G178" s="54"/>
      <c r="H178" s="54"/>
      <c r="I178" s="52">
        <f t="shared" si="6"/>
        <v>4.4000000000000004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75</v>
      </c>
      <c r="B179" s="53">
        <v>323</v>
      </c>
      <c r="C179" s="53">
        <v>14</v>
      </c>
      <c r="D179" s="53">
        <v>12</v>
      </c>
      <c r="E179" s="54"/>
      <c r="F179" s="54"/>
      <c r="G179" s="54"/>
      <c r="H179" s="54"/>
      <c r="I179" s="52">
        <f t="shared" si="6"/>
        <v>4.2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80</v>
      </c>
      <c r="B180" s="53">
        <v>329</v>
      </c>
      <c r="C180" s="53">
        <v>15</v>
      </c>
      <c r="D180" s="53">
        <v>329</v>
      </c>
      <c r="E180" s="54"/>
      <c r="F180" s="54"/>
      <c r="G180" s="54"/>
      <c r="H180" s="54"/>
      <c r="I180" s="52">
        <f t="shared" si="6"/>
        <v>3.6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Robinier faux-acacia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5</v>
      </c>
      <c r="B192" s="63">
        <v>41</v>
      </c>
      <c r="C192" s="63">
        <v>1</v>
      </c>
      <c r="D192" s="63">
        <v>8</v>
      </c>
      <c r="E192" s="54"/>
      <c r="F192" s="54"/>
      <c r="G192" s="54"/>
      <c r="H192" s="54">
        <v>1</v>
      </c>
      <c r="I192" s="52">
        <f>IFERROR(B192/A192,"")</f>
        <v>8.1999999999999993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10</v>
      </c>
      <c r="B193" s="63">
        <v>121</v>
      </c>
      <c r="C193" s="63">
        <v>2</v>
      </c>
      <c r="D193" s="63">
        <v>37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17.600000000000001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15</v>
      </c>
      <c r="B194" s="63">
        <v>169</v>
      </c>
      <c r="C194" s="63">
        <v>3</v>
      </c>
      <c r="D194" s="63">
        <v>29</v>
      </c>
      <c r="E194" s="54"/>
      <c r="F194" s="54"/>
      <c r="G194" s="54"/>
      <c r="H194" s="54">
        <v>1</v>
      </c>
      <c r="I194" s="52">
        <f t="shared" si="7"/>
        <v>17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20</v>
      </c>
      <c r="B195" s="63">
        <v>217</v>
      </c>
      <c r="C195" s="63">
        <v>4</v>
      </c>
      <c r="D195" s="63">
        <v>23</v>
      </c>
      <c r="E195" s="54">
        <v>0.2</v>
      </c>
      <c r="F195" s="54"/>
      <c r="G195" s="54"/>
      <c r="H195" s="54">
        <v>0.8</v>
      </c>
      <c r="I195" s="52">
        <f t="shared" si="7"/>
        <v>15.4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25</v>
      </c>
      <c r="B196" s="63">
        <v>259</v>
      </c>
      <c r="C196" s="63">
        <v>5</v>
      </c>
      <c r="D196" s="63">
        <v>18</v>
      </c>
      <c r="E196" s="54">
        <v>0.3</v>
      </c>
      <c r="F196" s="54"/>
      <c r="G196" s="54"/>
      <c r="H196" s="54">
        <v>0.7</v>
      </c>
      <c r="I196" s="52">
        <f t="shared" si="7"/>
        <v>13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30</v>
      </c>
      <c r="B197" s="63">
        <v>294</v>
      </c>
      <c r="C197" s="63">
        <v>6</v>
      </c>
      <c r="D197" s="63">
        <v>14</v>
      </c>
      <c r="E197" s="54">
        <v>0.5</v>
      </c>
      <c r="F197" s="54"/>
      <c r="G197" s="54"/>
      <c r="H197" s="54">
        <v>0.5</v>
      </c>
      <c r="I197" s="52">
        <f t="shared" si="7"/>
        <v>10.6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35</v>
      </c>
      <c r="B198" s="63">
        <v>323</v>
      </c>
      <c r="C198" s="63">
        <v>7</v>
      </c>
      <c r="D198" s="63">
        <v>11</v>
      </c>
      <c r="E198" s="54"/>
      <c r="F198" s="54"/>
      <c r="G198" s="54"/>
      <c r="H198" s="54"/>
      <c r="I198" s="52">
        <f t="shared" si="7"/>
        <v>8.6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40</v>
      </c>
      <c r="B199" s="53">
        <v>350</v>
      </c>
      <c r="C199" s="53">
        <v>8</v>
      </c>
      <c r="D199" s="53">
        <v>9</v>
      </c>
      <c r="E199" s="54"/>
      <c r="F199" s="54"/>
      <c r="G199" s="54"/>
      <c r="H199" s="54"/>
      <c r="I199" s="52">
        <f t="shared" si="7"/>
        <v>7.6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45</v>
      </c>
      <c r="B200" s="53">
        <v>378</v>
      </c>
      <c r="C200" s="53">
        <v>9</v>
      </c>
      <c r="D200" s="53">
        <v>378</v>
      </c>
      <c r="E200" s="54"/>
      <c r="F200" s="54"/>
      <c r="G200" s="54"/>
      <c r="H200" s="54"/>
      <c r="I200" s="52">
        <f t="shared" si="7"/>
        <v>7.4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Chêne rouge d'Amérique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15</v>
      </c>
      <c r="B218" s="63">
        <v>87</v>
      </c>
      <c r="C218" s="53">
        <v>1</v>
      </c>
      <c r="D218" s="63">
        <v>21</v>
      </c>
      <c r="E218" s="66"/>
      <c r="F218" s="66"/>
      <c r="G218" s="66"/>
      <c r="H218" s="66">
        <v>1</v>
      </c>
      <c r="I218" s="56">
        <f>IFERROR(B218/A218,"")</f>
        <v>5.8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20</v>
      </c>
      <c r="B219" s="63">
        <v>137</v>
      </c>
      <c r="C219" s="53">
        <v>2</v>
      </c>
      <c r="D219" s="63">
        <v>43</v>
      </c>
      <c r="E219" s="66"/>
      <c r="F219" s="66"/>
      <c r="G219" s="66"/>
      <c r="H219" s="66">
        <v>1</v>
      </c>
      <c r="I219" s="56">
        <f t="shared" ref="I219:I237" si="8">IF(A219&lt;&gt;0,(B219-(B218-D218))/(A219-A218),"")</f>
        <v>14.2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25</v>
      </c>
      <c r="B220" s="63">
        <v>163</v>
      </c>
      <c r="C220" s="53">
        <v>3</v>
      </c>
      <c r="D220" s="63">
        <v>44</v>
      </c>
      <c r="E220" s="66"/>
      <c r="F220" s="66"/>
      <c r="G220" s="66"/>
      <c r="H220" s="66">
        <v>1</v>
      </c>
      <c r="I220" s="56">
        <f t="shared" si="8"/>
        <v>13.8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>
        <v>30</v>
      </c>
      <c r="B221" s="58">
        <v>184</v>
      </c>
      <c r="C221" s="58">
        <v>4</v>
      </c>
      <c r="D221" s="58">
        <v>44</v>
      </c>
      <c r="E221" s="66"/>
      <c r="F221" s="66"/>
      <c r="G221" s="66"/>
      <c r="H221" s="66">
        <v>1</v>
      </c>
      <c r="I221" s="56">
        <f t="shared" si="8"/>
        <v>13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>
        <v>35</v>
      </c>
      <c r="B222" s="58">
        <v>201</v>
      </c>
      <c r="C222" s="58">
        <v>5</v>
      </c>
      <c r="D222" s="58">
        <v>42</v>
      </c>
      <c r="E222" s="66"/>
      <c r="F222" s="66"/>
      <c r="G222" s="66"/>
      <c r="H222" s="66"/>
      <c r="I222" s="56">
        <f t="shared" si="8"/>
        <v>12.2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>
        <v>40</v>
      </c>
      <c r="B223" s="58">
        <v>213</v>
      </c>
      <c r="C223" s="58">
        <v>6</v>
      </c>
      <c r="D223" s="58">
        <v>39</v>
      </c>
      <c r="E223" s="66"/>
      <c r="F223" s="66"/>
      <c r="G223" s="66"/>
      <c r="H223" s="66"/>
      <c r="I223" s="56">
        <f t="shared" si="8"/>
        <v>10.8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>
        <v>45</v>
      </c>
      <c r="B224" s="58">
        <v>223</v>
      </c>
      <c r="C224" s="58">
        <v>7</v>
      </c>
      <c r="D224" s="58">
        <v>36</v>
      </c>
      <c r="E224" s="66"/>
      <c r="F224" s="66"/>
      <c r="G224" s="66"/>
      <c r="H224" s="66"/>
      <c r="I224" s="56">
        <f t="shared" si="8"/>
        <v>9.8000000000000007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>
        <v>50</v>
      </c>
      <c r="B225" s="58">
        <v>231</v>
      </c>
      <c r="C225" s="58">
        <v>8</v>
      </c>
      <c r="D225" s="58">
        <v>33</v>
      </c>
      <c r="E225" s="66"/>
      <c r="F225" s="66"/>
      <c r="G225" s="66"/>
      <c r="H225" s="66"/>
      <c r="I225" s="56">
        <f t="shared" si="8"/>
        <v>8.8000000000000007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>
        <v>55</v>
      </c>
      <c r="B226" s="58">
        <v>237</v>
      </c>
      <c r="C226" s="58">
        <v>9</v>
      </c>
      <c r="D226" s="58">
        <v>29</v>
      </c>
      <c r="E226" s="66"/>
      <c r="F226" s="66"/>
      <c r="G226" s="66"/>
      <c r="H226" s="66"/>
      <c r="I226" s="56">
        <f t="shared" si="8"/>
        <v>7.8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>
        <v>60</v>
      </c>
      <c r="B227" s="58">
        <v>242</v>
      </c>
      <c r="C227" s="58">
        <v>10</v>
      </c>
      <c r="D227" s="58">
        <v>26</v>
      </c>
      <c r="E227" s="66"/>
      <c r="F227" s="66"/>
      <c r="G227" s="66"/>
      <c r="H227" s="66"/>
      <c r="I227" s="56">
        <f t="shared" si="8"/>
        <v>6.8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>
        <v>65</v>
      </c>
      <c r="B228" s="58">
        <v>246</v>
      </c>
      <c r="C228" s="58">
        <v>11</v>
      </c>
      <c r="D228" s="58">
        <v>23</v>
      </c>
      <c r="E228" s="66"/>
      <c r="F228" s="66"/>
      <c r="G228" s="66"/>
      <c r="H228" s="66"/>
      <c r="I228" s="56">
        <f t="shared" si="8"/>
        <v>6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>
        <v>70</v>
      </c>
      <c r="B229" s="58">
        <v>249</v>
      </c>
      <c r="C229" s="58">
        <v>12</v>
      </c>
      <c r="D229" s="58">
        <v>249</v>
      </c>
      <c r="E229" s="66"/>
      <c r="F229" s="66"/>
      <c r="G229" s="66"/>
      <c r="H229" s="66"/>
      <c r="I229" s="56">
        <f t="shared" si="8"/>
        <v>5.2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138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Mélèze hybride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sessile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Alisier torminal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Châtaignier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Erable sycomore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Robinier faux-acacia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Chêne rouge d'Amérique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389.06620927245814</v>
      </c>
      <c r="T3" s="62">
        <f>IF('Données projet'!E9&gt;30,$R$33-$H$33,LOOKUP('Données projet'!$E$9,$A$3:$A$203,R3:R203)-LOOKUP('Données projet'!$E$9,$A$3:$A$203,$H$3:$H$203))</f>
        <v>356.08144160383193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293.73480285950245</v>
      </c>
      <c r="AO3" s="62">
        <f>IF('Données projet'!E10&gt;30,$AM$33-$H$33,LOOKUP('Données projet'!$E$10,$A$3:$A$203,AM3:AM203)-LOOKUP('Données projet'!$E$10,$A$3:$A$203,$H$3:$H$203))</f>
        <v>425.99823184414191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438.70522838726322</v>
      </c>
      <c r="BJ3" s="62">
        <f>IF('Données projet'!E11&gt;30,$BH$33-$H$33,LOOKUP('Données projet'!$E$11,$A$3:$A$203,BH3:BH203)-LOOKUP('Données projet'!$E$11,$A$3:$A$203,$H$3:$H$203))</f>
        <v>278.21741231699929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466.10838191274445</v>
      </c>
      <c r="CE3" s="62">
        <f>IF('Données projet'!E12&gt;30,$CC$33-$H$33,LOOKUP('Données projet'!$E$12,$A$3:$A$203,CC3:CC203)-LOOKUP('Données projet'!$E$12,$A$3:$A$203,$H$3:$H$203))</f>
        <v>294.45557293177131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376.5422416541544</v>
      </c>
      <c r="CZ3" s="62">
        <f>IF('Données projet'!E13&gt;30,$CX$33-$H$33,LOOKUP('Données projet'!$E$13,$A$3:$A$203,CX3:CX203)-LOOKUP('Données projet'!$E$13,$A$3:$A$203,$H$3:$H$203))</f>
        <v>365.76175372075869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352.5736659365665</v>
      </c>
      <c r="DU3" s="62">
        <f>IF('Données projet'!E14&gt;30,$DS$33-$H$33,LOOKUP('Données projet'!$E$14,$A$3:$A$203,DS3:DS203)-LOOKUP('Données projet'!$E$14,$A$3:$A$203,$H$3:$H$203))</f>
        <v>343.77208530767069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436.23918637269577</v>
      </c>
      <c r="EP3" s="62">
        <f>IF('Données projet'!E15&gt;30,$EN$33-$H$33,LOOKUP('Données projet'!$E$15,$A$3:$A$203,EN3:EN203)-LOOKUP('Données projet'!$E$15,$A$3:$A$203,$H$3:$H$203))</f>
        <v>611.43967996341894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321.23599968992932</v>
      </c>
      <c r="FK3" s="62">
        <f>IF('Données projet'!E16&gt;30,$FI$33-$H$33,LOOKUP('Données projet'!$E$16,$A$3:$A$203,FI3:FI203)-LOOKUP('Données projet'!$E$16,$A$3:$A$203,$H$3:$H$203))</f>
        <v>388.05195847800502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8.1284210526315785</v>
      </c>
      <c r="N4" s="14">
        <f>IF('Données projet'!$A$36&gt;35,N3+M4-V3,IF(A4&lt;'Données projet'!$A$36,$K$205^A4,IF(A4='Données projet'!$A$36,'Données projet'!$B$36,N3+M4-V3)))</f>
        <v>1.3037606943669584</v>
      </c>
      <c r="O4" s="14">
        <f>N4*VLOOKUP('Données projet'!$B$9,Paramètres!$A$1:$I$89,3,0)*VLOOKUP('Données projet'!$B$9,Paramètres!$A$1:$I$89,5,0)</f>
        <v>0.72880222815112972</v>
      </c>
      <c r="P4" s="14">
        <f>EXP(-1.0587+0.8836*LN(O4)+0.284)</f>
        <v>0.34846084744582984</v>
      </c>
      <c r="Q4" s="22">
        <f t="shared" ref="Q4:Q34" si="2">(O4+P4)*0.475*44/12</f>
        <v>1.876233189998038</v>
      </c>
      <c r="R4" s="62">
        <f t="shared" si="0"/>
        <v>259.76512207888692</v>
      </c>
      <c r="S4" s="62">
        <f ca="1">AVERAGE(OFFSET($R$3,0,0,'Données projet'!$E$9+1,1))-AVERAGE(OFFSET($H$3,0,0,'Données projet'!$E$9+1,1))</f>
        <v>389.06620927245814</v>
      </c>
      <c r="T4" s="62">
        <f>$T$3</f>
        <v>356.08144160383193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8.3000000000000007</v>
      </c>
      <c r="AI4" s="14">
        <f>IF('Données projet'!$A$62&gt;35,AI3+AH4-AQ3,IF(A4&lt;'Données projet'!$A$62,$AF$205^A4,IF(A4='Données projet'!$A$62,'Données projet'!$B$62,AI3+AH4-AQ3)))</f>
        <v>1.5556353708263266</v>
      </c>
      <c r="AJ4" s="14">
        <f>AI4*VLOOKUP('Données projet'!$B$10,Paramètres!$A$1:$I$89,3,0)*VLOOKUP('Données projet'!$B$10,Paramètres!$A$1:$I$89,5,0)</f>
        <v>0.84937691247117442</v>
      </c>
      <c r="AK4" s="14">
        <f>EXP(-1.0587+0.8836*LN(AJ4)+0.284)</f>
        <v>0.39893783292559054</v>
      </c>
      <c r="AL4" s="22">
        <f t="shared" ref="AL4:AL67" si="4">(AJ4+AK4)*0.475*44/12</f>
        <v>2.1741481815660317</v>
      </c>
      <c r="AM4" s="62">
        <f t="shared" ref="AM4:AM67" si="5">AL4+(AD4+AE4)*44/12</f>
        <v>260.06303707045487</v>
      </c>
      <c r="AN4" s="62">
        <f ca="1">AVERAGE(OFFSET($AM$3,0,0,'Données projet'!$E$10+1,1))-AVERAGE(OFFSET($H$3,0,0,'Données projet'!$E$10+1,1))</f>
        <v>293.73480285950245</v>
      </c>
      <c r="AO4" s="62">
        <f>$AO$3</f>
        <v>425.99823184414191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1.1212920291467359</v>
      </c>
      <c r="BF4" s="14">
        <f>EXP(-1.0587+0.8836*LN(BE4)+0.284)</f>
        <v>0.50989827066551541</v>
      </c>
      <c r="BG4" s="22">
        <f t="shared" ref="BG4:BG67" si="7">(BE4+BF4)*0.475*44/12</f>
        <v>2.8409897721730037</v>
      </c>
      <c r="BH4" s="62">
        <f t="shared" ref="BH4:BH67" si="8">BG4+(AY4+AZ4)*44/12</f>
        <v>260.72987866106189</v>
      </c>
      <c r="BI4" s="62">
        <f ca="1">AVERAGE(OFFSET($BH$3,0,0,'Données projet'!$E$11+1,1))-AVERAGE(OFFSET($H$3,0,0,'Données projet'!$E$11+1,1))</f>
        <v>438.70522838726322</v>
      </c>
      <c r="BJ4" s="62">
        <f>$BJ$3</f>
        <v>278.21741231699929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1.1986225139154763</v>
      </c>
      <c r="CA4" s="14">
        <f>EXP(-1.0587+0.8836*LN(BZ4)+0.284)</f>
        <v>0.54084878793982472</v>
      </c>
      <c r="CB4" s="22">
        <f t="shared" ref="CB4:CB67" si="10">(BZ4+CA4)*0.475*44/12</f>
        <v>3.0295791840646493</v>
      </c>
      <c r="CC4" s="62">
        <f t="shared" ref="CC4:CC67" si="11">CB4+(BT4+BU4)*44/12</f>
        <v>260.91846807295349</v>
      </c>
      <c r="CD4" s="62">
        <f ca="1">AVERAGE(OFFSET($CC$3,0,0,'Données projet'!$E$12+1,1))-AVERAGE(OFFSET($H$3,0,0,'Données projet'!$E$12+1,1))</f>
        <v>466.10838191274445</v>
      </c>
      <c r="CE4" s="62">
        <f>$CE$3</f>
        <v>294.45557293177131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1.9</v>
      </c>
      <c r="CT4" s="13">
        <f>IF('Données projet'!$A$140&gt;35,CT3+CS4-DB3,IF(A4&lt;'Données projet'!$A$140,$CQ$205^A4,IF(A4='Données projet'!$A$140,'Données projet'!$B$140,CT3+CS4-DB3)))</f>
        <v>1.3423796509621049</v>
      </c>
      <c r="CU4" s="18">
        <f>CT4*VLOOKUP('Données projet'!$B$13,Paramètres!$A$1:$I$89,3,0)*VLOOKUP('Données projet'!$B$13,Paramètres!$A$1:$I$89,5,0)</f>
        <v>0.98423276008541516</v>
      </c>
      <c r="CV4" s="14">
        <f>EXP(-1.0587+0.8836*LN(CU4)+0.284)</f>
        <v>0.45441566615213064</v>
      </c>
      <c r="CW4" s="22">
        <f t="shared" ref="CW4:CW67" si="13">(CU4+CV4)*0.475*44/12</f>
        <v>2.5056460090303925</v>
      </c>
      <c r="CX4" s="62">
        <f t="shared" ref="CX4:CX67" si="14">CW4+(CO4+CP4)*44/12</f>
        <v>260.39453489791924</v>
      </c>
      <c r="CY4" s="62">
        <f ca="1">AVERAGE(OFFSET($CX$3,0,0,'Données projet'!$E$13+1,1))-AVERAGE(OFFSET($H$3,0,0,'Données projet'!$E$13+1,1))</f>
        <v>376.5422416541544</v>
      </c>
      <c r="CZ4" s="62">
        <f>$CZ$3</f>
        <v>365.76175372075869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1.1000000000000001</v>
      </c>
      <c r="DO4" s="13">
        <f>IF('Données projet'!$A$166&gt;35,DO3+DN4-DW3,IF(A4&lt;'Données projet'!$A$166,$DL$205^A4,IF(A4='Données projet'!$A$166,'Données projet'!$B$166,DO3+DN4-DW3)))</f>
        <v>1.2709816152101407</v>
      </c>
      <c r="DP4" s="18">
        <f>DO4*VLOOKUP('Données projet'!$B$14,Paramètres!$A$1:$I$89,3,0)*VLOOKUP('Données projet'!$B$14,Paramètres!$A$1:$I$89,5,0)</f>
        <v>1.0111929730611879</v>
      </c>
      <c r="DQ4" s="14">
        <f>EXP(-1.0587+0.8836*LN(DP4)+0.284)</f>
        <v>0.46539683474213156</v>
      </c>
      <c r="DR4" s="22">
        <f t="shared" ref="DR4:DR67" si="16">(DP4+DQ4)*0.475*44/12</f>
        <v>2.5717272485907814</v>
      </c>
      <c r="DS4" s="62">
        <f t="shared" ref="DS4:DS67" si="17">DR4+(DJ4+DK4)*44/12</f>
        <v>260.46061613747963</v>
      </c>
      <c r="DT4" s="62">
        <f ca="1">AVERAGE(OFFSET($DS$3,0,0,'Données projet'!$E$14+1,1))-AVERAGE(OFFSET($H$3,0,0,'Données projet'!$E$14+1,1))</f>
        <v>352.5736659365665</v>
      </c>
      <c r="DU4" s="62">
        <f>$DU$3</f>
        <v>343.77208530767069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8.1999999999999993</v>
      </c>
      <c r="EJ4" s="13">
        <f>IF('Données projet'!$A$192&gt;35,EJ3+EI4-ER3,IF(A4&lt;'Données projet'!$A$192,$EG$205^A4,IF(A4='Données projet'!$A$192,'Données projet'!$B$192,EJ3+EI4-ER3)))</f>
        <v>2.1016324782757847</v>
      </c>
      <c r="EK4" s="18">
        <f>EJ4*VLOOKUP('Données projet'!$B$15,Paramètres!$A$1:$I$89,3,0)*VLOOKUP('Données projet'!$B$15,Paramètres!$A$1:$I$89,5,0)</f>
        <v>1.9015570663439298</v>
      </c>
      <c r="EL4" s="14">
        <f>EXP(-1.0587+0.8836*LN(EK4)+0.284)</f>
        <v>0.81315455339418119</v>
      </c>
      <c r="EM4" s="22">
        <f t="shared" ref="EM4:EM67" si="19">(EK4+EL4)*0.475*44/12</f>
        <v>4.7281227377105433</v>
      </c>
      <c r="EN4" s="62">
        <f t="shared" ref="EN4:EN67" si="20">EM4+(EE4+EF4)*44/12</f>
        <v>262.61701162659938</v>
      </c>
      <c r="EO4" s="62">
        <f ca="1">AVERAGE(OFFSET($EN$3,0,0,'Données projet'!$E$15+1,1))-AVERAGE(OFFSET($H$3,0,0,'Données projet'!$E$15+1,1))</f>
        <v>436.23918637269577</v>
      </c>
      <c r="EP4" s="62">
        <f>$EP$3</f>
        <v>611.43967996341894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5.8</v>
      </c>
      <c r="FE4" s="13">
        <f>IF('Données projet'!$A$218&gt;35,FE3+FD4-FM3,IF(A4&lt;'Données projet'!$A$218,$FB$205^A4,IF(A4='Données projet'!$A$218,'Données projet'!$B$218,FE3+FD4-FM3)))</f>
        <v>1.3467943429205997</v>
      </c>
      <c r="FF4" s="18">
        <f>FE4*VLOOKUP('Données projet'!$B$16,Paramètres!$A$1:$I$89,3,0)*VLOOKUP('Données projet'!$B$16,Paramètres!$A$1:$I$89,5,0)</f>
        <v>1.1765595379754361</v>
      </c>
      <c r="FG4" s="14">
        <f>EXP(-1.0587+0.8836*LN(FF4)+0.284)</f>
        <v>0.53204273185561757</v>
      </c>
      <c r="FH4" s="22">
        <f t="shared" ref="FH4:FH67" si="22">(FF4+FG4)*0.475*44/12</f>
        <v>2.9758156199557515</v>
      </c>
      <c r="FI4" s="62">
        <f t="shared" ref="FI4:FI67" si="23">FH4+(EZ4+FA4)*44/12</f>
        <v>260.86470450884462</v>
      </c>
      <c r="FJ4" s="62">
        <f ca="1">AVERAGE(OFFSET($FI$3,0,0,'Données projet'!$E$16+1,1))-AVERAGE(OFFSET($H$3,0,0,'Données projet'!$E$16+1,1))</f>
        <v>321.23599968992932</v>
      </c>
      <c r="FK4" s="62">
        <f>$FK$3</f>
        <v>388.05195847800502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8.1284210526315785</v>
      </c>
      <c r="N5" s="14">
        <f>IF('Données projet'!$A$36&gt;35,N4+M5-V4,IF(A5&lt;'Données projet'!$A$36,$K$205^A5,IF(A5='Données projet'!$A$36,'Données projet'!$B$36,N4+M5-V4)))</f>
        <v>1.6997919481762136</v>
      </c>
      <c r="O5" s="14">
        <f>N5*VLOOKUP('Données projet'!$B$9,Paramètres!$A$1:$I$89,3,0)*VLOOKUP('Données projet'!$B$9,Paramètres!$A$1:$I$89,5,0)</f>
        <v>0.95018369903050348</v>
      </c>
      <c r="P5" s="14">
        <f t="shared" ref="P5:P68" si="33">EXP(-1.0587+0.8836*LN(O5)+0.284)</f>
        <v>0.44049688197714731</v>
      </c>
      <c r="Q5" s="22">
        <f t="shared" si="2"/>
        <v>2.4221020119216585</v>
      </c>
      <c r="R5" s="62">
        <f t="shared" si="0"/>
        <v>261.53321312303279</v>
      </c>
      <c r="S5" s="62">
        <f ca="1">AVERAGE(OFFSET($R$3,0,0,'Données projet'!$E$9+1,1))-AVERAGE(OFFSET($H$3,0,0,'Données projet'!$E$9+1,1))</f>
        <v>389.06620927245814</v>
      </c>
      <c r="T5" s="62">
        <f t="shared" ref="T5:T68" si="34">$T$3</f>
        <v>356.08144160383193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8.3000000000000007</v>
      </c>
      <c r="AI5" s="14">
        <f>IF('Données projet'!$A$62&gt;35,AI4+AH5-AQ4,IF(A5&lt;'Données projet'!$A$62,$AF$205^A5,IF(A5='Données projet'!$A$62,'Données projet'!$B$62,AI4+AH5-AQ4)))</f>
        <v>2.4200014069659628</v>
      </c>
      <c r="AJ5" s="14">
        <f>AI5*VLOOKUP('Données projet'!$B$10,Paramètres!$A$1:$I$89,3,0)*VLOOKUP('Données projet'!$B$10,Paramètres!$A$1:$I$89,5,0)</f>
        <v>1.3213207682034156</v>
      </c>
      <c r="AK5" s="14">
        <f t="shared" ref="AK5:AK68" si="35">EXP(-1.0587+0.8836*LN(AJ5)+0.284)</f>
        <v>0.58948799417314446</v>
      </c>
      <c r="AL5" s="22">
        <f t="shared" si="4"/>
        <v>3.3279919278058419</v>
      </c>
      <c r="AM5" s="62">
        <f t="shared" si="5"/>
        <v>262.43910303891698</v>
      </c>
      <c r="AN5" s="62">
        <f ca="1">AVERAGE(OFFSET($AM$3,0,0,'Données projet'!$E$10+1,1))-AVERAGE(OFFSET($H$3,0,0,'Données projet'!$E$10+1,1))</f>
        <v>293.73480285950245</v>
      </c>
      <c r="AO5" s="62">
        <f t="shared" ref="AO5:AO68" si="36">$AO$3</f>
        <v>425.99823184414191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1.3895842336737447</v>
      </c>
      <c r="BF5" s="14">
        <f t="shared" ref="BF5:BF68" si="37">EXP(-1.0587+0.8836*LN(BE5)+0.284)</f>
        <v>0.61631841327304715</v>
      </c>
      <c r="BG5" s="22">
        <f t="shared" si="7"/>
        <v>3.4936137767656628</v>
      </c>
      <c r="BH5" s="62">
        <f t="shared" si="8"/>
        <v>262.60472488787678</v>
      </c>
      <c r="BI5" s="62">
        <f ca="1">AVERAGE(OFFSET($BH$3,0,0,'Données projet'!$E$11+1,1))-AVERAGE(OFFSET($H$3,0,0,'Données projet'!$E$11+1,1))</f>
        <v>438.70522838726322</v>
      </c>
      <c r="BJ5" s="62">
        <f t="shared" ref="BJ5:BJ68" si="38">$BJ$3</f>
        <v>278.21741231699929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1.4854176290995202</v>
      </c>
      <c r="CA5" s="14">
        <f t="shared" ref="CA5:CA68" si="39">EXP(-1.0587+0.8836*LN(BZ5)+0.284)</f>
        <v>0.65372856897250708</v>
      </c>
      <c r="CB5" s="22">
        <f t="shared" si="10"/>
        <v>3.725679628308781</v>
      </c>
      <c r="CC5" s="62">
        <f t="shared" si="11"/>
        <v>262.83679073941994</v>
      </c>
      <c r="CD5" s="62">
        <f ca="1">AVERAGE(OFFSET($CC$3,0,0,'Données projet'!$E$12+1,1))-AVERAGE(OFFSET($H$3,0,0,'Données projet'!$E$12+1,1))</f>
        <v>466.10838191274445</v>
      </c>
      <c r="CE5" s="62">
        <f t="shared" ref="CE5:CE68" si="40">$CE$3</f>
        <v>294.45557293177131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1.9</v>
      </c>
      <c r="CT5" s="13">
        <f>IF('Données projet'!$A$140&gt;35,CT4+CS5-DB4,IF(A5&lt;'Données projet'!$A$140,$CQ$205^A5,IF(A5='Données projet'!$A$140,'Données projet'!$B$140,CT4+CS5-DB4)))</f>
        <v>1.8019831273171425</v>
      </c>
      <c r="CU5" s="18">
        <f>CT5*VLOOKUP('Données projet'!$B$13,Paramètres!$A$1:$I$89,3,0)*VLOOKUP('Données projet'!$B$13,Paramètres!$A$1:$I$89,5,0)</f>
        <v>1.3212140289489287</v>
      </c>
      <c r="CV5" s="14">
        <f t="shared" ref="CV5:CV68" si="41">EXP(-1.0587+0.8836*LN(CU5)+0.284)</f>
        <v>0.58944591680017422</v>
      </c>
      <c r="CW5" s="22">
        <f t="shared" si="13"/>
        <v>3.327732738846354</v>
      </c>
      <c r="CX5" s="62">
        <f t="shared" si="14"/>
        <v>262.43884384995749</v>
      </c>
      <c r="CY5" s="62">
        <f ca="1">AVERAGE(OFFSET($CX$3,0,0,'Données projet'!$E$13+1,1))-AVERAGE(OFFSET($H$3,0,0,'Données projet'!$E$13+1,1))</f>
        <v>376.5422416541544</v>
      </c>
      <c r="CZ5" s="62">
        <f t="shared" ref="CZ5:CZ68" si="42">$CZ$3</f>
        <v>365.76175372075869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1.1000000000000001</v>
      </c>
      <c r="DO5" s="13">
        <f>IF('Données projet'!$A$166&gt;35,DO4+DN5-DW4,IF(A5&lt;'Données projet'!$A$166,$DL$205^A5,IF(A5='Données projet'!$A$166,'Données projet'!$B$166,DO4+DN5-DW4)))</f>
        <v>1.6153942662021783</v>
      </c>
      <c r="DP5" s="18">
        <f>DO5*VLOOKUP('Données projet'!$B$14,Paramètres!$A$1:$I$89,3,0)*VLOOKUP('Données projet'!$B$14,Paramètres!$A$1:$I$89,5,0)</f>
        <v>1.2852076781904531</v>
      </c>
      <c r="DQ5" s="14">
        <f t="shared" ref="DQ5:DQ68" si="43">EXP(-1.0587+0.8836*LN(DP5)+0.284)</f>
        <v>0.57522914588482876</v>
      </c>
      <c r="DR5" s="22">
        <f t="shared" si="16"/>
        <v>3.2402608019311159</v>
      </c>
      <c r="DS5" s="62">
        <f t="shared" si="17"/>
        <v>262.35137191304227</v>
      </c>
      <c r="DT5" s="62">
        <f ca="1">AVERAGE(OFFSET($DS$3,0,0,'Données projet'!$E$14+1,1))-AVERAGE(OFFSET($H$3,0,0,'Données projet'!$E$14+1,1))</f>
        <v>352.5736659365665</v>
      </c>
      <c r="DU5" s="62">
        <f t="shared" ref="DU5:DU68" si="44">$DU$3</f>
        <v>343.77208530767069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8.1999999999999993</v>
      </c>
      <c r="EJ5" s="13">
        <f>IF('Données projet'!$A$192&gt;35,EJ4+EI5-ER4,IF(A5&lt;'Données projet'!$A$192,$EG$205^A5,IF(A5='Données projet'!$A$192,'Données projet'!$B$192,EJ4+EI5-ER4)))</f>
        <v>4.4168590737436171</v>
      </c>
      <c r="EK5" s="18">
        <f>EJ5*VLOOKUP('Données projet'!$B$15,Paramètres!$A$1:$I$89,3,0)*VLOOKUP('Données projet'!$B$15,Paramètres!$A$1:$I$89,5,0)</f>
        <v>3.9963740899232247</v>
      </c>
      <c r="EL5" s="14">
        <f t="shared" ref="EL5:EL68" si="45">EXP(-1.0587+0.8836*LN(EK5)+0.284)</f>
        <v>1.567415948479109</v>
      </c>
      <c r="EM5" s="22">
        <f t="shared" si="19"/>
        <v>9.6902676502173968</v>
      </c>
      <c r="EN5" s="62">
        <f t="shared" si="20"/>
        <v>268.80137876132852</v>
      </c>
      <c r="EO5" s="62">
        <f ca="1">AVERAGE(OFFSET($EN$3,0,0,'Données projet'!$E$15+1,1))-AVERAGE(OFFSET($H$3,0,0,'Données projet'!$E$15+1,1))</f>
        <v>436.23918637269577</v>
      </c>
      <c r="EP5" s="62">
        <f t="shared" ref="EP5:EP68" si="46">$EP$3</f>
        <v>611.43967996341894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5.8</v>
      </c>
      <c r="FE5" s="13">
        <f>IF('Données projet'!$A$218&gt;35,FE4+FD5-FM4,IF(A5&lt;'Données projet'!$A$218,$FB$205^A5,IF(A5='Données projet'!$A$218,'Données projet'!$B$218,FE4+FD5-FM4)))</f>
        <v>1.81385500212293</v>
      </c>
      <c r="FF5" s="18">
        <f>FE5*VLOOKUP('Données projet'!$B$16,Paramètres!$A$1:$I$89,3,0)*VLOOKUP('Données projet'!$B$16,Paramètres!$A$1:$I$89,5,0)</f>
        <v>1.5845837298545919</v>
      </c>
      <c r="FG5" s="14">
        <f t="shared" ref="FG5:FG68" si="47">EXP(-1.0587+0.8836*LN(FF5)+0.284)</f>
        <v>0.69214506839939893</v>
      </c>
      <c r="FH5" s="22">
        <f t="shared" si="22"/>
        <v>3.9653026569590337</v>
      </c>
      <c r="FI5" s="62">
        <f t="shared" si="23"/>
        <v>263.07641376807015</v>
      </c>
      <c r="FJ5" s="62">
        <f ca="1">AVERAGE(OFFSET($FI$3,0,0,'Données projet'!$E$16+1,1))-AVERAGE(OFFSET($H$3,0,0,'Données projet'!$E$16+1,1))</f>
        <v>321.23599968992932</v>
      </c>
      <c r="FK5" s="62">
        <f t="shared" ref="FK5:FK68" si="48">$FK$3</f>
        <v>388.05195847800502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8.1284210526315785</v>
      </c>
      <c r="N6" s="14">
        <f>IF('Données projet'!$A$36&gt;35,N5+M6-V5,IF(A6&lt;'Données projet'!$A$36,$K$205^A6,IF(A6='Données projet'!$A$36,'Données projet'!$B$36,N5+M6-V5)))</f>
        <v>2.2161219306335851</v>
      </c>
      <c r="O6" s="14">
        <f>N6*VLOOKUP('Données projet'!$B$9,Paramètres!$A$1:$I$89,3,0)*VLOOKUP('Données projet'!$B$9,Paramètres!$A$1:$I$89,5,0)</f>
        <v>1.2388121592241741</v>
      </c>
      <c r="P6" s="14">
        <f t="shared" si="33"/>
        <v>0.5568416206694583</v>
      </c>
      <c r="Q6" s="22">
        <f t="shared" si="2"/>
        <v>3.1274303333147428</v>
      </c>
      <c r="R6" s="62">
        <f t="shared" si="0"/>
        <v>263.46076366664806</v>
      </c>
      <c r="S6" s="62">
        <f ca="1">AVERAGE(OFFSET($R$3,0,0,'Données projet'!$E$9+1,1))-AVERAGE(OFFSET($H$3,0,0,'Données projet'!$E$9+1,1))</f>
        <v>389.06620927245814</v>
      </c>
      <c r="T6" s="62">
        <f t="shared" si="34"/>
        <v>356.08144160383193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8.3000000000000007</v>
      </c>
      <c r="AI6" s="14">
        <f>IF('Données projet'!$A$62&gt;35,AI5+AH6-AQ5,IF(A6&lt;'Données projet'!$A$62,$AF$205^A6,IF(A6='Données projet'!$A$62,'Données projet'!$B$62,AI5+AH6-AQ5)))</f>
        <v>3.7646397861257279</v>
      </c>
      <c r="AJ6" s="14">
        <f>AI6*VLOOKUP('Données projet'!$B$10,Paramètres!$A$1:$I$89,3,0)*VLOOKUP('Données projet'!$B$10,Paramètres!$A$1:$I$89,5,0)</f>
        <v>2.0554933232246473</v>
      </c>
      <c r="AK6" s="14">
        <f t="shared" si="35"/>
        <v>0.8710532483869281</v>
      </c>
      <c r="AL6" s="22">
        <f t="shared" si="4"/>
        <v>5.0970686122234934</v>
      </c>
      <c r="AM6" s="62">
        <f t="shared" si="5"/>
        <v>265.43040194555681</v>
      </c>
      <c r="AN6" s="62">
        <f ca="1">AVERAGE(OFFSET($AM$3,0,0,'Données projet'!$E$10+1,1))-AVERAGE(OFFSET($H$3,0,0,'Données projet'!$E$10+1,1))</f>
        <v>293.73480285950245</v>
      </c>
      <c r="AO6" s="62">
        <f t="shared" si="36"/>
        <v>425.99823184414191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1.7220708720671365</v>
      </c>
      <c r="BF6" s="14">
        <f t="shared" si="37"/>
        <v>0.74494935243383209</v>
      </c>
      <c r="BG6" s="22">
        <f t="shared" si="7"/>
        <v>4.2967268910058536</v>
      </c>
      <c r="BH6" s="62">
        <f t="shared" si="8"/>
        <v>264.63006022433916</v>
      </c>
      <c r="BI6" s="62">
        <f ca="1">AVERAGE(OFFSET($BH$3,0,0,'Données projet'!$E$11+1,1))-AVERAGE(OFFSET($H$3,0,0,'Données projet'!$E$11+1,1))</f>
        <v>438.70522838726322</v>
      </c>
      <c r="BJ6" s="62">
        <f t="shared" si="38"/>
        <v>278.21741231699929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1.8408343804855598</v>
      </c>
      <c r="CA6" s="14">
        <f t="shared" si="39"/>
        <v>0.79016732850363813</v>
      </c>
      <c r="CB6" s="22">
        <f t="shared" si="10"/>
        <v>4.5823279764895188</v>
      </c>
      <c r="CC6" s="62">
        <f t="shared" si="11"/>
        <v>264.91566130982284</v>
      </c>
      <c r="CD6" s="62">
        <f ca="1">AVERAGE(OFFSET($CC$3,0,0,'Données projet'!$E$12+1,1))-AVERAGE(OFFSET($H$3,0,0,'Données projet'!$E$12+1,1))</f>
        <v>466.10838191274445</v>
      </c>
      <c r="CE6" s="62">
        <f t="shared" si="40"/>
        <v>294.45557293177131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1.9</v>
      </c>
      <c r="CT6" s="13">
        <f>IF('Données projet'!$A$140&gt;35,CT5+CS6-DB5,IF(A6&lt;'Données projet'!$A$140,$CQ$205^A6,IF(A6='Données projet'!$A$140,'Données projet'!$B$140,CT5+CS6-DB5)))</f>
        <v>2.4189454814875879</v>
      </c>
      <c r="CU6" s="18">
        <f>CT6*VLOOKUP('Données projet'!$B$13,Paramètres!$A$1:$I$89,3,0)*VLOOKUP('Données projet'!$B$13,Paramètres!$A$1:$I$89,5,0)</f>
        <v>1.7735708270266992</v>
      </c>
      <c r="CV6" s="14">
        <f t="shared" si="41"/>
        <v>0.76460059525341872</v>
      </c>
      <c r="CW6" s="22">
        <f t="shared" si="13"/>
        <v>4.4206485604712045</v>
      </c>
      <c r="CX6" s="62">
        <f t="shared" si="14"/>
        <v>264.75398189380451</v>
      </c>
      <c r="CY6" s="62">
        <f ca="1">AVERAGE(OFFSET($CX$3,0,0,'Données projet'!$E$13+1,1))-AVERAGE(OFFSET($H$3,0,0,'Données projet'!$E$13+1,1))</f>
        <v>376.5422416541544</v>
      </c>
      <c r="CZ6" s="62">
        <f t="shared" si="42"/>
        <v>365.76175372075869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1.1000000000000001</v>
      </c>
      <c r="DO6" s="13">
        <f>IF('Données projet'!$A$166&gt;35,DO5+DN6-DW5,IF(A6&lt;'Données projet'!$A$166,$DL$205^A6,IF(A6='Données projet'!$A$166,'Données projet'!$B$166,DO5+DN6-DW5)))</f>
        <v>2.0531364136588448</v>
      </c>
      <c r="DP6" s="18">
        <f>DO6*VLOOKUP('Données projet'!$B$14,Paramètres!$A$1:$I$89,3,0)*VLOOKUP('Données projet'!$B$14,Paramètres!$A$1:$I$89,5,0)</f>
        <v>1.6334753307069771</v>
      </c>
      <c r="DQ6" s="14">
        <f t="shared" si="43"/>
        <v>0.71098156578295024</v>
      </c>
      <c r="DR6" s="22">
        <f t="shared" si="16"/>
        <v>4.0832624280532892</v>
      </c>
      <c r="DS6" s="62">
        <f t="shared" si="17"/>
        <v>264.41659576138659</v>
      </c>
      <c r="DT6" s="62">
        <f ca="1">AVERAGE(OFFSET($DS$3,0,0,'Données projet'!$E$14+1,1))-AVERAGE(OFFSET($H$3,0,0,'Données projet'!$E$14+1,1))</f>
        <v>352.5736659365665</v>
      </c>
      <c r="DU6" s="62">
        <f t="shared" si="44"/>
        <v>343.77208530767069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8.1999999999999993</v>
      </c>
      <c r="EJ6" s="13">
        <f>IF('Données projet'!$A$192&gt;35,EJ5+EI6-ER5,IF(A6&lt;'Données projet'!$A$192,$EG$205^A6,IF(A6='Données projet'!$A$192,'Données projet'!$B$192,EJ5+EI6-ER5)))</f>
        <v>9.282614481346684</v>
      </c>
      <c r="EK6" s="18">
        <f>EJ6*VLOOKUP('Données projet'!$B$15,Paramètres!$A$1:$I$89,3,0)*VLOOKUP('Données projet'!$B$15,Paramètres!$A$1:$I$89,5,0)</f>
        <v>8.3989095827224798</v>
      </c>
      <c r="EL6" s="14">
        <f t="shared" si="45"/>
        <v>3.0213109491815406</v>
      </c>
      <c r="EM6" s="22">
        <f t="shared" si="19"/>
        <v>19.890217426399502</v>
      </c>
      <c r="EN6" s="62">
        <f t="shared" si="20"/>
        <v>280.2235507597328</v>
      </c>
      <c r="EO6" s="62">
        <f ca="1">AVERAGE(OFFSET($EN$3,0,0,'Données projet'!$E$15+1,1))-AVERAGE(OFFSET($H$3,0,0,'Données projet'!$E$15+1,1))</f>
        <v>436.23918637269577</v>
      </c>
      <c r="EP6" s="62">
        <f t="shared" si="46"/>
        <v>611.43967996341894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5.8</v>
      </c>
      <c r="FE6" s="13">
        <f>IF('Données projet'!$A$218&gt;35,FE5+FD6-FM5,IF(A6&lt;'Données projet'!$A$218,$FB$205^A6,IF(A6='Données projet'!$A$218,'Données projet'!$B$218,FE5+FD6-FM5)))</f>
        <v>2.4428896557373947</v>
      </c>
      <c r="FF6" s="18">
        <f>FE6*VLOOKUP('Données projet'!$B$16,Paramètres!$A$1:$I$89,3,0)*VLOOKUP('Données projet'!$B$16,Paramètres!$A$1:$I$89,5,0)</f>
        <v>2.1341084032521884</v>
      </c>
      <c r="FG6" s="14">
        <f t="shared" si="47"/>
        <v>0.90042541139273424</v>
      </c>
      <c r="FH6" s="22">
        <f t="shared" si="22"/>
        <v>5.2851463938399075</v>
      </c>
      <c r="FI6" s="62">
        <f t="shared" si="23"/>
        <v>265.61847972717322</v>
      </c>
      <c r="FJ6" s="62">
        <f ca="1">AVERAGE(OFFSET($FI$3,0,0,'Données projet'!$E$16+1,1))-AVERAGE(OFFSET($H$3,0,0,'Données projet'!$E$16+1,1))</f>
        <v>321.23599968992932</v>
      </c>
      <c r="FK6" s="62">
        <f t="shared" si="48"/>
        <v>388.05195847800502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8.1284210526315785</v>
      </c>
      <c r="N7" s="14">
        <f>IF('Données projet'!$A$36&gt;35,N6+M7-V6,IF(A7&lt;'Données projet'!$A$36,$K$205^A7,IF(A7='Données projet'!$A$36,'Données projet'!$B$36,N6+M7-V6)))</f>
        <v>2.8892926670846877</v>
      </c>
      <c r="O7" s="14">
        <f>N7*VLOOKUP('Données projet'!$B$9,Paramètres!$A$1:$I$89,3,0)*VLOOKUP('Données projet'!$B$9,Paramètres!$A$1:$I$89,5,0)</f>
        <v>1.6151146009003403</v>
      </c>
      <c r="P7" s="14">
        <f t="shared" si="33"/>
        <v>0.70391551721783874</v>
      </c>
      <c r="Q7" s="22">
        <f t="shared" si="2"/>
        <v>4.0389774557224944</v>
      </c>
      <c r="R7" s="62">
        <f t="shared" si="0"/>
        <v>265.59453301127803</v>
      </c>
      <c r="S7" s="62">
        <f ca="1">AVERAGE(OFFSET($R$3,0,0,'Données projet'!$E$9+1,1))-AVERAGE(OFFSET($H$3,0,0,'Données projet'!$E$9+1,1))</f>
        <v>389.06620927245814</v>
      </c>
      <c r="T7" s="62">
        <f t="shared" si="34"/>
        <v>356.08144160383193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8.3000000000000007</v>
      </c>
      <c r="AI7" s="14">
        <f>IF('Données projet'!$A$62&gt;35,AI6+AH7-AQ6,IF(A7&lt;'Données projet'!$A$62,$AF$205^A7,IF(A7='Données projet'!$A$62,'Données projet'!$B$62,AI6+AH7-AQ6)))</f>
        <v>5.8564068097172397</v>
      </c>
      <c r="AJ7" s="14">
        <f>AI7*VLOOKUP('Données projet'!$B$10,Paramètres!$A$1:$I$89,3,0)*VLOOKUP('Données projet'!$B$10,Paramètres!$A$1:$I$89,5,0)</f>
        <v>3.197598118105613</v>
      </c>
      <c r="AK7" s="14">
        <f t="shared" si="35"/>
        <v>1.2871063855841041</v>
      </c>
      <c r="AL7" s="22">
        <f t="shared" si="4"/>
        <v>7.8108603439262572</v>
      </c>
      <c r="AM7" s="62">
        <f t="shared" si="5"/>
        <v>269.36641589948181</v>
      </c>
      <c r="AN7" s="62">
        <f ca="1">AVERAGE(OFFSET($AM$3,0,0,'Données projet'!$E$10+1,1))-AVERAGE(OFFSET($H$3,0,0,'Données projet'!$E$10+1,1))</f>
        <v>293.73480285950245</v>
      </c>
      <c r="AO7" s="62">
        <f t="shared" si="36"/>
        <v>425.99823184414191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2.1341117843442179</v>
      </c>
      <c r="BF7" s="14">
        <f t="shared" si="37"/>
        <v>0.90042667189585779</v>
      </c>
      <c r="BG7" s="22">
        <f t="shared" si="7"/>
        <v>5.2851544779514645</v>
      </c>
      <c r="BH7" s="62">
        <f t="shared" si="8"/>
        <v>266.84071003350698</v>
      </c>
      <c r="BI7" s="62">
        <f ca="1">AVERAGE(OFFSET($BH$3,0,0,'Données projet'!$E$11+1,1))-AVERAGE(OFFSET($H$3,0,0,'Données projet'!$E$11+1,1))</f>
        <v>438.70522838726322</v>
      </c>
      <c r="BJ7" s="62">
        <f t="shared" si="38"/>
        <v>278.21741231699929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2.2812919074024398</v>
      </c>
      <c r="CA7" s="14">
        <f t="shared" si="39"/>
        <v>0.95508202741684722</v>
      </c>
      <c r="CB7" s="22">
        <f t="shared" si="10"/>
        <v>5.6366846031435918</v>
      </c>
      <c r="CC7" s="62">
        <f t="shared" si="11"/>
        <v>267.19224015869912</v>
      </c>
      <c r="CD7" s="62">
        <f ca="1">AVERAGE(OFFSET($CC$3,0,0,'Données projet'!$E$12+1,1))-AVERAGE(OFFSET($H$3,0,0,'Données projet'!$E$12+1,1))</f>
        <v>466.10838191274445</v>
      </c>
      <c r="CE7" s="62">
        <f t="shared" si="40"/>
        <v>294.45557293177131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1.9</v>
      </c>
      <c r="CT7" s="13">
        <f>IF('Données projet'!$A$140&gt;35,CT6+CS7-DB6,IF(A7&lt;'Données projet'!$A$140,$CQ$205^A7,IF(A7='Données projet'!$A$140,'Données projet'!$B$140,CT6+CS7-DB6)))</f>
        <v>3.247143191135669</v>
      </c>
      <c r="CU7" s="18">
        <f>CT7*VLOOKUP('Données projet'!$B$13,Paramètres!$A$1:$I$89,3,0)*VLOOKUP('Données projet'!$B$13,Paramètres!$A$1:$I$89,5,0)</f>
        <v>2.3808053877406725</v>
      </c>
      <c r="CV7" s="14">
        <f t="shared" si="41"/>
        <v>0.99180273134383279</v>
      </c>
      <c r="CW7" s="22">
        <f t="shared" si="13"/>
        <v>5.8739591407388465</v>
      </c>
      <c r="CX7" s="62">
        <f t="shared" si="14"/>
        <v>267.4295146962944</v>
      </c>
      <c r="CY7" s="62">
        <f ca="1">AVERAGE(OFFSET($CX$3,0,0,'Données projet'!$E$13+1,1))-AVERAGE(OFFSET($H$3,0,0,'Données projet'!$E$13+1,1))</f>
        <v>376.5422416541544</v>
      </c>
      <c r="CZ7" s="62">
        <f t="shared" si="42"/>
        <v>365.76175372075869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1.1000000000000001</v>
      </c>
      <c r="DO7" s="13">
        <f>IF('Données projet'!$A$166&gt;35,DO6+DN7-DW6,IF(A7&lt;'Données projet'!$A$166,$DL$205^A7,IF(A7='Données projet'!$A$166,'Données projet'!$B$166,DO6+DN7-DW6)))</f>
        <v>2.6094986352788743</v>
      </c>
      <c r="DP7" s="18">
        <f>DO7*VLOOKUP('Données projet'!$B$14,Paramètres!$A$1:$I$89,3,0)*VLOOKUP('Données projet'!$B$14,Paramètres!$A$1:$I$89,5,0)</f>
        <v>2.0761171142278725</v>
      </c>
      <c r="DQ7" s="14">
        <f t="shared" si="43"/>
        <v>0.87877116536856548</v>
      </c>
      <c r="DR7" s="22">
        <f t="shared" si="16"/>
        <v>5.14643042029713</v>
      </c>
      <c r="DS7" s="62">
        <f t="shared" si="17"/>
        <v>266.70198597585266</v>
      </c>
      <c r="DT7" s="62">
        <f ca="1">AVERAGE(OFFSET($DS$3,0,0,'Données projet'!$E$14+1,1))-AVERAGE(OFFSET($H$3,0,0,'Données projet'!$E$14+1,1))</f>
        <v>352.5736659365665</v>
      </c>
      <c r="DU7" s="62">
        <f t="shared" si="44"/>
        <v>343.77208530767069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8.1999999999999993</v>
      </c>
      <c r="EJ7" s="13">
        <f>IF('Données projet'!$A$192&gt;35,EJ6+EI7-ER6,IF(A7&lt;'Données projet'!$A$192,$EG$205^A7,IF(A7='Données projet'!$A$192,'Données projet'!$B$192,EJ6+EI7-ER6)))</f>
        <v>19.508644077311324</v>
      </c>
      <c r="EK7" s="18">
        <f>EJ7*VLOOKUP('Données projet'!$B$15,Paramètres!$A$1:$I$89,3,0)*VLOOKUP('Données projet'!$B$15,Paramètres!$A$1:$I$89,5,0)</f>
        <v>17.651421161151287</v>
      </c>
      <c r="EL7" s="14">
        <f t="shared" si="45"/>
        <v>5.8238018188481702</v>
      </c>
      <c r="EM7" s="22">
        <f t="shared" si="19"/>
        <v>40.886013356832393</v>
      </c>
      <c r="EN7" s="62">
        <f t="shared" si="20"/>
        <v>302.44156891238794</v>
      </c>
      <c r="EO7" s="62">
        <f ca="1">AVERAGE(OFFSET($EN$3,0,0,'Données projet'!$E$15+1,1))-AVERAGE(OFFSET($H$3,0,0,'Données projet'!$E$15+1,1))</f>
        <v>436.23918637269577</v>
      </c>
      <c r="EP7" s="62">
        <f t="shared" si="46"/>
        <v>611.43967996341894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5.8</v>
      </c>
      <c r="FE7" s="13">
        <f>IF('Données projet'!$A$218&gt;35,FE6+FD7-FM6,IF(A7&lt;'Données projet'!$A$218,$FB$205^A7,IF(A7='Données projet'!$A$218,'Données projet'!$B$218,FE6+FD7-FM6)))</f>
        <v>3.2900699687263746</v>
      </c>
      <c r="FF7" s="18">
        <f>FE7*VLOOKUP('Données projet'!$B$16,Paramètres!$A$1:$I$89,3,0)*VLOOKUP('Données projet'!$B$16,Paramètres!$A$1:$I$89,5,0)</f>
        <v>2.874205124679361</v>
      </c>
      <c r="FG7" s="14">
        <f t="shared" si="47"/>
        <v>1.1713814899478936</v>
      </c>
      <c r="FH7" s="22">
        <f t="shared" si="22"/>
        <v>7.0460633538091342</v>
      </c>
      <c r="FI7" s="62">
        <f t="shared" si="23"/>
        <v>268.60161890936467</v>
      </c>
      <c r="FJ7" s="62">
        <f ca="1">AVERAGE(OFFSET($FI$3,0,0,'Données projet'!$E$16+1,1))-AVERAGE(OFFSET($H$3,0,0,'Données projet'!$E$16+1,1))</f>
        <v>321.23599968992932</v>
      </c>
      <c r="FK7" s="62">
        <f t="shared" si="48"/>
        <v>388.05195847800502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8.1284210526315785</v>
      </c>
      <c r="N8" s="14">
        <f>IF('Données projet'!$A$36&gt;35,N7+M8-V7,IF(A8&lt;'Données projet'!$A$36,$K$205^A8,IF(A8='Données projet'!$A$36,'Données projet'!$B$36,N7+M8-V7)))</f>
        <v>3.7669462138676937</v>
      </c>
      <c r="O8" s="14">
        <f>N8*VLOOKUP('Données projet'!$B$9,Paramètres!$A$1:$I$89,3,0)*VLOOKUP('Données projet'!$B$9,Paramètres!$A$1:$I$89,5,0)</f>
        <v>2.1057229335520411</v>
      </c>
      <c r="P8" s="14">
        <f t="shared" si="33"/>
        <v>0.88983480578256757</v>
      </c>
      <c r="Q8" s="22">
        <f t="shared" si="2"/>
        <v>5.2172630626744434</v>
      </c>
      <c r="R8" s="62">
        <f t="shared" si="0"/>
        <v>267.99504084045219</v>
      </c>
      <c r="S8" s="62">
        <f ca="1">AVERAGE(OFFSET($R$3,0,0,'Données projet'!$E$9+1,1))-AVERAGE(OFFSET($H$3,0,0,'Données projet'!$E$9+1,1))</f>
        <v>389.06620927245814</v>
      </c>
      <c r="T8" s="62">
        <f t="shared" si="34"/>
        <v>356.08144160383193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8.3000000000000007</v>
      </c>
      <c r="AI8" s="14">
        <f>IF('Données projet'!$A$62&gt;35,AI7+AH8-AQ7,IF(A8&lt;'Données projet'!$A$62,$AF$205^A8,IF(A8='Données projet'!$A$62,'Données projet'!$B$62,AI7+AH8-AQ7)))</f>
        <v>9.1104335791443027</v>
      </c>
      <c r="AJ8" s="14">
        <f>AI8*VLOOKUP('Données projet'!$B$10,Paramètres!$A$1:$I$89,3,0)*VLOOKUP('Données projet'!$B$10,Paramètres!$A$1:$I$89,5,0)</f>
        <v>4.9742967342127891</v>
      </c>
      <c r="AK8" s="14">
        <f t="shared" si="35"/>
        <v>1.9018847020882517</v>
      </c>
      <c r="AL8" s="22">
        <f t="shared" si="4"/>
        <v>11.976016001557646</v>
      </c>
      <c r="AM8" s="62">
        <f t="shared" si="5"/>
        <v>274.75379377933541</v>
      </c>
      <c r="AN8" s="62">
        <f ca="1">AVERAGE(OFFSET($AM$3,0,0,'Données projet'!$E$10+1,1))-AVERAGE(OFFSET($H$3,0,0,'Données projet'!$E$10+1,1))</f>
        <v>293.73480285950245</v>
      </c>
      <c r="AO8" s="62">
        <f t="shared" si="36"/>
        <v>425.99823184414191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2.6447419684939089</v>
      </c>
      <c r="BF8" s="14">
        <f t="shared" si="37"/>
        <v>1.0883534414958294</v>
      </c>
      <c r="BG8" s="22">
        <f t="shared" si="7"/>
        <v>6.5018078390654601</v>
      </c>
      <c r="BH8" s="62">
        <f t="shared" si="8"/>
        <v>269.27958561684324</v>
      </c>
      <c r="BI8" s="62">
        <f ca="1">AVERAGE(OFFSET($BH$3,0,0,'Données projet'!$E$11+1,1))-AVERAGE(OFFSET($H$3,0,0,'Données projet'!$E$11+1,1))</f>
        <v>438.70522838726322</v>
      </c>
      <c r="BJ8" s="62">
        <f t="shared" si="38"/>
        <v>278.21741231699929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2.8271379663210752</v>
      </c>
      <c r="CA8" s="14">
        <f t="shared" si="39"/>
        <v>1.1544158385061292</v>
      </c>
      <c r="CB8" s="22">
        <f t="shared" si="10"/>
        <v>6.9345395434073795</v>
      </c>
      <c r="CC8" s="62">
        <f t="shared" si="11"/>
        <v>269.71231732118514</v>
      </c>
      <c r="CD8" s="62">
        <f ca="1">AVERAGE(OFFSET($CC$3,0,0,'Données projet'!$E$12+1,1))-AVERAGE(OFFSET($H$3,0,0,'Données projet'!$E$12+1,1))</f>
        <v>466.10838191274445</v>
      </c>
      <c r="CE8" s="62">
        <f t="shared" si="40"/>
        <v>294.45557293177131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1.9</v>
      </c>
      <c r="CT8" s="13">
        <f>IF('Données projet'!$A$140&gt;35,CT7+CS8-DB7,IF(A8&lt;'Données projet'!$A$140,$CQ$205^A8,IF(A8='Données projet'!$A$140,'Données projet'!$B$140,CT7+CS8-DB7)))</f>
        <v>4.3588989435406749</v>
      </c>
      <c r="CU8" s="18">
        <f>CT8*VLOOKUP('Données projet'!$B$13,Paramètres!$A$1:$I$89,3,0)*VLOOKUP('Données projet'!$B$13,Paramètres!$A$1:$I$89,5,0)</f>
        <v>3.1959447054040226</v>
      </c>
      <c r="CV8" s="14">
        <f t="shared" si="41"/>
        <v>1.2865182998910156</v>
      </c>
      <c r="CW8" s="22">
        <f t="shared" si="13"/>
        <v>7.8069564008888577</v>
      </c>
      <c r="CX8" s="62">
        <f t="shared" si="14"/>
        <v>270.58473417866662</v>
      </c>
      <c r="CY8" s="62">
        <f ca="1">AVERAGE(OFFSET($CX$3,0,0,'Données projet'!$E$13+1,1))-AVERAGE(OFFSET($H$3,0,0,'Données projet'!$E$13+1,1))</f>
        <v>376.5422416541544</v>
      </c>
      <c r="CZ8" s="62">
        <f t="shared" si="42"/>
        <v>365.76175372075869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1.1000000000000001</v>
      </c>
      <c r="DO8" s="13">
        <f>IF('Données projet'!$A$166&gt;35,DO7+DN8-DW7,IF(A8&lt;'Données projet'!$A$166,$DL$205^A8,IF(A8='Données projet'!$A$166,'Données projet'!$B$166,DO7+DN8-DW7)))</f>
        <v>3.3166247903554016</v>
      </c>
      <c r="DP8" s="18">
        <f>DO8*VLOOKUP('Données projet'!$B$14,Paramètres!$A$1:$I$89,3,0)*VLOOKUP('Données projet'!$B$14,Paramètres!$A$1:$I$89,5,0)</f>
        <v>2.6387066832067574</v>
      </c>
      <c r="DQ8" s="14">
        <f t="shared" si="43"/>
        <v>1.0861586266766543</v>
      </c>
      <c r="DR8" s="22">
        <f t="shared" si="16"/>
        <v>6.4874737480469413</v>
      </c>
      <c r="DS8" s="62">
        <f t="shared" si="17"/>
        <v>269.26525152582474</v>
      </c>
      <c r="DT8" s="62">
        <f ca="1">AVERAGE(OFFSET($DS$3,0,0,'Données projet'!$E$14+1,1))-AVERAGE(OFFSET($H$3,0,0,'Données projet'!$E$14+1,1))</f>
        <v>352.5736659365665</v>
      </c>
      <c r="DU8" s="62">
        <f t="shared" si="44"/>
        <v>343.77208530767069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>
        <f>VLOOKUP(A8,'Données projet'!$A$191:$I$211,2,0)</f>
        <v>41</v>
      </c>
      <c r="EH8" s="13">
        <f>VLOOKUP(A8,'Données projet'!$A$191:$I$211,9,0)</f>
        <v>8.1999999999999993</v>
      </c>
      <c r="EI8" s="13">
        <f t="array" ref="EI8">INDEX(EH:EH,MIN(IF(ISNUMBER(EH8:EH204),ROW(EH8:EH204),"")))</f>
        <v>8.1999999999999993</v>
      </c>
      <c r="EJ8" s="13">
        <f>IF('Données projet'!$A$192&gt;35,EJ7+EI8-ER7,IF(A8&lt;'Données projet'!$A$192,$EG$205^A8,IF(A8='Données projet'!$A$192,'Données projet'!$B$192,EJ7+EI8-ER7)))</f>
        <v>41</v>
      </c>
      <c r="EK8" s="18">
        <f>EJ8*VLOOKUP('Données projet'!$B$15,Paramètres!$A$1:$I$89,3,0)*VLOOKUP('Données projet'!$B$15,Paramètres!$A$1:$I$89,5,0)</f>
        <v>37.096799999999995</v>
      </c>
      <c r="EL8" s="14">
        <f t="shared" si="45"/>
        <v>11.225811641270189</v>
      </c>
      <c r="EM8" s="22">
        <f t="shared" si="19"/>
        <v>84.161881941878903</v>
      </c>
      <c r="EN8" s="62">
        <f t="shared" si="20"/>
        <v>346.93965971965667</v>
      </c>
      <c r="EO8" s="62">
        <f ca="1">AVERAGE(OFFSET($EN$3,0,0,'Données projet'!$E$15+1,1))-AVERAGE(OFFSET($H$3,0,0,'Données projet'!$E$15+1,1))</f>
        <v>436.23918637269577</v>
      </c>
      <c r="EP8" s="62">
        <f t="shared" si="46"/>
        <v>611.43967996341894</v>
      </c>
      <c r="EQ8" s="16">
        <f>IF(ISNA(VLOOKUP(A8,'Données projet'!$A$191:$I$211,3,0)),0,VLOOKUP(A8,'Données projet'!$A$191:$I$211,3,0))</f>
        <v>1</v>
      </c>
      <c r="ER8" s="16">
        <f>IF(ISNA(VLOOKUP(A8,'Données projet'!$A$191:$I$211,4,0)),0,VLOOKUP(A8,'Données projet'!$A$191:$I$211,4,0))</f>
        <v>8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5.8</v>
      </c>
      <c r="FE8" s="13">
        <f>IF('Données projet'!$A$218&gt;35,FE7+FD8-FM7,IF(A8&lt;'Données projet'!$A$218,$FB$205^A8,IF(A8='Données projet'!$A$218,'Données projet'!$B$218,FE7+FD8-FM7)))</f>
        <v>4.4310476216936356</v>
      </c>
      <c r="FF8" s="18">
        <f>FE8*VLOOKUP('Données projet'!$B$16,Paramètres!$A$1:$I$89,3,0)*VLOOKUP('Données projet'!$B$16,Paramètres!$A$1:$I$89,5,0)</f>
        <v>3.8709632023115605</v>
      </c>
      <c r="FG8" s="14">
        <f t="shared" si="47"/>
        <v>1.5238736908481918</v>
      </c>
      <c r="FH8" s="22">
        <f t="shared" si="22"/>
        <v>9.3960075889199022</v>
      </c>
      <c r="FI8" s="62">
        <f t="shared" si="23"/>
        <v>272.1737853666977</v>
      </c>
      <c r="FJ8" s="62">
        <f ca="1">AVERAGE(OFFSET($FI$3,0,0,'Données projet'!$E$16+1,1))-AVERAGE(OFFSET($H$3,0,0,'Données projet'!$E$16+1,1))</f>
        <v>321.23599968992932</v>
      </c>
      <c r="FK8" s="62">
        <f t="shared" si="48"/>
        <v>388.05195847800502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8.1284210526315785</v>
      </c>
      <c r="N9" s="14">
        <f>IF('Données projet'!$A$36&gt;35,N8+M9-V8,IF(A9&lt;'Données projet'!$A$36,$K$205^A9,IF(A9='Données projet'!$A$36,'Données projet'!$B$36,N8+M9-V8)))</f>
        <v>4.911196411435129</v>
      </c>
      <c r="O9" s="14">
        <f>N9*VLOOKUP('Données projet'!$B$9,Paramètres!$A$1:$I$89,3,0)*VLOOKUP('Données projet'!$B$9,Paramètres!$A$1:$I$89,5,0)</f>
        <v>2.7453587939922373</v>
      </c>
      <c r="P9" s="14">
        <f t="shared" si="33"/>
        <v>1.1248593932289483</v>
      </c>
      <c r="Q9" s="22">
        <f t="shared" si="2"/>
        <v>6.7406300094102312</v>
      </c>
      <c r="R9" s="62">
        <f t="shared" si="0"/>
        <v>270.74063000941021</v>
      </c>
      <c r="S9" s="62">
        <f ca="1">AVERAGE(OFFSET($R$3,0,0,'Données projet'!$E$9+1,1))-AVERAGE(OFFSET($H$3,0,0,'Données projet'!$E$9+1,1))</f>
        <v>389.06620927245814</v>
      </c>
      <c r="T9" s="62">
        <f t="shared" si="34"/>
        <v>356.08144160383193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8.3000000000000007</v>
      </c>
      <c r="AI9" s="14">
        <f>IF('Données projet'!$A$62&gt;35,AI8+AH9-AQ8,IF(A9&lt;'Données projet'!$A$62,$AF$205^A9,IF(A9='Données projet'!$A$62,'Données projet'!$B$62,AI8+AH9-AQ8)))</f>
        <v>14.172512719280766</v>
      </c>
      <c r="AJ9" s="14">
        <f>AI9*VLOOKUP('Données projet'!$B$10,Paramètres!$A$1:$I$89,3,0)*VLOOKUP('Données projet'!$B$10,Paramètres!$A$1:$I$89,5,0)</f>
        <v>7.7381919447272978</v>
      </c>
      <c r="AK9" s="14">
        <f t="shared" si="35"/>
        <v>2.8103080371214273</v>
      </c>
      <c r="AL9" s="22">
        <f t="shared" si="4"/>
        <v>18.371970801719861</v>
      </c>
      <c r="AM9" s="62">
        <f t="shared" si="5"/>
        <v>282.37197080171984</v>
      </c>
      <c r="AN9" s="62">
        <f ca="1">AVERAGE(OFFSET($AM$3,0,0,'Données projet'!$E$10+1,1))-AVERAGE(OFFSET($H$3,0,0,'Données projet'!$E$10+1,1))</f>
        <v>293.73480285950245</v>
      </c>
      <c r="AO9" s="62">
        <f t="shared" si="36"/>
        <v>425.99823184414191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3.2775509376901719</v>
      </c>
      <c r="BF9" s="14">
        <f t="shared" si="37"/>
        <v>1.315502139804245</v>
      </c>
      <c r="BG9" s="22">
        <f t="shared" si="7"/>
        <v>7.9995674433027766</v>
      </c>
      <c r="BH9" s="62">
        <f t="shared" si="8"/>
        <v>271.99956744330279</v>
      </c>
      <c r="BI9" s="62">
        <f ca="1">AVERAGE(OFFSET($BH$3,0,0,'Données projet'!$E$11+1,1))-AVERAGE(OFFSET($H$3,0,0,'Données projet'!$E$11+1,1))</f>
        <v>438.70522838726322</v>
      </c>
      <c r="BJ9" s="62">
        <f t="shared" si="38"/>
        <v>278.21741231699929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3.5035889333929422</v>
      </c>
      <c r="CA9" s="14">
        <f t="shared" si="39"/>
        <v>1.3953523257036018</v>
      </c>
      <c r="CB9" s="22">
        <f t="shared" si="10"/>
        <v>8.5323226929264795</v>
      </c>
      <c r="CC9" s="62">
        <f t="shared" si="11"/>
        <v>272.53232269292647</v>
      </c>
      <c r="CD9" s="62">
        <f ca="1">AVERAGE(OFFSET($CC$3,0,0,'Données projet'!$E$12+1,1))-AVERAGE(OFFSET($H$3,0,0,'Données projet'!$E$12+1,1))</f>
        <v>466.10838191274445</v>
      </c>
      <c r="CE9" s="62">
        <f t="shared" si="40"/>
        <v>294.45557293177131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1.9</v>
      </c>
      <c r="CT9" s="13">
        <f>IF('Données projet'!$A$140&gt;35,CT8+CS9-DB8,IF(A9&lt;'Données projet'!$A$140,$CQ$205^A9,IF(A9='Données projet'!$A$140,'Données projet'!$B$140,CT8+CS9-DB8)))</f>
        <v>5.8512972424092187</v>
      </c>
      <c r="CU9" s="18">
        <f>CT9*VLOOKUP('Données projet'!$B$13,Paramètres!$A$1:$I$89,3,0)*VLOOKUP('Données projet'!$B$13,Paramètres!$A$1:$I$89,5,0)</f>
        <v>4.290171138134439</v>
      </c>
      <c r="CV9" s="14">
        <f t="shared" si="41"/>
        <v>1.6688090117596963</v>
      </c>
      <c r="CW9" s="22">
        <f t="shared" si="13"/>
        <v>10.378557094398952</v>
      </c>
      <c r="CX9" s="62">
        <f t="shared" si="14"/>
        <v>274.37855709439896</v>
      </c>
      <c r="CY9" s="62">
        <f ca="1">AVERAGE(OFFSET($CX$3,0,0,'Données projet'!$E$13+1,1))-AVERAGE(OFFSET($H$3,0,0,'Données projet'!$E$13+1,1))</f>
        <v>376.5422416541544</v>
      </c>
      <c r="CZ9" s="62">
        <f t="shared" si="42"/>
        <v>365.76175372075869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1.1000000000000001</v>
      </c>
      <c r="DO9" s="13">
        <f>IF('Données projet'!$A$166&gt;35,DO8+DN9-DW8,IF(A9&lt;'Données projet'!$A$166,$DL$205^A9,IF(A9='Données projet'!$A$166,'Données projet'!$B$166,DO8+DN9-DW8)))</f>
        <v>4.2153691330919028</v>
      </c>
      <c r="DP9" s="18">
        <f>DO9*VLOOKUP('Données projet'!$B$14,Paramètres!$A$1:$I$89,3,0)*VLOOKUP('Données projet'!$B$14,Paramètres!$A$1:$I$89,5,0)</f>
        <v>3.353747682287918</v>
      </c>
      <c r="DQ9" s="14">
        <f t="shared" si="43"/>
        <v>1.3424889309030987</v>
      </c>
      <c r="DR9" s="22">
        <f t="shared" si="16"/>
        <v>8.1792787679743544</v>
      </c>
      <c r="DS9" s="62">
        <f t="shared" si="17"/>
        <v>272.17927876797438</v>
      </c>
      <c r="DT9" s="62">
        <f ca="1">AVERAGE(OFFSET($DS$3,0,0,'Données projet'!$E$14+1,1))-AVERAGE(OFFSET($H$3,0,0,'Données projet'!$E$14+1,1))</f>
        <v>352.5736659365665</v>
      </c>
      <c r="DU9" s="62">
        <f t="shared" si="44"/>
        <v>343.77208530767069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17.600000000000001</v>
      </c>
      <c r="EJ9" s="13">
        <f>IF('Données projet'!$A$192&gt;35,EJ8+EI9-ER8,IF(A9&lt;'Données projet'!$A$192,$EG$205^A9,IF(A9='Données projet'!$A$192,'Données projet'!$B$192,EJ8+EI9-ER8)))</f>
        <v>50.6</v>
      </c>
      <c r="EK9" s="18">
        <f>EJ9*VLOOKUP('Données projet'!$B$15,Paramètres!$A$1:$I$89,3,0)*VLOOKUP('Données projet'!$B$15,Paramètres!$A$1:$I$89,5,0)</f>
        <v>45.782879999999999</v>
      </c>
      <c r="EL9" s="14">
        <f t="shared" si="45"/>
        <v>13.519148289060759</v>
      </c>
      <c r="EM9" s="22">
        <f t="shared" si="19"/>
        <v>103.28436593678082</v>
      </c>
      <c r="EN9" s="62">
        <f t="shared" si="20"/>
        <v>367.28436593678083</v>
      </c>
      <c r="EO9" s="62">
        <f ca="1">AVERAGE(OFFSET($EN$3,0,0,'Données projet'!$E$15+1,1))-AVERAGE(OFFSET($H$3,0,0,'Données projet'!$E$15+1,1))</f>
        <v>436.23918637269577</v>
      </c>
      <c r="EP9" s="62">
        <f t="shared" si="46"/>
        <v>611.43967996341894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5.8</v>
      </c>
      <c r="FE9" s="13">
        <f>IF('Données projet'!$A$218&gt;35,FE8+FD9-FM8,IF(A9&lt;'Données projet'!$A$218,$FB$205^A9,IF(A9='Données projet'!$A$218,'Données projet'!$B$218,FE8+FD9-FM8)))</f>
        <v>5.9677098701087665</v>
      </c>
      <c r="FF9" s="18">
        <f>FE9*VLOOKUP('Données projet'!$B$16,Paramètres!$A$1:$I$89,3,0)*VLOOKUP('Données projet'!$B$16,Paramètres!$A$1:$I$89,5,0)</f>
        <v>5.2133913425270189</v>
      </c>
      <c r="FG9" s="14">
        <f t="shared" si="47"/>
        <v>1.9824378698032765</v>
      </c>
      <c r="FH9" s="22">
        <f t="shared" si="22"/>
        <v>12.53273587814193</v>
      </c>
      <c r="FI9" s="62">
        <f t="shared" si="23"/>
        <v>276.53273587814192</v>
      </c>
      <c r="FJ9" s="62">
        <f ca="1">AVERAGE(OFFSET($FI$3,0,0,'Données projet'!$E$16+1,1))-AVERAGE(OFFSET($H$3,0,0,'Données projet'!$E$16+1,1))</f>
        <v>321.23599968992932</v>
      </c>
      <c r="FK9" s="62">
        <f t="shared" si="48"/>
        <v>388.05195847800502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8.1284210526315785</v>
      </c>
      <c r="N10" s="14">
        <f>IF('Données projet'!$A$36&gt;35,N9+M10-V9,IF(A10&lt;'Données projet'!$A$36,$K$205^A10,IF(A10='Données projet'!$A$36,'Données projet'!$B$36,N9+M10-V9)))</f>
        <v>6.403024843545178</v>
      </c>
      <c r="O10" s="14">
        <f>N10*VLOOKUP('Données projet'!$B$9,Paramètres!$A$1:$I$89,3,0)*VLOOKUP('Données projet'!$B$9,Paramètres!$A$1:$I$89,5,0)</f>
        <v>3.5792908875417546</v>
      </c>
      <c r="P10" s="14">
        <f t="shared" si="33"/>
        <v>1.4219590493795295</v>
      </c>
      <c r="Q10" s="22">
        <f t="shared" si="2"/>
        <v>8.7105103068045704</v>
      </c>
      <c r="R10" s="62">
        <f t="shared" si="0"/>
        <v>273.93273252902679</v>
      </c>
      <c r="S10" s="62">
        <f ca="1">AVERAGE(OFFSET($R$3,0,0,'Données projet'!$E$9+1,1))-AVERAGE(OFFSET($H$3,0,0,'Données projet'!$E$9+1,1))</f>
        <v>389.06620927245814</v>
      </c>
      <c r="T10" s="62">
        <f t="shared" si="34"/>
        <v>356.08144160383193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8.3000000000000007</v>
      </c>
      <c r="AI10" s="14">
        <f>IF('Données projet'!$A$62&gt;35,AI9+AH10-AQ9,IF(A10&lt;'Données projet'!$A$62,$AF$205^A10,IF(A10='Données projet'!$A$62,'Données projet'!$B$62,AI9+AH10-AQ9)))</f>
        <v>22.047262079599165</v>
      </c>
      <c r="AJ10" s="14">
        <f>AI10*VLOOKUP('Données projet'!$B$10,Paramètres!$A$1:$I$89,3,0)*VLOOKUP('Données projet'!$B$10,Paramètres!$A$1:$I$89,5,0)</f>
        <v>12.037805095461144</v>
      </c>
      <c r="AK10" s="14">
        <f t="shared" si="35"/>
        <v>4.1526340975546745</v>
      </c>
      <c r="AL10" s="22">
        <f t="shared" si="4"/>
        <v>28.198348261169219</v>
      </c>
      <c r="AM10" s="62">
        <f t="shared" si="5"/>
        <v>293.42057048339143</v>
      </c>
      <c r="AN10" s="62">
        <f ca="1">AVERAGE(OFFSET($AM$3,0,0,'Données projet'!$E$10+1,1))-AVERAGE(OFFSET($H$3,0,0,'Données projet'!$E$10+1,1))</f>
        <v>293.73480285950245</v>
      </c>
      <c r="AO10" s="62">
        <f t="shared" si="36"/>
        <v>425.99823184414191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4.0617724818240486</v>
      </c>
      <c r="BF10" s="14">
        <f t="shared" si="37"/>
        <v>1.590058719758437</v>
      </c>
      <c r="BG10" s="22">
        <f t="shared" si="7"/>
        <v>9.8436060094228282</v>
      </c>
      <c r="BH10" s="62">
        <f t="shared" si="8"/>
        <v>275.06582823164507</v>
      </c>
      <c r="BI10" s="62">
        <f ca="1">AVERAGE(OFFSET($BH$3,0,0,'Données projet'!$E$11+1,1))-AVERAGE(OFFSET($H$3,0,0,'Données projet'!$E$11+1,1))</f>
        <v>438.70522838726322</v>
      </c>
      <c r="BJ10" s="62">
        <f t="shared" si="38"/>
        <v>278.21741231699929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4.3418947219498456</v>
      </c>
      <c r="CA10" s="14">
        <f t="shared" si="39"/>
        <v>1.6865743243491664</v>
      </c>
      <c r="CB10" s="22">
        <f t="shared" si="10"/>
        <v>10.499583588970779</v>
      </c>
      <c r="CC10" s="62">
        <f t="shared" si="11"/>
        <v>275.72180581119301</v>
      </c>
      <c r="CD10" s="62">
        <f ca="1">AVERAGE(OFFSET($CC$3,0,0,'Données projet'!$E$12+1,1))-AVERAGE(OFFSET($H$3,0,0,'Données projet'!$E$12+1,1))</f>
        <v>466.10838191274445</v>
      </c>
      <c r="CE10" s="62">
        <f t="shared" si="40"/>
        <v>294.45557293177131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1.9</v>
      </c>
      <c r="CT10" s="13">
        <f>IF('Données projet'!$A$140&gt;35,CT9+CS10-DB9,IF(A10&lt;'Données projet'!$A$140,$CQ$205^A10,IF(A10='Données projet'!$A$140,'Données projet'!$B$140,CT9+CS10-DB9)))</f>
        <v>7.8546623499408135</v>
      </c>
      <c r="CU10" s="18">
        <f>CT10*VLOOKUP('Données projet'!$B$13,Paramètres!$A$1:$I$89,3,0)*VLOOKUP('Données projet'!$B$13,Paramètres!$A$1:$I$89,5,0)</f>
        <v>5.7590384349766044</v>
      </c>
      <c r="CV10" s="14">
        <f t="shared" si="41"/>
        <v>2.1646979432521807</v>
      </c>
      <c r="CW10" s="22">
        <f t="shared" si="13"/>
        <v>13.800507525415135</v>
      </c>
      <c r="CX10" s="62">
        <f t="shared" si="14"/>
        <v>279.02272974763736</v>
      </c>
      <c r="CY10" s="62">
        <f ca="1">AVERAGE(OFFSET($CX$3,0,0,'Données projet'!$E$13+1,1))-AVERAGE(OFFSET($H$3,0,0,'Données projet'!$E$13+1,1))</f>
        <v>376.5422416541544</v>
      </c>
      <c r="CZ10" s="62">
        <f t="shared" si="42"/>
        <v>365.76175372075869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1.1000000000000001</v>
      </c>
      <c r="DO10" s="13">
        <f>IF('Données projet'!$A$166&gt;35,DO9+DN10-DW9,IF(A10&lt;'Données projet'!$A$166,$DL$205^A10,IF(A10='Données projet'!$A$166,'Données projet'!$B$166,DO9+DN10-DW9)))</f>
        <v>5.3576566694841175</v>
      </c>
      <c r="DP10" s="18">
        <f>DO10*VLOOKUP('Données projet'!$B$14,Paramètres!$A$1:$I$89,3,0)*VLOOKUP('Données projet'!$B$14,Paramètres!$A$1:$I$89,5,0)</f>
        <v>4.2625516462415645</v>
      </c>
      <c r="DQ10" s="14">
        <f t="shared" si="43"/>
        <v>1.6593124478620722</v>
      </c>
      <c r="DR10" s="22">
        <f t="shared" si="16"/>
        <v>10.313913297230501</v>
      </c>
      <c r="DS10" s="62">
        <f t="shared" si="17"/>
        <v>275.53613551945273</v>
      </c>
      <c r="DT10" s="62">
        <f ca="1">AVERAGE(OFFSET($DS$3,0,0,'Données projet'!$E$14+1,1))-AVERAGE(OFFSET($H$3,0,0,'Données projet'!$E$14+1,1))</f>
        <v>352.5736659365665</v>
      </c>
      <c r="DU10" s="62">
        <f t="shared" si="44"/>
        <v>343.77208530767069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17.600000000000001</v>
      </c>
      <c r="EJ10" s="13">
        <f>IF('Données projet'!$A$192&gt;35,EJ9+EI10-ER9,IF(A10&lt;'Données projet'!$A$192,$EG$205^A10,IF(A10='Données projet'!$A$192,'Données projet'!$B$192,EJ9+EI10-ER9)))</f>
        <v>68.2</v>
      </c>
      <c r="EK10" s="18">
        <f>EJ10*VLOOKUP('Données projet'!$B$15,Paramètres!$A$1:$I$89,3,0)*VLOOKUP('Données projet'!$B$15,Paramètres!$A$1:$I$89,5,0)</f>
        <v>61.707360000000001</v>
      </c>
      <c r="EL10" s="14">
        <f t="shared" si="45"/>
        <v>17.599235734890414</v>
      </c>
      <c r="EM10" s="22">
        <f t="shared" si="19"/>
        <v>138.12565423826746</v>
      </c>
      <c r="EN10" s="62">
        <f t="shared" si="20"/>
        <v>403.34787646048972</v>
      </c>
      <c r="EO10" s="62">
        <f ca="1">AVERAGE(OFFSET($EN$3,0,0,'Données projet'!$E$15+1,1))-AVERAGE(OFFSET($H$3,0,0,'Données projet'!$E$15+1,1))</f>
        <v>436.23918637269577</v>
      </c>
      <c r="EP10" s="62">
        <f t="shared" si="46"/>
        <v>611.43967996341894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5.8</v>
      </c>
      <c r="FE10" s="13">
        <f>IF('Données projet'!$A$218&gt;35,FE9+FD10-FM9,IF(A10&lt;'Données projet'!$A$218,$FB$205^A10,IF(A10='Données projet'!$A$218,'Données projet'!$B$218,FE9+FD10-FM9)))</f>
        <v>8.0372778932539148</v>
      </c>
      <c r="FF10" s="18">
        <f>FE10*VLOOKUP('Données projet'!$B$16,Paramètres!$A$1:$I$89,3,0)*VLOOKUP('Données projet'!$B$16,Paramètres!$A$1:$I$89,5,0)</f>
        <v>7.0213659675466209</v>
      </c>
      <c r="FG10" s="14">
        <f t="shared" si="47"/>
        <v>2.5789932139603198</v>
      </c>
      <c r="FH10" s="22">
        <f t="shared" si="22"/>
        <v>16.72062557445792</v>
      </c>
      <c r="FI10" s="62">
        <f t="shared" si="23"/>
        <v>281.94284779668016</v>
      </c>
      <c r="FJ10" s="62">
        <f ca="1">AVERAGE(OFFSET($FI$3,0,0,'Données projet'!$E$16+1,1))-AVERAGE(OFFSET($H$3,0,0,'Données projet'!$E$16+1,1))</f>
        <v>321.23599968992932</v>
      </c>
      <c r="FK10" s="62">
        <f t="shared" si="48"/>
        <v>388.05195847800502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8.1284210526315785</v>
      </c>
      <c r="N11" s="14">
        <f>IF('Données projet'!$A$36&gt;35,N10+M11-V10,IF(A11&lt;'Données projet'!$A$36,$K$205^A11,IF(A11='Données projet'!$A$36,'Données projet'!$B$36,N10+M11-V10)))</f>
        <v>8.3480121160693486</v>
      </c>
      <c r="O11" s="14">
        <f>N11*VLOOKUP('Données projet'!$B$9,Paramètres!$A$1:$I$89,3,0)*VLOOKUP('Données projet'!$B$9,Paramètres!$A$1:$I$89,5,0)</f>
        <v>4.6665387728827659</v>
      </c>
      <c r="P11" s="14">
        <f t="shared" si="33"/>
        <v>1.7975291403383375</v>
      </c>
      <c r="Q11" s="22">
        <f t="shared" si="2"/>
        <v>11.258251615526754</v>
      </c>
      <c r="R11" s="62">
        <f t="shared" si="0"/>
        <v>277.70269605997123</v>
      </c>
      <c r="S11" s="62">
        <f ca="1">AVERAGE(OFFSET($R$3,0,0,'Données projet'!$E$9+1,1))-AVERAGE(OFFSET($H$3,0,0,'Données projet'!$E$9+1,1))</f>
        <v>389.06620927245814</v>
      </c>
      <c r="T11" s="62">
        <f t="shared" si="34"/>
        <v>356.08144160383193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8.3000000000000007</v>
      </c>
      <c r="AI11" s="14">
        <f>IF('Données projet'!$A$62&gt;35,AI10+AH11-AQ10,IF(A11&lt;'Données projet'!$A$62,$AF$205^A11,IF(A11='Données projet'!$A$62,'Données projet'!$B$62,AI10+AH11-AQ10)))</f>
        <v>34.297500720902455</v>
      </c>
      <c r="AJ11" s="14">
        <f>AI11*VLOOKUP('Données projet'!$B$10,Paramètres!$A$1:$I$89,3,0)*VLOOKUP('Données projet'!$B$10,Paramètres!$A$1:$I$89,5,0)</f>
        <v>18.726435393612743</v>
      </c>
      <c r="AK11" s="14">
        <f t="shared" si="35"/>
        <v>6.1361138068825287</v>
      </c>
      <c r="AL11" s="22">
        <f t="shared" si="4"/>
        <v>43.302273190862593</v>
      </c>
      <c r="AM11" s="62">
        <f t="shared" si="5"/>
        <v>309.74671763530705</v>
      </c>
      <c r="AN11" s="62">
        <f ca="1">AVERAGE(OFFSET($AM$3,0,0,'Données projet'!$E$10+1,1))-AVERAGE(OFFSET($H$3,0,0,'Données projet'!$E$10+1,1))</f>
        <v>293.73480285950245</v>
      </c>
      <c r="AO11" s="62">
        <f t="shared" si="36"/>
        <v>425.99823184414191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5.0336351769196082</v>
      </c>
      <c r="BF11" s="14">
        <f t="shared" si="37"/>
        <v>1.9219176128866391</v>
      </c>
      <c r="BG11" s="22">
        <f t="shared" si="7"/>
        <v>12.11425444224588</v>
      </c>
      <c r="BH11" s="62">
        <f t="shared" si="8"/>
        <v>278.55869888669031</v>
      </c>
      <c r="BI11" s="62">
        <f ca="1">AVERAGE(OFFSET($BH$3,0,0,'Données projet'!$E$11+1,1))-AVERAGE(OFFSET($H$3,0,0,'Données projet'!$E$11+1,1))</f>
        <v>438.70522838726322</v>
      </c>
      <c r="BJ11" s="62">
        <f t="shared" si="38"/>
        <v>278.21741231699929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5.3807824305002701</v>
      </c>
      <c r="CA11" s="14">
        <f t="shared" si="39"/>
        <v>2.0385768519929188</v>
      </c>
      <c r="CB11" s="22">
        <f t="shared" si="10"/>
        <v>12.922050750342303</v>
      </c>
      <c r="CC11" s="62">
        <f t="shared" si="11"/>
        <v>279.36649519478675</v>
      </c>
      <c r="CD11" s="62">
        <f ca="1">AVERAGE(OFFSET($CC$3,0,0,'Données projet'!$E$12+1,1))-AVERAGE(OFFSET($H$3,0,0,'Données projet'!$E$12+1,1))</f>
        <v>466.10838191274445</v>
      </c>
      <c r="CE11" s="62">
        <f t="shared" si="40"/>
        <v>294.45557293177131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1.9</v>
      </c>
      <c r="CT11" s="13">
        <f>IF('Données projet'!$A$140&gt;35,CT10+CS11-DB10,IF(A11&lt;'Données projet'!$A$140,$CQ$205^A11,IF(A11='Données projet'!$A$140,'Données projet'!$B$140,CT10+CS11-DB10)))</f>
        <v>10.543938903738736</v>
      </c>
      <c r="CU11" s="18">
        <f>CT11*VLOOKUP('Données projet'!$B$13,Paramètres!$A$1:$I$89,3,0)*VLOOKUP('Données projet'!$B$13,Paramètres!$A$1:$I$89,5,0)</f>
        <v>7.730816004221241</v>
      </c>
      <c r="CV11" s="14">
        <f t="shared" si="41"/>
        <v>2.8079409641844508</v>
      </c>
      <c r="CW11" s="22">
        <f t="shared" si="13"/>
        <v>18.355001719973249</v>
      </c>
      <c r="CX11" s="62">
        <f t="shared" si="14"/>
        <v>284.7994461644177</v>
      </c>
      <c r="CY11" s="62">
        <f ca="1">AVERAGE(OFFSET($CX$3,0,0,'Données projet'!$E$13+1,1))-AVERAGE(OFFSET($H$3,0,0,'Données projet'!$E$13+1,1))</f>
        <v>376.5422416541544</v>
      </c>
      <c r="CZ11" s="62">
        <f t="shared" si="42"/>
        <v>365.76175372075869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1.1000000000000001</v>
      </c>
      <c r="DO11" s="13">
        <f>IF('Données projet'!$A$166&gt;35,DO10+DN11-DW10,IF(A11&lt;'Données projet'!$A$166,$DL$205^A11,IF(A11='Données projet'!$A$166,'Données projet'!$B$166,DO10+DN11-DW10)))</f>
        <v>6.8094831275223076</v>
      </c>
      <c r="DP11" s="18">
        <f>DO11*VLOOKUP('Données projet'!$B$14,Paramètres!$A$1:$I$89,3,0)*VLOOKUP('Données projet'!$B$14,Paramètres!$A$1:$I$89,5,0)</f>
        <v>5.4176247762567487</v>
      </c>
      <c r="DQ11" s="14">
        <f t="shared" si="43"/>
        <v>2.0509054013412618</v>
      </c>
      <c r="DR11" s="22">
        <f t="shared" si="16"/>
        <v>13.007690059316532</v>
      </c>
      <c r="DS11" s="62">
        <f t="shared" si="17"/>
        <v>279.45213450376099</v>
      </c>
      <c r="DT11" s="62">
        <f ca="1">AVERAGE(OFFSET($DS$3,0,0,'Données projet'!$E$14+1,1))-AVERAGE(OFFSET($H$3,0,0,'Données projet'!$E$14+1,1))</f>
        <v>352.5736659365665</v>
      </c>
      <c r="DU11" s="62">
        <f t="shared" si="44"/>
        <v>343.77208530767069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17.600000000000001</v>
      </c>
      <c r="EJ11" s="13">
        <f>IF('Données projet'!$A$192&gt;35,EJ10+EI11-ER10,IF(A11&lt;'Données projet'!$A$192,$EG$205^A11,IF(A11='Données projet'!$A$192,'Données projet'!$B$192,EJ10+EI11-ER10)))</f>
        <v>85.800000000000011</v>
      </c>
      <c r="EK11" s="18">
        <f>EJ11*VLOOKUP('Données projet'!$B$15,Paramètres!$A$1:$I$89,3,0)*VLOOKUP('Données projet'!$B$15,Paramètres!$A$1:$I$89,5,0)</f>
        <v>77.631840000000011</v>
      </c>
      <c r="EL11" s="14">
        <f t="shared" si="45"/>
        <v>21.557147963295233</v>
      </c>
      <c r="EM11" s="22">
        <f t="shared" si="19"/>
        <v>172.75415403607255</v>
      </c>
      <c r="EN11" s="62">
        <f t="shared" si="20"/>
        <v>439.19859848051703</v>
      </c>
      <c r="EO11" s="62">
        <f ca="1">AVERAGE(OFFSET($EN$3,0,0,'Données projet'!$E$15+1,1))-AVERAGE(OFFSET($H$3,0,0,'Données projet'!$E$15+1,1))</f>
        <v>436.23918637269577</v>
      </c>
      <c r="EP11" s="62">
        <f t="shared" si="46"/>
        <v>611.43967996341894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5.8</v>
      </c>
      <c r="FE11" s="13">
        <f>IF('Données projet'!$A$218&gt;35,FE10+FD11-FM10,IF(A11&lt;'Données projet'!$A$218,$FB$205^A11,IF(A11='Données projet'!$A$218,'Données projet'!$B$218,FE10+FD11-FM10)))</f>
        <v>10.824560399115168</v>
      </c>
      <c r="FF11" s="18">
        <f>FE11*VLOOKUP('Données projet'!$B$16,Paramètres!$A$1:$I$89,3,0)*VLOOKUP('Données projet'!$B$16,Paramètres!$A$1:$I$89,5,0)</f>
        <v>9.4563359646670122</v>
      </c>
      <c r="FG11" s="14">
        <f t="shared" si="47"/>
        <v>3.3550640345230081</v>
      </c>
      <c r="FH11" s="22">
        <f t="shared" si="22"/>
        <v>22.313188331922618</v>
      </c>
      <c r="FI11" s="62">
        <f t="shared" si="23"/>
        <v>288.75763277636707</v>
      </c>
      <c r="FJ11" s="62">
        <f ca="1">AVERAGE(OFFSET($FI$3,0,0,'Données projet'!$E$16+1,1))-AVERAGE(OFFSET($H$3,0,0,'Données projet'!$E$16+1,1))</f>
        <v>321.23599968992932</v>
      </c>
      <c r="FK11" s="62">
        <f t="shared" si="48"/>
        <v>388.05195847800502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8.1284210526315785</v>
      </c>
      <c r="N12" s="14">
        <f>IF('Données projet'!$A$36&gt;35,N11+M12-V11,IF(A12&lt;'Données projet'!$A$36,$K$205^A12,IF(A12='Données projet'!$A$36,'Données projet'!$B$36,N11+M12-V11)))</f>
        <v>10.883810073030356</v>
      </c>
      <c r="O12" s="14">
        <f>N12*VLOOKUP('Données projet'!$B$9,Paramètres!$A$1:$I$89,3,0)*VLOOKUP('Données projet'!$B$9,Paramètres!$A$1:$I$89,5,0)</f>
        <v>6.084049830823969</v>
      </c>
      <c r="P12" s="14">
        <f t="shared" si="33"/>
        <v>2.272295402441705</v>
      </c>
      <c r="Q12" s="22">
        <f t="shared" si="2"/>
        <v>14.553967947937716</v>
      </c>
      <c r="R12" s="62">
        <f t="shared" si="0"/>
        <v>282.22063461460442</v>
      </c>
      <c r="S12" s="62">
        <f ca="1">AVERAGE(OFFSET($R$3,0,0,'Données projet'!$E$9+1,1))-AVERAGE(OFFSET($H$3,0,0,'Données projet'!$E$9+1,1))</f>
        <v>389.06620927245814</v>
      </c>
      <c r="T12" s="62">
        <f t="shared" si="34"/>
        <v>356.08144160383193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8.3000000000000007</v>
      </c>
      <c r="AI12" s="14">
        <f>IF('Données projet'!$A$62&gt;35,AI11+AH12-AQ11,IF(A12&lt;'Données projet'!$A$62,$AF$205^A12,IF(A12='Données projet'!$A$62,'Données projet'!$B$62,AI11+AH12-AQ11)))</f>
        <v>53.354405252377298</v>
      </c>
      <c r="AJ12" s="14">
        <f>AI12*VLOOKUP('Données projet'!$B$10,Paramètres!$A$1:$I$89,3,0)*VLOOKUP('Données projet'!$B$10,Paramètres!$A$1:$I$89,5,0)</f>
        <v>29.131505267798005</v>
      </c>
      <c r="AK12" s="14">
        <f t="shared" si="35"/>
        <v>9.0669901962193347</v>
      </c>
      <c r="AL12" s="22">
        <f t="shared" si="4"/>
        <v>66.529046266496863</v>
      </c>
      <c r="AM12" s="62">
        <f t="shared" si="5"/>
        <v>334.19571293316358</v>
      </c>
      <c r="AN12" s="62">
        <f ca="1">AVERAGE(OFFSET($AM$3,0,0,'Données projet'!$E$10+1,1))-AVERAGE(OFFSET($H$3,0,0,'Données projet'!$E$10+1,1))</f>
        <v>293.73480285950245</v>
      </c>
      <c r="AO12" s="62">
        <f t="shared" si="36"/>
        <v>425.99823184414191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6.2380360317336141</v>
      </c>
      <c r="BF12" s="14">
        <f t="shared" si="37"/>
        <v>2.3230383034439352</v>
      </c>
      <c r="BG12" s="22">
        <f t="shared" si="7"/>
        <v>14.910537800434229</v>
      </c>
      <c r="BH12" s="62">
        <f t="shared" si="8"/>
        <v>282.5772044671009</v>
      </c>
      <c r="BI12" s="62">
        <f ca="1">AVERAGE(OFFSET($BH$3,0,0,'Données projet'!$E$11+1,1))-AVERAGE(OFFSET($H$3,0,0,'Données projet'!$E$11+1,1))</f>
        <v>438.70522838726322</v>
      </c>
      <c r="BJ12" s="62">
        <f t="shared" si="38"/>
        <v>278.21741231699929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6.6682454132324853</v>
      </c>
      <c r="CA12" s="14">
        <f t="shared" si="39"/>
        <v>2.4640453263659414</v>
      </c>
      <c r="CB12" s="22">
        <f t="shared" si="10"/>
        <v>15.905406371467258</v>
      </c>
      <c r="CC12" s="62">
        <f t="shared" si="11"/>
        <v>283.57207303813396</v>
      </c>
      <c r="CD12" s="62">
        <f ca="1">AVERAGE(OFFSET($CC$3,0,0,'Données projet'!$E$12+1,1))-AVERAGE(OFFSET($H$3,0,0,'Données projet'!$E$12+1,1))</f>
        <v>466.10838191274445</v>
      </c>
      <c r="CE12" s="62">
        <f t="shared" si="40"/>
        <v>294.45557293177131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1.9</v>
      </c>
      <c r="CT12" s="13">
        <f>IF('Données projet'!$A$140&gt;35,CT11+CS12-DB11,IF(A12&lt;'Données projet'!$A$140,$CQ$205^A12,IF(A12='Données projet'!$A$140,'Données projet'!$B$140,CT11+CS12-DB11)))</f>
        <v>14.153969025366564</v>
      </c>
      <c r="CU12" s="18">
        <f>CT12*VLOOKUP('Données projet'!$B$13,Paramètres!$A$1:$I$89,3,0)*VLOOKUP('Données projet'!$B$13,Paramètres!$A$1:$I$89,5,0)</f>
        <v>10.377690089398765</v>
      </c>
      <c r="CV12" s="14">
        <f t="shared" si="41"/>
        <v>3.6423245482922235</v>
      </c>
      <c r="CW12" s="22">
        <f t="shared" si="13"/>
        <v>24.418192160645134</v>
      </c>
      <c r="CX12" s="62">
        <f t="shared" si="14"/>
        <v>292.08485882731179</v>
      </c>
      <c r="CY12" s="62">
        <f ca="1">AVERAGE(OFFSET($CX$3,0,0,'Données projet'!$E$13+1,1))-AVERAGE(OFFSET($H$3,0,0,'Données projet'!$E$13+1,1))</f>
        <v>376.5422416541544</v>
      </c>
      <c r="CZ12" s="62">
        <f t="shared" si="42"/>
        <v>365.76175372075869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1.1000000000000001</v>
      </c>
      <c r="DO12" s="13">
        <f>IF('Données projet'!$A$166&gt;35,DO11+DN12-DW11,IF(A12&lt;'Données projet'!$A$166,$DL$205^A12,IF(A12='Données projet'!$A$166,'Données projet'!$B$166,DO11+DN12-DW11)))</f>
        <v>8.6547278641645029</v>
      </c>
      <c r="DP12" s="18">
        <f>DO12*VLOOKUP('Données projet'!$B$14,Paramètres!$A$1:$I$89,3,0)*VLOOKUP('Données projet'!$B$14,Paramètres!$A$1:$I$89,5,0)</f>
        <v>6.8857014887292793</v>
      </c>
      <c r="DQ12" s="14">
        <f t="shared" si="43"/>
        <v>2.5349131627802968</v>
      </c>
      <c r="DR12" s="22">
        <f t="shared" si="16"/>
        <v>16.407570518045844</v>
      </c>
      <c r="DS12" s="62">
        <f t="shared" si="17"/>
        <v>284.0742371847125</v>
      </c>
      <c r="DT12" s="62">
        <f ca="1">AVERAGE(OFFSET($DS$3,0,0,'Données projet'!$E$14+1,1))-AVERAGE(OFFSET($H$3,0,0,'Données projet'!$E$14+1,1))</f>
        <v>352.5736659365665</v>
      </c>
      <c r="DU12" s="62">
        <f t="shared" si="44"/>
        <v>343.77208530767069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17.600000000000001</v>
      </c>
      <c r="EJ12" s="13">
        <f>IF('Données projet'!$A$192&gt;35,EJ11+EI12-ER11,IF(A12&lt;'Données projet'!$A$192,$EG$205^A12,IF(A12='Données projet'!$A$192,'Données projet'!$B$192,EJ11+EI12-ER11)))</f>
        <v>103.4</v>
      </c>
      <c r="EK12" s="18">
        <f>EJ12*VLOOKUP('Données projet'!$B$15,Paramètres!$A$1:$I$89,3,0)*VLOOKUP('Données projet'!$B$15,Paramètres!$A$1:$I$89,5,0)</f>
        <v>93.556319999999999</v>
      </c>
      <c r="EL12" s="14">
        <f t="shared" si="45"/>
        <v>25.420979659258073</v>
      </c>
      <c r="EM12" s="22">
        <f t="shared" si="19"/>
        <v>207.21879690654114</v>
      </c>
      <c r="EN12" s="62">
        <f t="shared" si="20"/>
        <v>474.88546357320786</v>
      </c>
      <c r="EO12" s="62">
        <f ca="1">AVERAGE(OFFSET($EN$3,0,0,'Données projet'!$E$15+1,1))-AVERAGE(OFFSET($H$3,0,0,'Données projet'!$E$15+1,1))</f>
        <v>436.23918637269577</v>
      </c>
      <c r="EP12" s="62">
        <f t="shared" si="46"/>
        <v>611.43967996341894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5.8</v>
      </c>
      <c r="FE12" s="13">
        <f>IF('Données projet'!$A$218&gt;35,FE11+FD12-FM11,IF(A12&lt;'Données projet'!$A$218,$FB$205^A12,IF(A12='Données projet'!$A$218,'Données projet'!$B$218,FE11+FD12-FM11)))</f>
        <v>14.578456710130657</v>
      </c>
      <c r="FF12" s="18">
        <f>FE12*VLOOKUP('Données projet'!$B$16,Paramètres!$A$1:$I$89,3,0)*VLOOKUP('Données projet'!$B$16,Paramètres!$A$1:$I$89,5,0)</f>
        <v>12.735739781970144</v>
      </c>
      <c r="FG12" s="14">
        <f t="shared" si="47"/>
        <v>4.364670141362768</v>
      </c>
      <c r="FH12" s="22">
        <f t="shared" si="22"/>
        <v>29.783213949804821</v>
      </c>
      <c r="FI12" s="62">
        <f t="shared" si="23"/>
        <v>297.44988061647149</v>
      </c>
      <c r="FJ12" s="62">
        <f ca="1">AVERAGE(OFFSET($FI$3,0,0,'Données projet'!$E$16+1,1))-AVERAGE(OFFSET($H$3,0,0,'Données projet'!$E$16+1,1))</f>
        <v>321.23599968992932</v>
      </c>
      <c r="FK12" s="62">
        <f t="shared" si="48"/>
        <v>388.05195847800502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8.1284210526315785</v>
      </c>
      <c r="N13" s="14">
        <f>IF('Données projet'!$A$36&gt;35,N12+M13-V12,IF(A13&lt;'Données projet'!$A$36,$K$205^A13,IF(A13='Données projet'!$A$36,'Données projet'!$B$36,N12+M13-V12)))</f>
        <v>14.189883778172153</v>
      </c>
      <c r="O13" s="14">
        <f>N13*VLOOKUP('Données projet'!$B$9,Paramètres!$A$1:$I$89,3,0)*VLOOKUP('Données projet'!$B$9,Paramètres!$A$1:$I$89,5,0)</f>
        <v>7.9321450319982336</v>
      </c>
      <c r="P13" s="14">
        <f t="shared" si="33"/>
        <v>2.8724576865473512</v>
      </c>
      <c r="Q13" s="22">
        <f t="shared" si="2"/>
        <v>18.818016401466895</v>
      </c>
      <c r="R13" s="62">
        <f t="shared" si="0"/>
        <v>287.70690529035573</v>
      </c>
      <c r="S13" s="62">
        <f ca="1">AVERAGE(OFFSET($R$3,0,0,'Données projet'!$E$9+1,1))-AVERAGE(OFFSET($H$3,0,0,'Données projet'!$E$9+1,1))</f>
        <v>389.06620927245814</v>
      </c>
      <c r="T13" s="62">
        <f t="shared" si="34"/>
        <v>356.08144160383193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83</v>
      </c>
      <c r="AG13" s="13">
        <f>VLOOKUP(A13,'Données projet'!$A$61:$I$81,9,0)</f>
        <v>8.3000000000000007</v>
      </c>
      <c r="AH13" s="13">
        <f t="array" ref="AH13">INDEX(AG:AG,MIN(IF(ISNUMBER(AG13:AG209),ROW(AG13:AG209),"")))</f>
        <v>8.3000000000000007</v>
      </c>
      <c r="AI13" s="14">
        <f>IF('Données projet'!$A$62&gt;35,AI12+AH13-AQ12,IF(A13&lt;'Données projet'!$A$62,$AF$205^A13,IF(A13='Données projet'!$A$62,'Données projet'!$B$62,AI12+AH13-AQ12)))</f>
        <v>83</v>
      </c>
      <c r="AJ13" s="14">
        <f>AI13*VLOOKUP('Données projet'!$B$10,Paramètres!$A$1:$I$89,3,0)*VLOOKUP('Données projet'!$B$10,Paramètres!$A$1:$I$89,5,0)</f>
        <v>45.317999999999998</v>
      </c>
      <c r="AK13" s="14">
        <f t="shared" si="35"/>
        <v>13.397781365483629</v>
      </c>
      <c r="AL13" s="22">
        <f t="shared" si="4"/>
        <v>102.26331921155065</v>
      </c>
      <c r="AM13" s="62">
        <f t="shared" si="5"/>
        <v>371.15220810043951</v>
      </c>
      <c r="AN13" s="62">
        <f ca="1">AVERAGE(OFFSET($AM$3,0,0,'Données projet'!$E$10+1,1))-AVERAGE(OFFSET($H$3,0,0,'Données projet'!$E$10+1,1))</f>
        <v>293.73480285950245</v>
      </c>
      <c r="AO13" s="62">
        <f t="shared" si="36"/>
        <v>425.99823184414191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26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1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16.073169695685706</v>
      </c>
      <c r="AX13" s="23">
        <f t="shared" si="6"/>
        <v>16.073169695685706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7.7306145887633031</v>
      </c>
      <c r="BF13" s="14">
        <f t="shared" si="37"/>
        <v>2.8078763226288115</v>
      </c>
      <c r="BG13" s="22">
        <f t="shared" si="7"/>
        <v>18.354538337341264</v>
      </c>
      <c r="BH13" s="62">
        <f t="shared" si="8"/>
        <v>287.2434272262301</v>
      </c>
      <c r="BI13" s="62">
        <f ca="1">AVERAGE(OFFSET($BH$3,0,0,'Données projet'!$E$11+1,1))-AVERAGE(OFFSET($H$3,0,0,'Données projet'!$E$11+1,1))</f>
        <v>438.70522838726322</v>
      </c>
      <c r="BJ13" s="62">
        <f t="shared" si="38"/>
        <v>278.21741231699929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8.2637604224711172</v>
      </c>
      <c r="CA13" s="14">
        <f t="shared" si="39"/>
        <v>2.9783127206856603</v>
      </c>
      <c r="CB13" s="22">
        <f t="shared" si="10"/>
        <v>19.579944057664719</v>
      </c>
      <c r="CC13" s="62">
        <f t="shared" si="11"/>
        <v>288.46883294655356</v>
      </c>
      <c r="CD13" s="62">
        <f ca="1">AVERAGE(OFFSET($CC$3,0,0,'Données projet'!$E$12+1,1))-AVERAGE(OFFSET($H$3,0,0,'Données projet'!$E$12+1,1))</f>
        <v>466.10838191274445</v>
      </c>
      <c r="CE13" s="62">
        <f t="shared" si="40"/>
        <v>294.45557293177131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19</v>
      </c>
      <c r="CR13" s="13">
        <f>VLOOKUP(A13,'Données projet'!$A$139:$I$159,9,0)</f>
        <v>1.9</v>
      </c>
      <c r="CS13" s="13">
        <f t="array" ref="CS13">INDEX(CR:CR,MIN(IF(ISNUMBER(CR13:CR209),ROW(CR13:CR209),"")))</f>
        <v>1.9</v>
      </c>
      <c r="CT13" s="13">
        <f>IF('Données projet'!$A$140&gt;35,CT12+CS13-DB12,IF(A13&lt;'Données projet'!$A$140,$CQ$205^A13,IF(A13='Données projet'!$A$140,'Données projet'!$B$140,CT12+CS13-DB12)))</f>
        <v>19</v>
      </c>
      <c r="CU13" s="18">
        <f>CT13*VLOOKUP('Données projet'!$B$13,Paramètres!$A$1:$I$89,3,0)*VLOOKUP('Données projet'!$B$13,Paramètres!$A$1:$I$89,5,0)</f>
        <v>13.9308</v>
      </c>
      <c r="CV13" s="14">
        <f t="shared" si="41"/>
        <v>4.7246463812124082</v>
      </c>
      <c r="CW13" s="22">
        <f t="shared" si="13"/>
        <v>32.491569113944941</v>
      </c>
      <c r="CX13" s="62">
        <f t="shared" si="14"/>
        <v>301.38045800283379</v>
      </c>
      <c r="CY13" s="62">
        <f ca="1">AVERAGE(OFFSET($CX$3,0,0,'Données projet'!$E$13+1,1))-AVERAGE(OFFSET($H$3,0,0,'Données projet'!$E$13+1,1))</f>
        <v>376.5422416541544</v>
      </c>
      <c r="CZ13" s="62">
        <f t="shared" si="42"/>
        <v>365.76175372075869</v>
      </c>
      <c r="DA13" s="16">
        <f>IF(ISNA(VLOOKUP(A13,'Données projet'!$A$139:$I$159,3,0)),0,VLOOKUP(A13,'Données projet'!$A$139:$I$159,3,0))</f>
        <v>1</v>
      </c>
      <c r="DB13" s="16">
        <f>IF(ISNA(VLOOKUP(A13,'Données projet'!$A$139:$I$159,4,0)),0,VLOOKUP(A13,'Données projet'!$A$139:$I$159,4,0))</f>
        <v>7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11</v>
      </c>
      <c r="DM13" s="13">
        <f>VLOOKUP(A13,'Données projet'!$A$165:$I$185,9,0)</f>
        <v>1.1000000000000001</v>
      </c>
      <c r="DN13" s="13">
        <f t="array" ref="DN13">INDEX(DM:DM,MIN(IF(ISNUMBER(DM13:DM209),ROW(DM13:DM209),"")))</f>
        <v>1.1000000000000001</v>
      </c>
      <c r="DO13" s="13">
        <f>IF('Données projet'!$A$166&gt;35,DO12+DN13-DW12,IF(A13&lt;'Données projet'!$A$166,$DL$205^A13,IF(A13='Données projet'!$A$166,'Données projet'!$B$166,DO12+DN13-DW12)))</f>
        <v>11</v>
      </c>
      <c r="DP13" s="18">
        <f>DO13*VLOOKUP('Données projet'!$B$14,Paramètres!$A$1:$I$89,3,0)*VLOOKUP('Données projet'!$B$14,Paramètres!$A$1:$I$89,5,0)</f>
        <v>8.7516000000000016</v>
      </c>
      <c r="DQ13" s="14">
        <f t="shared" si="43"/>
        <v>3.1331453604025001</v>
      </c>
      <c r="DR13" s="22">
        <f t="shared" si="16"/>
        <v>20.699264836034356</v>
      </c>
      <c r="DS13" s="62">
        <f t="shared" si="17"/>
        <v>289.58815372492319</v>
      </c>
      <c r="DT13" s="62">
        <f ca="1">AVERAGE(OFFSET($DS$3,0,0,'Données projet'!$E$14+1,1))-AVERAGE(OFFSET($H$3,0,0,'Données projet'!$E$14+1,1))</f>
        <v>352.5736659365665</v>
      </c>
      <c r="DU13" s="62">
        <f t="shared" si="44"/>
        <v>343.77208530767069</v>
      </c>
      <c r="DV13" s="16">
        <f>IF(ISNA(VLOOKUP(A13,'Données projet'!$A$165:$I$185,3,0)),0,VLOOKUP(A13,'Données projet'!$A$165:$I$185,3,0))</f>
        <v>1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>
        <f>VLOOKUP(A13,'Données projet'!$A$191:$I$211,2,0)</f>
        <v>121</v>
      </c>
      <c r="EH13" s="13">
        <f>VLOOKUP(A13,'Données projet'!$A$191:$I$211,9,0)</f>
        <v>17.600000000000001</v>
      </c>
      <c r="EI13" s="13">
        <f t="array" ref="EI13">INDEX(EH:EH,MIN(IF(ISNUMBER(EH13:EH209),ROW(EH13:EH209),"")))</f>
        <v>17.600000000000001</v>
      </c>
      <c r="EJ13" s="13">
        <f>IF('Données projet'!$A$192&gt;35,EJ12+EI13-ER12,IF(A13&lt;'Données projet'!$A$192,$EG$205^A13,IF(A13='Données projet'!$A$192,'Données projet'!$B$192,EJ12+EI13-ER12)))</f>
        <v>121</v>
      </c>
      <c r="EK13" s="18">
        <f>EJ13*VLOOKUP('Données projet'!$B$15,Paramètres!$A$1:$I$89,3,0)*VLOOKUP('Données projet'!$B$15,Paramètres!$A$1:$I$89,5,0)</f>
        <v>109.48079999999999</v>
      </c>
      <c r="EL13" s="14">
        <f t="shared" si="45"/>
        <v>29.208623339903898</v>
      </c>
      <c r="EM13" s="22">
        <f t="shared" si="19"/>
        <v>241.5507456503326</v>
      </c>
      <c r="EN13" s="62">
        <f t="shared" si="20"/>
        <v>510.43963453922146</v>
      </c>
      <c r="EO13" s="62">
        <f ca="1">AVERAGE(OFFSET($EN$3,0,0,'Données projet'!$E$15+1,1))-AVERAGE(OFFSET($H$3,0,0,'Données projet'!$E$15+1,1))</f>
        <v>436.23918637269577</v>
      </c>
      <c r="EP13" s="62">
        <f t="shared" si="46"/>
        <v>611.43967996341894</v>
      </c>
      <c r="EQ13" s="16">
        <f>IF(ISNA(VLOOKUP(A13,'Données projet'!$A$191:$I$211,3,0)),0,VLOOKUP(A13,'Données projet'!$A$191:$I$211,3,0))</f>
        <v>2</v>
      </c>
      <c r="ER13" s="16">
        <f>IF(ISNA(VLOOKUP(A13,'Données projet'!$A$191:$I$211,4,0)),0,VLOOKUP(A13,'Données projet'!$A$191:$I$211,4,0))</f>
        <v>37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5.8</v>
      </c>
      <c r="FE13" s="13">
        <f>IF('Données projet'!$A$218&gt;35,FE12+FD13-FM12,IF(A13&lt;'Données projet'!$A$218,$FB$205^A13,IF(A13='Données projet'!$A$218,'Données projet'!$B$218,FE12+FD13-FM12)))</f>
        <v>19.634183025716826</v>
      </c>
      <c r="FF13" s="18">
        <f>FE13*VLOOKUP('Données projet'!$B$16,Paramètres!$A$1:$I$89,3,0)*VLOOKUP('Données projet'!$B$16,Paramètres!$A$1:$I$89,5,0)</f>
        <v>17.152422291266223</v>
      </c>
      <c r="FG13" s="14">
        <f t="shared" si="47"/>
        <v>5.678086989362658</v>
      </c>
      <c r="FH13" s="22">
        <f t="shared" si="22"/>
        <v>39.763136997095295</v>
      </c>
      <c r="FI13" s="62">
        <f t="shared" si="23"/>
        <v>308.65202588598413</v>
      </c>
      <c r="FJ13" s="62">
        <f ca="1">AVERAGE(OFFSET($FI$3,0,0,'Données projet'!$E$16+1,1))-AVERAGE(OFFSET($H$3,0,0,'Données projet'!$E$16+1,1))</f>
        <v>321.23599968992932</v>
      </c>
      <c r="FK13" s="62">
        <f t="shared" si="48"/>
        <v>388.05195847800502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8.1284210526315785</v>
      </c>
      <c r="N14" s="14">
        <f>IF('Données projet'!$A$36&gt;35,N13+M14-V13,IF(A14&lt;'Données projet'!$A$36,$K$205^A14,IF(A14='Données projet'!$A$36,'Données projet'!$B$36,N13+M14-V13)))</f>
        <v>18.500212727616166</v>
      </c>
      <c r="O14" s="14">
        <f>N14*VLOOKUP('Données projet'!$B$9,Paramètres!$A$1:$I$89,3,0)*VLOOKUP('Données projet'!$B$9,Paramètres!$A$1:$I$89,5,0)</f>
        <v>10.341618914737436</v>
      </c>
      <c r="P14" s="14">
        <f t="shared" si="33"/>
        <v>3.6311357898884093</v>
      </c>
      <c r="Q14" s="22">
        <f t="shared" si="2"/>
        <v>24.335881110556681</v>
      </c>
      <c r="R14" s="62">
        <f t="shared" si="0"/>
        <v>294.44699222166781</v>
      </c>
      <c r="S14" s="62">
        <f ca="1">AVERAGE(OFFSET($R$3,0,0,'Données projet'!$E$9+1,1))-AVERAGE(OFFSET($H$3,0,0,'Données projet'!$E$9+1,1))</f>
        <v>389.06620927245814</v>
      </c>
      <c r="T14" s="62">
        <f t="shared" si="34"/>
        <v>356.08144160383193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23.6</v>
      </c>
      <c r="AI14" s="14">
        <f>IF('Données projet'!$A$62&gt;35,AI13+AH14-AQ13,IF(A14&lt;'Données projet'!$A$62,$AF$205^A14,IF(A14='Données projet'!$A$62,'Données projet'!$B$62,AI13+AH14-AQ13)))</f>
        <v>80.599999999999994</v>
      </c>
      <c r="AJ14" s="14">
        <f>AI14*VLOOKUP('Données projet'!$B$10,Paramètres!$A$1:$I$89,3,0)*VLOOKUP('Données projet'!$B$10,Paramètres!$A$1:$I$89,5,0)</f>
        <v>44.007599999999996</v>
      </c>
      <c r="AK14" s="14">
        <f t="shared" si="35"/>
        <v>13.054887296903958</v>
      </c>
      <c r="AL14" s="22">
        <f t="shared" si="4"/>
        <v>99.383832042107713</v>
      </c>
      <c r="AM14" s="62">
        <f t="shared" si="5"/>
        <v>369.49494315321886</v>
      </c>
      <c r="AN14" s="62">
        <f ca="1">AVERAGE(OFFSET($AM$3,0,0,'Données projet'!$E$10+1,1))-AVERAGE(OFFSET($H$3,0,0,'Données projet'!$E$10+1,1))</f>
        <v>293.73480285950245</v>
      </c>
      <c r="AO14" s="62">
        <f t="shared" si="36"/>
        <v>425.99823184414191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11.36544728698148</v>
      </c>
      <c r="AX14" s="23">
        <f t="shared" si="6"/>
        <v>11.36544728698148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9.5803232966244067</v>
      </c>
      <c r="BF14" s="14">
        <f t="shared" si="37"/>
        <v>3.3939041949894282</v>
      </c>
      <c r="BG14" s="22">
        <f t="shared" si="7"/>
        <v>22.596779547894098</v>
      </c>
      <c r="BH14" s="62">
        <f t="shared" si="8"/>
        <v>292.70789065900522</v>
      </c>
      <c r="BI14" s="62">
        <f ca="1">AVERAGE(OFFSET($BH$3,0,0,'Données projet'!$E$11+1,1))-AVERAGE(OFFSET($H$3,0,0,'Données projet'!$E$11+1,1))</f>
        <v>438.70522838726322</v>
      </c>
      <c r="BJ14" s="62">
        <f t="shared" si="38"/>
        <v>278.21741231699929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10.241035248115747</v>
      </c>
      <c r="CA14" s="14">
        <f t="shared" si="39"/>
        <v>3.5999121311945652</v>
      </c>
      <c r="CB14" s="22">
        <f t="shared" si="10"/>
        <v>24.106316685632123</v>
      </c>
      <c r="CC14" s="62">
        <f t="shared" si="11"/>
        <v>294.21742779674327</v>
      </c>
      <c r="CD14" s="62">
        <f ca="1">AVERAGE(OFFSET($CC$3,0,0,'Données projet'!$E$12+1,1))-AVERAGE(OFFSET($H$3,0,0,'Données projet'!$E$12+1,1))</f>
        <v>466.10838191274445</v>
      </c>
      <c r="CE14" s="62">
        <f t="shared" si="40"/>
        <v>294.45557293177131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14.4</v>
      </c>
      <c r="CT14" s="13">
        <f>IF('Données projet'!$A$140&gt;35,CT13+CS14-DB13,IF(A14&lt;'Données projet'!$A$140,$CQ$205^A14,IF(A14='Données projet'!$A$140,'Données projet'!$B$140,CT13+CS14-DB13)))</f>
        <v>26.4</v>
      </c>
      <c r="CU14" s="18">
        <f>CT14*VLOOKUP('Données projet'!$B$13,Paramètres!$A$1:$I$89,3,0)*VLOOKUP('Données projet'!$B$13,Paramètres!$A$1:$I$89,5,0)</f>
        <v>19.356480000000001</v>
      </c>
      <c r="CV14" s="14">
        <f t="shared" si="41"/>
        <v>6.3181780007167561</v>
      </c>
      <c r="CW14" s="22">
        <f t="shared" si="13"/>
        <v>44.716696017915012</v>
      </c>
      <c r="CX14" s="62">
        <f t="shared" si="14"/>
        <v>314.82780712902616</v>
      </c>
      <c r="CY14" s="62">
        <f ca="1">AVERAGE(OFFSET($CX$3,0,0,'Données projet'!$E$13+1,1))-AVERAGE(OFFSET($H$3,0,0,'Données projet'!$E$13+1,1))</f>
        <v>376.5422416541544</v>
      </c>
      <c r="CZ14" s="62">
        <f t="shared" si="42"/>
        <v>365.76175372075869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10.8</v>
      </c>
      <c r="DO14" s="13">
        <f>IF('Données projet'!$A$166&gt;35,DO13+DN14-DW13,IF(A14&lt;'Données projet'!$A$166,$DL$205^A14,IF(A14='Données projet'!$A$166,'Données projet'!$B$166,DO13+DN14-DW13)))</f>
        <v>21.8</v>
      </c>
      <c r="DP14" s="18">
        <f>DO14*VLOOKUP('Données projet'!$B$14,Paramètres!$A$1:$I$89,3,0)*VLOOKUP('Données projet'!$B$14,Paramètres!$A$1:$I$89,5,0)</f>
        <v>17.344080000000002</v>
      </c>
      <c r="DQ14" s="14">
        <f t="shared" si="43"/>
        <v>5.7341113912136308</v>
      </c>
      <c r="DR14" s="22">
        <f t="shared" si="16"/>
        <v>40.194516673030414</v>
      </c>
      <c r="DS14" s="62">
        <f t="shared" si="17"/>
        <v>310.30562778414156</v>
      </c>
      <c r="DT14" s="62">
        <f ca="1">AVERAGE(OFFSET($DS$3,0,0,'Données projet'!$E$14+1,1))-AVERAGE(OFFSET($H$3,0,0,'Données projet'!$E$14+1,1))</f>
        <v>352.5736659365665</v>
      </c>
      <c r="DU14" s="62">
        <f t="shared" si="44"/>
        <v>343.77208530767069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17</v>
      </c>
      <c r="EJ14" s="13">
        <f>IF('Données projet'!$A$192&gt;35,EJ13+EI14-ER13,IF(A14&lt;'Données projet'!$A$192,$EG$205^A14,IF(A14='Données projet'!$A$192,'Données projet'!$B$192,EJ13+EI14-ER13)))</f>
        <v>101</v>
      </c>
      <c r="EK14" s="18">
        <f>EJ14*VLOOKUP('Données projet'!$B$15,Paramètres!$A$1:$I$89,3,0)*VLOOKUP('Données projet'!$B$15,Paramètres!$A$1:$I$89,5,0)</f>
        <v>91.384799999999998</v>
      </c>
      <c r="EL14" s="14">
        <f t="shared" si="45"/>
        <v>24.898908025894642</v>
      </c>
      <c r="EM14" s="22">
        <f t="shared" si="19"/>
        <v>202.52745814509981</v>
      </c>
      <c r="EN14" s="62">
        <f t="shared" si="20"/>
        <v>472.63856925621099</v>
      </c>
      <c r="EO14" s="62">
        <f ca="1">AVERAGE(OFFSET($EN$3,0,0,'Données projet'!$E$15+1,1))-AVERAGE(OFFSET($H$3,0,0,'Données projet'!$E$15+1,1))</f>
        <v>436.23918637269577</v>
      </c>
      <c r="EP14" s="62">
        <f t="shared" si="46"/>
        <v>611.43967996341894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5.8</v>
      </c>
      <c r="FE14" s="13">
        <f>IF('Données projet'!$A$218&gt;35,FE13+FD14-FM13,IF(A14&lt;'Données projet'!$A$218,$FB$205^A14,IF(A14='Données projet'!$A$218,'Données projet'!$B$218,FE13+FD14-FM13)))</f>
        <v>26.443206626903088</v>
      </c>
      <c r="FF14" s="18">
        <f>FE14*VLOOKUP('Données projet'!$B$16,Paramètres!$A$1:$I$89,3,0)*VLOOKUP('Données projet'!$B$16,Paramètres!$A$1:$I$89,5,0)</f>
        <v>23.100785309262541</v>
      </c>
      <c r="FG14" s="14">
        <f t="shared" si="47"/>
        <v>7.3867373282653306</v>
      </c>
      <c r="FH14" s="22">
        <f t="shared" si="22"/>
        <v>53.099101927027704</v>
      </c>
      <c r="FI14" s="62">
        <f t="shared" si="23"/>
        <v>323.21021303813882</v>
      </c>
      <c r="FJ14" s="62">
        <f ca="1">AVERAGE(OFFSET($FI$3,0,0,'Données projet'!$E$16+1,1))-AVERAGE(OFFSET($H$3,0,0,'Données projet'!$E$16+1,1))</f>
        <v>321.23599968992932</v>
      </c>
      <c r="FK14" s="62">
        <f t="shared" si="48"/>
        <v>388.05195847800502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8.1284210526315785</v>
      </c>
      <c r="N15" s="14">
        <f>IF('Données projet'!$A$36&gt;35,N14+M15-V14,IF(A15&lt;'Données projet'!$A$36,$K$205^A15,IF(A15='Données projet'!$A$36,'Données projet'!$B$36,N14+M15-V14)))</f>
        <v>24.119850191693295</v>
      </c>
      <c r="O15" s="14">
        <f>N15*VLOOKUP('Données projet'!$B$9,Paramètres!$A$1:$I$89,3,0)*VLOOKUP('Données projet'!$B$9,Paramètres!$A$1:$I$89,5,0)</f>
        <v>13.482996257156552</v>
      </c>
      <c r="P15" s="14">
        <f t="shared" si="33"/>
        <v>4.5901971633416325</v>
      </c>
      <c r="Q15" s="22">
        <f t="shared" si="2"/>
        <v>31.477478540701004</v>
      </c>
      <c r="R15" s="62">
        <f t="shared" si="0"/>
        <v>302.8108118740343</v>
      </c>
      <c r="S15" s="62">
        <f ca="1">AVERAGE(OFFSET($R$3,0,0,'Données projet'!$E$9+1,1))-AVERAGE(OFFSET($H$3,0,0,'Données projet'!$E$9+1,1))</f>
        <v>389.06620927245814</v>
      </c>
      <c r="T15" s="62">
        <f t="shared" si="34"/>
        <v>356.08144160383193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23.6</v>
      </c>
      <c r="AI15" s="14">
        <f>IF('Données projet'!$A$62&gt;35,AI14+AH15-AQ14,IF(A15&lt;'Données projet'!$A$62,$AF$205^A15,IF(A15='Données projet'!$A$62,'Données projet'!$B$62,AI14+AH15-AQ14)))</f>
        <v>104.19999999999999</v>
      </c>
      <c r="AJ15" s="14">
        <f>AI15*VLOOKUP('Données projet'!$B$10,Paramètres!$A$1:$I$89,3,0)*VLOOKUP('Données projet'!$B$10,Paramètres!$A$1:$I$89,5,0)</f>
        <v>56.893199999999993</v>
      </c>
      <c r="AK15" s="14">
        <f t="shared" si="35"/>
        <v>16.380358422910444</v>
      </c>
      <c r="AL15" s="22">
        <f t="shared" si="4"/>
        <v>127.61811425323567</v>
      </c>
      <c r="AM15" s="62">
        <f t="shared" si="5"/>
        <v>398.95144758656897</v>
      </c>
      <c r="AN15" s="62">
        <f ca="1">AVERAGE(OFFSET($AM$3,0,0,'Données projet'!$E$10+1,1))-AVERAGE(OFFSET($H$3,0,0,'Données projet'!$E$10+1,1))</f>
        <v>293.73480285950245</v>
      </c>
      <c r="AO15" s="62">
        <f t="shared" si="36"/>
        <v>425.99823184414191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8.036584847842855</v>
      </c>
      <c r="AX15" s="23">
        <f t="shared" si="6"/>
        <v>8.036584847842855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11.872612896942668</v>
      </c>
      <c r="BF15" s="14">
        <f t="shared" si="37"/>
        <v>4.1022411108131784</v>
      </c>
      <c r="BG15" s="22">
        <f t="shared" si="7"/>
        <v>27.822870730174767</v>
      </c>
      <c r="BH15" s="62">
        <f t="shared" si="8"/>
        <v>299.15620406350808</v>
      </c>
      <c r="BI15" s="62">
        <f ca="1">AVERAGE(OFFSET($BH$3,0,0,'Données projet'!$E$11+1,1))-AVERAGE(OFFSET($H$3,0,0,'Données projet'!$E$11+1,1))</f>
        <v>438.70522838726322</v>
      </c>
      <c r="BJ15" s="62">
        <f t="shared" si="38"/>
        <v>278.21741231699929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12.69141378638699</v>
      </c>
      <c r="CA15" s="14">
        <f t="shared" si="39"/>
        <v>4.3512446702837533</v>
      </c>
      <c r="CB15" s="22">
        <f t="shared" si="10"/>
        <v>29.682630145368211</v>
      </c>
      <c r="CC15" s="62">
        <f t="shared" si="11"/>
        <v>301.01596347870151</v>
      </c>
      <c r="CD15" s="62">
        <f ca="1">AVERAGE(OFFSET($CC$3,0,0,'Données projet'!$E$12+1,1))-AVERAGE(OFFSET($H$3,0,0,'Données projet'!$E$12+1,1))</f>
        <v>466.10838191274445</v>
      </c>
      <c r="CE15" s="62">
        <f t="shared" si="40"/>
        <v>294.45557293177131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14.4</v>
      </c>
      <c r="CT15" s="13">
        <f>IF('Données projet'!$A$140&gt;35,CT14+CS15-DB14,IF(A15&lt;'Données projet'!$A$140,$CQ$205^A15,IF(A15='Données projet'!$A$140,'Données projet'!$B$140,CT14+CS15-DB14)))</f>
        <v>40.799999999999997</v>
      </c>
      <c r="CU15" s="18">
        <f>CT15*VLOOKUP('Données projet'!$B$13,Paramètres!$A$1:$I$89,3,0)*VLOOKUP('Données projet'!$B$13,Paramètres!$A$1:$I$89,5,0)</f>
        <v>29.914559999999998</v>
      </c>
      <c r="CV15" s="14">
        <f t="shared" si="41"/>
        <v>9.2820081914942723</v>
      </c>
      <c r="CW15" s="22">
        <f t="shared" si="13"/>
        <v>68.267356266852531</v>
      </c>
      <c r="CX15" s="62">
        <f t="shared" si="14"/>
        <v>339.60068960018583</v>
      </c>
      <c r="CY15" s="62">
        <f ca="1">AVERAGE(OFFSET($CX$3,0,0,'Données projet'!$E$13+1,1))-AVERAGE(OFFSET($H$3,0,0,'Données projet'!$E$13+1,1))</f>
        <v>376.5422416541544</v>
      </c>
      <c r="CZ15" s="62">
        <f t="shared" si="42"/>
        <v>365.76175372075869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10.8</v>
      </c>
      <c r="DO15" s="13">
        <f>IF('Données projet'!$A$166&gt;35,DO14+DN15-DW14,IF(A15&lt;'Données projet'!$A$166,$DL$205^A15,IF(A15='Données projet'!$A$166,'Données projet'!$B$166,DO14+DN15-DW14)))</f>
        <v>32.6</v>
      </c>
      <c r="DP15" s="18">
        <f>DO15*VLOOKUP('Données projet'!$B$14,Paramètres!$A$1:$I$89,3,0)*VLOOKUP('Données projet'!$B$14,Paramètres!$A$1:$I$89,5,0)</f>
        <v>25.936560000000004</v>
      </c>
      <c r="DQ15" s="14">
        <f t="shared" si="43"/>
        <v>8.1824816304360635</v>
      </c>
      <c r="DR15" s="22">
        <f t="shared" si="16"/>
        <v>59.423997506342801</v>
      </c>
      <c r="DS15" s="62">
        <f t="shared" si="17"/>
        <v>330.75733083967611</v>
      </c>
      <c r="DT15" s="62">
        <f ca="1">AVERAGE(OFFSET($DS$3,0,0,'Données projet'!$E$14+1,1))-AVERAGE(OFFSET($H$3,0,0,'Données projet'!$E$14+1,1))</f>
        <v>352.5736659365665</v>
      </c>
      <c r="DU15" s="62">
        <f t="shared" si="44"/>
        <v>343.77208530767069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17</v>
      </c>
      <c r="EJ15" s="13">
        <f>IF('Données projet'!$A$192&gt;35,EJ14+EI15-ER14,IF(A15&lt;'Données projet'!$A$192,$EG$205^A15,IF(A15='Données projet'!$A$192,'Données projet'!$B$192,EJ14+EI15-ER14)))</f>
        <v>118</v>
      </c>
      <c r="EK15" s="18">
        <f>EJ15*VLOOKUP('Données projet'!$B$15,Paramètres!$A$1:$I$89,3,0)*VLOOKUP('Données projet'!$B$15,Paramètres!$A$1:$I$89,5,0)</f>
        <v>106.7664</v>
      </c>
      <c r="EL15" s="14">
        <f t="shared" si="45"/>
        <v>28.5678052620942</v>
      </c>
      <c r="EM15" s="22">
        <f t="shared" si="19"/>
        <v>235.70707416481403</v>
      </c>
      <c r="EN15" s="62">
        <f t="shared" si="20"/>
        <v>507.04040749814737</v>
      </c>
      <c r="EO15" s="62">
        <f ca="1">AVERAGE(OFFSET($EN$3,0,0,'Données projet'!$E$15+1,1))-AVERAGE(OFFSET($H$3,0,0,'Données projet'!$E$15+1,1))</f>
        <v>436.23918637269577</v>
      </c>
      <c r="EP15" s="62">
        <f t="shared" si="46"/>
        <v>611.43967996341894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5.8</v>
      </c>
      <c r="FE15" s="13">
        <f>IF('Données projet'!$A$218&gt;35,FE14+FD15-FM14,IF(A15&lt;'Données projet'!$A$218,$FB$205^A15,IF(A15='Données projet'!$A$218,'Données projet'!$B$218,FE14+FD15-FM14)))</f>
        <v>35.613561093793592</v>
      </c>
      <c r="FF15" s="18">
        <f>FE15*VLOOKUP('Données projet'!$B$16,Paramètres!$A$1:$I$89,3,0)*VLOOKUP('Données projet'!$B$16,Paramètres!$A$1:$I$89,5,0)</f>
        <v>31.112006971538086</v>
      </c>
      <c r="FG15" s="14">
        <f t="shared" si="47"/>
        <v>9.6095548481396289</v>
      </c>
      <c r="FH15" s="22">
        <f t="shared" si="22"/>
        <v>70.9233868359387</v>
      </c>
      <c r="FI15" s="62">
        <f t="shared" si="23"/>
        <v>342.256720169272</v>
      </c>
      <c r="FJ15" s="62">
        <f ca="1">AVERAGE(OFFSET($FI$3,0,0,'Données projet'!$E$16+1,1))-AVERAGE(OFFSET($H$3,0,0,'Données projet'!$E$16+1,1))</f>
        <v>321.23599968992932</v>
      </c>
      <c r="FK15" s="62">
        <f t="shared" si="48"/>
        <v>388.05195847800502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8.1284210526315785</v>
      </c>
      <c r="N16" s="14">
        <f>IF('Données projet'!$A$36&gt;35,N15+M16-V15,IF(A16&lt;'Données projet'!$A$36,$K$205^A16,IF(A16='Données projet'!$A$36,'Données projet'!$B$36,N15+M16-V15)))</f>
        <v>31.446512633949066</v>
      </c>
      <c r="O16" s="14">
        <f>N16*VLOOKUP('Données projet'!$B$9,Paramètres!$A$1:$I$89,3,0)*VLOOKUP('Données projet'!$B$9,Paramètres!$A$1:$I$89,5,0)</f>
        <v>17.578600562377527</v>
      </c>
      <c r="P16" s="14">
        <f t="shared" si="33"/>
        <v>5.8025673556529513</v>
      </c>
      <c r="Q16" s="22">
        <f t="shared" si="2"/>
        <v>40.722200790569744</v>
      </c>
      <c r="R16" s="62">
        <f t="shared" si="0"/>
        <v>313.27775634612527</v>
      </c>
      <c r="S16" s="62">
        <f ca="1">AVERAGE(OFFSET($R$3,0,0,'Données projet'!$E$9+1,1))-AVERAGE(OFFSET($H$3,0,0,'Données projet'!$E$9+1,1))</f>
        <v>389.06620927245814</v>
      </c>
      <c r="T16" s="62">
        <f t="shared" si="34"/>
        <v>356.08144160383193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23.6</v>
      </c>
      <c r="AI16" s="14">
        <f>IF('Données projet'!$A$62&gt;35,AI15+AH16-AQ15,IF(A16&lt;'Données projet'!$A$62,$AF$205^A16,IF(A16='Données projet'!$A$62,'Données projet'!$B$62,AI15+AH16-AQ15)))</f>
        <v>127.79999999999998</v>
      </c>
      <c r="AJ16" s="14">
        <f>AI16*VLOOKUP('Données projet'!$B$10,Paramètres!$A$1:$I$89,3,0)*VLOOKUP('Données projet'!$B$10,Paramètres!$A$1:$I$89,5,0)</f>
        <v>69.77879999999999</v>
      </c>
      <c r="AK16" s="14">
        <f t="shared" si="35"/>
        <v>19.618515700802106</v>
      </c>
      <c r="AL16" s="22">
        <f t="shared" si="4"/>
        <v>155.70032484556364</v>
      </c>
      <c r="AM16" s="62">
        <f t="shared" si="5"/>
        <v>428.25588040111916</v>
      </c>
      <c r="AN16" s="62">
        <f ca="1">AVERAGE(OFFSET($AM$3,0,0,'Données projet'!$E$10+1,1))-AVERAGE(OFFSET($H$3,0,0,'Données projet'!$E$10+1,1))</f>
        <v>293.73480285950245</v>
      </c>
      <c r="AO16" s="62">
        <f t="shared" si="36"/>
        <v>425.99823184414191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5.6827236434907418</v>
      </c>
      <c r="AX16" s="23">
        <f t="shared" si="6"/>
        <v>5.6827236434907418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14.713379980643843</v>
      </c>
      <c r="BF16" s="14">
        <f t="shared" si="37"/>
        <v>4.9584140165447881</v>
      </c>
      <c r="BG16" s="22">
        <f t="shared" si="7"/>
        <v>34.261707878436859</v>
      </c>
      <c r="BH16" s="62">
        <f t="shared" si="8"/>
        <v>306.81726343399242</v>
      </c>
      <c r="BI16" s="62">
        <f ca="1">AVERAGE(OFFSET($BH$3,0,0,'Données projet'!$E$11+1,1))-AVERAGE(OFFSET($H$3,0,0,'Données projet'!$E$11+1,1))</f>
        <v>438.70522838726322</v>
      </c>
      <c r="BJ16" s="62">
        <f t="shared" si="38"/>
        <v>278.21741231699929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15.728095841377899</v>
      </c>
      <c r="CA16" s="14">
        <f t="shared" si="39"/>
        <v>5.2593867546400634</v>
      </c>
      <c r="CB16" s="22">
        <f t="shared" si="10"/>
        <v>36.553198854731285</v>
      </c>
      <c r="CC16" s="62">
        <f t="shared" si="11"/>
        <v>309.10875441028685</v>
      </c>
      <c r="CD16" s="62">
        <f ca="1">AVERAGE(OFFSET($CC$3,0,0,'Données projet'!$E$12+1,1))-AVERAGE(OFFSET($H$3,0,0,'Données projet'!$E$12+1,1))</f>
        <v>466.10838191274445</v>
      </c>
      <c r="CE16" s="62">
        <f t="shared" si="40"/>
        <v>294.45557293177131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14.4</v>
      </c>
      <c r="CT16" s="13">
        <f>IF('Données projet'!$A$140&gt;35,CT15+CS16-DB15,IF(A16&lt;'Données projet'!$A$140,$CQ$205^A16,IF(A16='Données projet'!$A$140,'Données projet'!$B$140,CT15+CS16-DB15)))</f>
        <v>55.199999999999996</v>
      </c>
      <c r="CU16" s="18">
        <f>CT16*VLOOKUP('Données projet'!$B$13,Paramètres!$A$1:$I$89,3,0)*VLOOKUP('Données projet'!$B$13,Paramètres!$A$1:$I$89,5,0)</f>
        <v>40.472639999999991</v>
      </c>
      <c r="CV16" s="14">
        <f t="shared" si="41"/>
        <v>12.123834417890356</v>
      </c>
      <c r="CW16" s="22">
        <f t="shared" si="13"/>
        <v>91.605526277825675</v>
      </c>
      <c r="CX16" s="62">
        <f t="shared" si="14"/>
        <v>364.16108183338122</v>
      </c>
      <c r="CY16" s="62">
        <f ca="1">AVERAGE(OFFSET($CX$3,0,0,'Données projet'!$E$13+1,1))-AVERAGE(OFFSET($H$3,0,0,'Données projet'!$E$13+1,1))</f>
        <v>376.5422416541544</v>
      </c>
      <c r="CZ16" s="62">
        <f t="shared" si="42"/>
        <v>365.76175372075869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10.8</v>
      </c>
      <c r="DO16" s="13">
        <f>IF('Données projet'!$A$166&gt;35,DO15+DN16-DW15,IF(A16&lt;'Données projet'!$A$166,$DL$205^A16,IF(A16='Données projet'!$A$166,'Données projet'!$B$166,DO15+DN16-DW15)))</f>
        <v>43.400000000000006</v>
      </c>
      <c r="DP16" s="18">
        <f>DO16*VLOOKUP('Données projet'!$B$14,Paramètres!$A$1:$I$89,3,0)*VLOOKUP('Données projet'!$B$14,Paramètres!$A$1:$I$89,5,0)</f>
        <v>34.529040000000009</v>
      </c>
      <c r="DQ16" s="14">
        <f t="shared" si="43"/>
        <v>10.536391336679102</v>
      </c>
      <c r="DR16" s="22">
        <f t="shared" si="16"/>
        <v>78.488959578049446</v>
      </c>
      <c r="DS16" s="62">
        <f t="shared" si="17"/>
        <v>351.04451513360499</v>
      </c>
      <c r="DT16" s="62">
        <f ca="1">AVERAGE(OFFSET($DS$3,0,0,'Données projet'!$E$14+1,1))-AVERAGE(OFFSET($H$3,0,0,'Données projet'!$E$14+1,1))</f>
        <v>352.5736659365665</v>
      </c>
      <c r="DU16" s="62">
        <f t="shared" si="44"/>
        <v>343.77208530767069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17</v>
      </c>
      <c r="EJ16" s="13">
        <f>IF('Données projet'!$A$192&gt;35,EJ15+EI16-ER15,IF(A16&lt;'Données projet'!$A$192,$EG$205^A16,IF(A16='Données projet'!$A$192,'Données projet'!$B$192,EJ15+EI16-ER15)))</f>
        <v>135</v>
      </c>
      <c r="EK16" s="18">
        <f>EJ16*VLOOKUP('Données projet'!$B$15,Paramètres!$A$1:$I$89,3,0)*VLOOKUP('Données projet'!$B$15,Paramètres!$A$1:$I$89,5,0)</f>
        <v>122.148</v>
      </c>
      <c r="EL16" s="14">
        <f t="shared" si="45"/>
        <v>32.175466547071615</v>
      </c>
      <c r="EM16" s="22">
        <f t="shared" si="19"/>
        <v>268.78003756948306</v>
      </c>
      <c r="EN16" s="62">
        <f t="shared" si="20"/>
        <v>541.3355931250386</v>
      </c>
      <c r="EO16" s="62">
        <f ca="1">AVERAGE(OFFSET($EN$3,0,0,'Données projet'!$E$15+1,1))-AVERAGE(OFFSET($H$3,0,0,'Données projet'!$E$15+1,1))</f>
        <v>436.23918637269577</v>
      </c>
      <c r="EP16" s="62">
        <f t="shared" si="46"/>
        <v>611.43967996341894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5.8</v>
      </c>
      <c r="FE16" s="13">
        <f>IF('Données projet'!$A$218&gt;35,FE15+FD16-FM15,IF(A16&lt;'Données projet'!$A$218,$FB$205^A16,IF(A16='Données projet'!$A$218,'Données projet'!$B$218,FE15+FD16-FM15)))</f>
        <v>47.964142612378375</v>
      </c>
      <c r="FF16" s="18">
        <f>FE16*VLOOKUP('Données projet'!$B$16,Paramètres!$A$1:$I$89,3,0)*VLOOKUP('Données projet'!$B$16,Paramètres!$A$1:$I$89,5,0)</f>
        <v>41.901474986173753</v>
      </c>
      <c r="FG16" s="14">
        <f t="shared" si="47"/>
        <v>12.501262773491545</v>
      </c>
      <c r="FH16" s="22">
        <f t="shared" si="22"/>
        <v>94.751434931417066</v>
      </c>
      <c r="FI16" s="62">
        <f t="shared" si="23"/>
        <v>367.30699048697261</v>
      </c>
      <c r="FJ16" s="62">
        <f ca="1">AVERAGE(OFFSET($FI$3,0,0,'Données projet'!$E$16+1,1))-AVERAGE(OFFSET($H$3,0,0,'Données projet'!$E$16+1,1))</f>
        <v>321.23599968992932</v>
      </c>
      <c r="FK16" s="62">
        <f t="shared" si="48"/>
        <v>388.05195847800502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8.1284210526315785</v>
      </c>
      <c r="N17" s="14">
        <f>IF('Données projet'!$A$36&gt;35,N16+M17-V16,IF(A17&lt;'Données projet'!$A$36,$K$205^A17,IF(A17='Données projet'!$A$36,'Données projet'!$B$36,N16+M17-V16)))</f>
        <v>40.998727147056762</v>
      </c>
      <c r="O17" s="14">
        <f>N17*VLOOKUP('Données projet'!$B$9,Paramètres!$A$1:$I$89,3,0)*VLOOKUP('Données projet'!$B$9,Paramètres!$A$1:$I$89,5,0)</f>
        <v>22.918288475204729</v>
      </c>
      <c r="P17" s="14">
        <f t="shared" si="33"/>
        <v>7.3351506958750976</v>
      </c>
      <c r="Q17" s="22">
        <f t="shared" si="2"/>
        <v>52.691406556297359</v>
      </c>
      <c r="R17" s="62">
        <f t="shared" si="0"/>
        <v>326.46918433407512</v>
      </c>
      <c r="S17" s="62">
        <f ca="1">AVERAGE(OFFSET($R$3,0,0,'Données projet'!$E$9+1,1))-AVERAGE(OFFSET($H$3,0,0,'Données projet'!$E$9+1,1))</f>
        <v>389.06620927245814</v>
      </c>
      <c r="T17" s="62">
        <f t="shared" si="34"/>
        <v>356.08144160383193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23.6</v>
      </c>
      <c r="AI17" s="14">
        <f>IF('Données projet'!$A$62&gt;35,AI16+AH17-AQ16,IF(A17&lt;'Données projet'!$A$62,$AF$205^A17,IF(A17='Données projet'!$A$62,'Données projet'!$B$62,AI16+AH17-AQ16)))</f>
        <v>151.39999999999998</v>
      </c>
      <c r="AJ17" s="14">
        <f>AI17*VLOOKUP('Données projet'!$B$10,Paramètres!$A$1:$I$89,3,0)*VLOOKUP('Données projet'!$B$10,Paramètres!$A$1:$I$89,5,0)</f>
        <v>82.664399999999986</v>
      </c>
      <c r="AK17" s="14">
        <f t="shared" si="35"/>
        <v>22.787396402913611</v>
      </c>
      <c r="AL17" s="22">
        <f t="shared" si="4"/>
        <v>183.66187873507451</v>
      </c>
      <c r="AM17" s="62">
        <f t="shared" si="5"/>
        <v>457.43965651285225</v>
      </c>
      <c r="AN17" s="62">
        <f ca="1">AVERAGE(OFFSET($AM$3,0,0,'Données projet'!$E$10+1,1))-AVERAGE(OFFSET($H$3,0,0,'Données projet'!$E$10+1,1))</f>
        <v>293.73480285950245</v>
      </c>
      <c r="AO17" s="62">
        <f t="shared" si="36"/>
        <v>425.99823184414191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4.0182924239214284</v>
      </c>
      <c r="AX17" s="23">
        <f t="shared" si="6"/>
        <v>4.0182924239214284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18.233859078363277</v>
      </c>
      <c r="BF17" s="14">
        <f t="shared" si="37"/>
        <v>5.9932775513027368</v>
      </c>
      <c r="BG17" s="22">
        <f t="shared" si="7"/>
        <v>42.195596296668306</v>
      </c>
      <c r="BH17" s="62">
        <f t="shared" si="8"/>
        <v>315.9733740744461</v>
      </c>
      <c r="BI17" s="62">
        <f ca="1">AVERAGE(OFFSET($BH$3,0,0,'Données projet'!$E$11+1,1))-AVERAGE(OFFSET($H$3,0,0,'Données projet'!$E$11+1,1))</f>
        <v>438.70522838726322</v>
      </c>
      <c r="BJ17" s="62">
        <f t="shared" si="38"/>
        <v>278.21741231699929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19.491366601009023</v>
      </c>
      <c r="CA17" s="14">
        <f t="shared" si="39"/>
        <v>6.3570658813537859</v>
      </c>
      <c r="CB17" s="22">
        <f t="shared" si="10"/>
        <v>45.01935324011523</v>
      </c>
      <c r="CC17" s="62">
        <f t="shared" si="11"/>
        <v>318.79713101789298</v>
      </c>
      <c r="CD17" s="62">
        <f ca="1">AVERAGE(OFFSET($CC$3,0,0,'Données projet'!$E$12+1,1))-AVERAGE(OFFSET($H$3,0,0,'Données projet'!$E$12+1,1))</f>
        <v>466.10838191274445</v>
      </c>
      <c r="CE17" s="62">
        <f t="shared" si="40"/>
        <v>294.45557293177131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14.4</v>
      </c>
      <c r="CT17" s="13">
        <f>IF('Données projet'!$A$140&gt;35,CT16+CS17-DB16,IF(A17&lt;'Données projet'!$A$140,$CQ$205^A17,IF(A17='Données projet'!$A$140,'Données projet'!$B$140,CT16+CS17-DB16)))</f>
        <v>69.599999999999994</v>
      </c>
      <c r="CU17" s="18">
        <f>CT17*VLOOKUP('Données projet'!$B$13,Paramètres!$A$1:$I$89,3,0)*VLOOKUP('Données projet'!$B$13,Paramètres!$A$1:$I$89,5,0)</f>
        <v>51.030719999999995</v>
      </c>
      <c r="CV17" s="14">
        <f t="shared" si="41"/>
        <v>14.879630660597618</v>
      </c>
      <c r="CW17" s="22">
        <f t="shared" si="13"/>
        <v>114.79386073387417</v>
      </c>
      <c r="CX17" s="62">
        <f t="shared" si="14"/>
        <v>388.57163851165194</v>
      </c>
      <c r="CY17" s="62">
        <f ca="1">AVERAGE(OFFSET($CX$3,0,0,'Données projet'!$E$13+1,1))-AVERAGE(OFFSET($H$3,0,0,'Données projet'!$E$13+1,1))</f>
        <v>376.5422416541544</v>
      </c>
      <c r="CZ17" s="62">
        <f t="shared" si="42"/>
        <v>365.76175372075869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10.8</v>
      </c>
      <c r="DO17" s="13">
        <f>IF('Données projet'!$A$166&gt;35,DO16+DN17-DW16,IF(A17&lt;'Données projet'!$A$166,$DL$205^A17,IF(A17='Données projet'!$A$166,'Données projet'!$B$166,DO16+DN17-DW16)))</f>
        <v>54.2</v>
      </c>
      <c r="DP17" s="18">
        <f>DO17*VLOOKUP('Données projet'!$B$14,Paramètres!$A$1:$I$89,3,0)*VLOOKUP('Données projet'!$B$14,Paramètres!$A$1:$I$89,5,0)</f>
        <v>43.121520000000004</v>
      </c>
      <c r="DQ17" s="14">
        <f t="shared" si="43"/>
        <v>12.822353245070515</v>
      </c>
      <c r="DR17" s="22">
        <f t="shared" si="16"/>
        <v>97.435579235164482</v>
      </c>
      <c r="DS17" s="62">
        <f t="shared" si="17"/>
        <v>371.21335701294225</v>
      </c>
      <c r="DT17" s="62">
        <f ca="1">AVERAGE(OFFSET($DS$3,0,0,'Données projet'!$E$14+1,1))-AVERAGE(OFFSET($H$3,0,0,'Données projet'!$E$14+1,1))</f>
        <v>352.5736659365665</v>
      </c>
      <c r="DU17" s="62">
        <f t="shared" si="44"/>
        <v>343.77208530767069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17</v>
      </c>
      <c r="EJ17" s="13">
        <f>IF('Données projet'!$A$192&gt;35,EJ16+EI17-ER16,IF(A17&lt;'Données projet'!$A$192,$EG$205^A17,IF(A17='Données projet'!$A$192,'Données projet'!$B$192,EJ16+EI17-ER16)))</f>
        <v>152</v>
      </c>
      <c r="EK17" s="18">
        <f>EJ17*VLOOKUP('Données projet'!$B$15,Paramètres!$A$1:$I$89,3,0)*VLOOKUP('Données projet'!$B$15,Paramètres!$A$1:$I$89,5,0)</f>
        <v>137.52959999999999</v>
      </c>
      <c r="EL17" s="14">
        <f t="shared" si="45"/>
        <v>35.730486489800548</v>
      </c>
      <c r="EM17" s="22">
        <f t="shared" si="19"/>
        <v>301.76131730306923</v>
      </c>
      <c r="EN17" s="62">
        <f t="shared" si="20"/>
        <v>575.53909508084701</v>
      </c>
      <c r="EO17" s="62">
        <f ca="1">AVERAGE(OFFSET($EN$3,0,0,'Données projet'!$E$15+1,1))-AVERAGE(OFFSET($H$3,0,0,'Données projet'!$E$15+1,1))</f>
        <v>436.23918637269577</v>
      </c>
      <c r="EP17" s="62">
        <f t="shared" si="46"/>
        <v>611.43967996341894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5.8</v>
      </c>
      <c r="FE17" s="13">
        <f>IF('Données projet'!$A$218&gt;35,FE16+FD17-FM16,IF(A17&lt;'Données projet'!$A$218,$FB$205^A17,IF(A17='Données projet'!$A$218,'Données projet'!$B$218,FE16+FD17-FM16)))</f>
        <v>64.597835933388069</v>
      </c>
      <c r="FF17" s="18">
        <f>FE17*VLOOKUP('Données projet'!$B$16,Paramètres!$A$1:$I$89,3,0)*VLOOKUP('Données projet'!$B$16,Paramètres!$A$1:$I$89,5,0)</f>
        <v>56.432669471407827</v>
      </c>
      <c r="FG17" s="14">
        <f t="shared" si="47"/>
        <v>16.263143652501352</v>
      </c>
      <c r="FH17" s="22">
        <f t="shared" si="22"/>
        <v>126.61187452414181</v>
      </c>
      <c r="FI17" s="62">
        <f t="shared" si="23"/>
        <v>400.38965230191957</v>
      </c>
      <c r="FJ17" s="62">
        <f ca="1">AVERAGE(OFFSET($FI$3,0,0,'Données projet'!$E$16+1,1))-AVERAGE(OFFSET($H$3,0,0,'Données projet'!$E$16+1,1))</f>
        <v>321.23599968992932</v>
      </c>
      <c r="FK17" s="62">
        <f t="shared" si="48"/>
        <v>388.05195847800502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8.1284210526315785</v>
      </c>
      <c r="N18" s="14">
        <f>IF('Données projet'!$A$36&gt;35,N17+M18-V17,IF(A18&lt;'Données projet'!$A$36,$K$205^A18,IF(A18='Données projet'!$A$36,'Données projet'!$B$36,N17+M18-V17)))</f>
        <v>53.452528973408192</v>
      </c>
      <c r="O18" s="14">
        <f>N18*VLOOKUP('Données projet'!$B$9,Paramètres!$A$1:$I$89,3,0)*VLOOKUP('Données projet'!$B$9,Paramètres!$A$1:$I$89,5,0)</f>
        <v>29.879963696135178</v>
      </c>
      <c r="P18" s="14">
        <f t="shared" si="33"/>
        <v>9.2725223911067207</v>
      </c>
      <c r="Q18" s="22">
        <f t="shared" si="2"/>
        <v>68.190579935279629</v>
      </c>
      <c r="R18" s="62">
        <f t="shared" si="0"/>
        <v>343.19057993527963</v>
      </c>
      <c r="S18" s="62">
        <f ca="1">AVERAGE(OFFSET($R$3,0,0,'Données projet'!$E$9+1,1))-AVERAGE(OFFSET($H$3,0,0,'Données projet'!$E$9+1,1))</f>
        <v>389.06620927245814</v>
      </c>
      <c r="T18" s="62">
        <f t="shared" si="34"/>
        <v>356.08144160383193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175</v>
      </c>
      <c r="AG18" s="13">
        <f>VLOOKUP(A18,'Données projet'!$A$61:$I$81,9,0)</f>
        <v>23.6</v>
      </c>
      <c r="AH18" s="13">
        <f t="array" ref="AH18">INDEX(AG:AG,MIN(IF(ISNUMBER(AG18:AG214),ROW(AG18:AG214),"")))</f>
        <v>23.6</v>
      </c>
      <c r="AI18" s="14">
        <f>IF('Données projet'!$A$62&gt;35,AI17+AH18-AQ17,IF(A18&lt;'Données projet'!$A$62,$AF$205^A18,IF(A18='Données projet'!$A$62,'Données projet'!$B$62,AI17+AH18-AQ17)))</f>
        <v>174.99999999999997</v>
      </c>
      <c r="AJ18" s="14">
        <f>AI18*VLOOKUP('Données projet'!$B$10,Paramètres!$A$1:$I$89,3,0)*VLOOKUP('Données projet'!$B$10,Paramètres!$A$1:$I$89,5,0)</f>
        <v>95.549999999999983</v>
      </c>
      <c r="AK18" s="14">
        <f t="shared" si="35"/>
        <v>25.899054157375318</v>
      </c>
      <c r="AL18" s="22">
        <f t="shared" si="4"/>
        <v>211.5237693240953</v>
      </c>
      <c r="AM18" s="62">
        <f t="shared" si="5"/>
        <v>486.52376932409527</v>
      </c>
      <c r="AN18" s="62">
        <f ca="1">AVERAGE(OFFSET($AM$3,0,0,'Données projet'!$E$10+1,1))-AVERAGE(OFFSET($H$3,0,0,'Données projet'!$E$10+1,1))</f>
        <v>293.73480285950245</v>
      </c>
      <c r="AO18" s="62">
        <f t="shared" si="36"/>
        <v>425.99823184414191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54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1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36.224098882015696</v>
      </c>
      <c r="AX18" s="23">
        <f t="shared" si="6"/>
        <v>36.224098882015696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22.596685284210423</v>
      </c>
      <c r="BF18" s="14">
        <f t="shared" si="37"/>
        <v>7.2441259820371586</v>
      </c>
      <c r="BG18" s="22">
        <f t="shared" si="7"/>
        <v>51.972746288714539</v>
      </c>
      <c r="BH18" s="62">
        <f t="shared" si="8"/>
        <v>326.97274628871452</v>
      </c>
      <c r="BI18" s="62">
        <f ca="1">AVERAGE(OFFSET($BH$3,0,0,'Données projet'!$E$11+1,1))-AVERAGE(OFFSET($H$3,0,0,'Données projet'!$E$11+1,1))</f>
        <v>438.70522838726322</v>
      </c>
      <c r="BJ18" s="62">
        <f t="shared" si="38"/>
        <v>278.21741231699929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24.155077372776663</v>
      </c>
      <c r="CA18" s="14">
        <f t="shared" si="39"/>
        <v>7.6838400568695304</v>
      </c>
      <c r="CB18" s="22">
        <f t="shared" si="10"/>
        <v>55.452781189967119</v>
      </c>
      <c r="CC18" s="62">
        <f t="shared" si="11"/>
        <v>330.45278118996714</v>
      </c>
      <c r="CD18" s="62">
        <f ca="1">AVERAGE(OFFSET($CC$3,0,0,'Données projet'!$E$12+1,1))-AVERAGE(OFFSET($H$3,0,0,'Données projet'!$E$12+1,1))</f>
        <v>466.10838191274445</v>
      </c>
      <c r="CE18" s="62">
        <f t="shared" si="40"/>
        <v>294.45557293177131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84</v>
      </c>
      <c r="CR18" s="13">
        <f>VLOOKUP(A18,'Données projet'!$A$139:$I$159,9,0)</f>
        <v>14.4</v>
      </c>
      <c r="CS18" s="13">
        <f t="array" ref="CS18">INDEX(CR:CR,MIN(IF(ISNUMBER(CR18:CR214),ROW(CR18:CR214),"")))</f>
        <v>14.4</v>
      </c>
      <c r="CT18" s="13">
        <f>IF('Données projet'!$A$140&gt;35,CT17+CS18-DB17,IF(A18&lt;'Données projet'!$A$140,$CQ$205^A18,IF(A18='Données projet'!$A$140,'Données projet'!$B$140,CT17+CS18-DB17)))</f>
        <v>84</v>
      </c>
      <c r="CU18" s="18">
        <f>CT18*VLOOKUP('Données projet'!$B$13,Paramètres!$A$1:$I$89,3,0)*VLOOKUP('Données projet'!$B$13,Paramètres!$A$1:$I$89,5,0)</f>
        <v>61.588799999999999</v>
      </c>
      <c r="CV18" s="14">
        <f t="shared" si="41"/>
        <v>17.56935444538782</v>
      </c>
      <c r="CW18" s="22">
        <f t="shared" si="13"/>
        <v>137.86711899238378</v>
      </c>
      <c r="CX18" s="62">
        <f t="shared" si="14"/>
        <v>412.86711899238378</v>
      </c>
      <c r="CY18" s="62">
        <f ca="1">AVERAGE(OFFSET($CX$3,0,0,'Données projet'!$E$13+1,1))-AVERAGE(OFFSET($H$3,0,0,'Données projet'!$E$13+1,1))</f>
        <v>376.5422416541544</v>
      </c>
      <c r="CZ18" s="62">
        <f t="shared" si="42"/>
        <v>365.76175372075869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42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65</v>
      </c>
      <c r="DM18" s="13">
        <f>VLOOKUP(A18,'Données projet'!$A$165:$I$185,9,0)</f>
        <v>10.8</v>
      </c>
      <c r="DN18" s="13">
        <f t="array" ref="DN18">INDEX(DM:DM,MIN(IF(ISNUMBER(DM18:DM214),ROW(DM18:DM214),"")))</f>
        <v>10.8</v>
      </c>
      <c r="DO18" s="13">
        <f>IF('Données projet'!$A$166&gt;35,DO17+DN18-DW17,IF(A18&lt;'Données projet'!$A$166,$DL$205^A18,IF(A18='Données projet'!$A$166,'Données projet'!$B$166,DO17+DN18-DW17)))</f>
        <v>65</v>
      </c>
      <c r="DP18" s="18">
        <f>DO18*VLOOKUP('Données projet'!$B$14,Paramètres!$A$1:$I$89,3,0)*VLOOKUP('Données projet'!$B$14,Paramètres!$A$1:$I$89,5,0)</f>
        <v>51.713999999999999</v>
      </c>
      <c r="DQ18" s="14">
        <f t="shared" si="43"/>
        <v>15.055535578337075</v>
      </c>
      <c r="DR18" s="22">
        <f t="shared" si="16"/>
        <v>116.29027446560372</v>
      </c>
      <c r="DS18" s="62">
        <f t="shared" si="17"/>
        <v>391.29027446560372</v>
      </c>
      <c r="DT18" s="62">
        <f ca="1">AVERAGE(OFFSET($DS$3,0,0,'Données projet'!$E$14+1,1))-AVERAGE(OFFSET($H$3,0,0,'Données projet'!$E$14+1,1))</f>
        <v>352.5736659365665</v>
      </c>
      <c r="DU18" s="62">
        <f t="shared" si="44"/>
        <v>343.77208530767069</v>
      </c>
      <c r="DV18" s="16">
        <f>IF(ISNA(VLOOKUP(A18,'Données projet'!$A$165:$I$185,3,0)),0,VLOOKUP(A18,'Données projet'!$A$165:$I$185,3,0))</f>
        <v>2</v>
      </c>
      <c r="DW18" s="16">
        <f>IF(ISNA(VLOOKUP(A18,'Données projet'!$A$165:$I$185,4,0)),0,VLOOKUP(A18,'Données projet'!$A$165:$I$185,4,0))</f>
        <v>32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169</v>
      </c>
      <c r="EH18" s="13">
        <f>VLOOKUP(A18,'Données projet'!$A$191:$I$211,9,0)</f>
        <v>17</v>
      </c>
      <c r="EI18" s="13">
        <f t="array" ref="EI18">INDEX(EH:EH,MIN(IF(ISNUMBER(EH18:EH214),ROW(EH18:EH214),"")))</f>
        <v>17</v>
      </c>
      <c r="EJ18" s="13">
        <f>IF('Données projet'!$A$192&gt;35,EJ17+EI18-ER17,IF(A18&lt;'Données projet'!$A$192,$EG$205^A18,IF(A18='Données projet'!$A$192,'Données projet'!$B$192,EJ17+EI18-ER17)))</f>
        <v>169</v>
      </c>
      <c r="EK18" s="18">
        <f>EJ18*VLOOKUP('Données projet'!$B$15,Paramètres!$A$1:$I$89,3,0)*VLOOKUP('Données projet'!$B$15,Paramètres!$A$1:$I$89,5,0)</f>
        <v>152.91120000000001</v>
      </c>
      <c r="EL18" s="14">
        <f t="shared" si="45"/>
        <v>39.239424324197543</v>
      </c>
      <c r="EM18" s="22">
        <f t="shared" si="19"/>
        <v>334.66233736464409</v>
      </c>
      <c r="EN18" s="62">
        <f t="shared" si="20"/>
        <v>609.66233736464415</v>
      </c>
      <c r="EO18" s="62">
        <f ca="1">AVERAGE(OFFSET($EN$3,0,0,'Données projet'!$E$15+1,1))-AVERAGE(OFFSET($H$3,0,0,'Données projet'!$E$15+1,1))</f>
        <v>436.23918637269577</v>
      </c>
      <c r="EP18" s="62">
        <f t="shared" si="46"/>
        <v>611.43967996341894</v>
      </c>
      <c r="EQ18" s="16">
        <f>IF(ISNA(VLOOKUP(A18,'Données projet'!$A$191:$I$211,3,0)),0,VLOOKUP(A18,'Données projet'!$A$191:$I$211,3,0))</f>
        <v>3</v>
      </c>
      <c r="ER18" s="16">
        <f>IF(ISNA(VLOOKUP(A18,'Données projet'!$A$191:$I$211,4,0)),0,VLOOKUP(A18,'Données projet'!$A$191:$I$211,4,0))</f>
        <v>29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87</v>
      </c>
      <c r="FC18" s="13">
        <f>VLOOKUP(A18,'Données projet'!$A$217:$I$237,9,0)</f>
        <v>5.8</v>
      </c>
      <c r="FD18" s="13">
        <f t="array" ref="FD18">INDEX(FC:FC,MIN(IF(ISNUMBER(FC18:FC214),ROW(FC18:FC214),"")))</f>
        <v>5.8</v>
      </c>
      <c r="FE18" s="13">
        <f>IF('Données projet'!$A$218&gt;35,FE17+FD18-FM17,IF(A18&lt;'Données projet'!$A$218,$FB$205^A18,IF(A18='Données projet'!$A$218,'Données projet'!$B$218,FE17+FD18-FM17)))</f>
        <v>87</v>
      </c>
      <c r="FF18" s="18">
        <f>FE18*VLOOKUP('Données projet'!$B$16,Paramètres!$A$1:$I$89,3,0)*VLOOKUP('Données projet'!$B$16,Paramètres!$A$1:$I$89,5,0)</f>
        <v>76.003200000000007</v>
      </c>
      <c r="FG18" s="14">
        <f t="shared" si="47"/>
        <v>21.157049992000456</v>
      </c>
      <c r="FH18" s="22">
        <f t="shared" si="22"/>
        <v>169.22076873606747</v>
      </c>
      <c r="FI18" s="62">
        <f t="shared" si="23"/>
        <v>444.2207687360675</v>
      </c>
      <c r="FJ18" s="62">
        <f ca="1">AVERAGE(OFFSET($FI$3,0,0,'Données projet'!$E$16+1,1))-AVERAGE(OFFSET($H$3,0,0,'Données projet'!$E$16+1,1))</f>
        <v>321.23599968992932</v>
      </c>
      <c r="FK18" s="62">
        <f t="shared" si="48"/>
        <v>388.05195847800502</v>
      </c>
      <c r="FL18" s="16">
        <f>IF(ISNA(VLOOKUP(A18,'Données projet'!$A$217:$I$237,3,0)),0,VLOOKUP(A18,'Données projet'!$A$217:$I$237,3,0))</f>
        <v>1</v>
      </c>
      <c r="FM18" s="16">
        <f>IF(ISNA(VLOOKUP(A18,'Données projet'!$A$217:$I$237,4,0)),0,VLOOKUP(A18,'Données projet'!$A$217:$I$237,4,0))</f>
        <v>21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8.1284210526315785</v>
      </c>
      <c r="N19" s="14">
        <f>IF('Données projet'!$A$36&gt;35,N18+M19-V18,IF(A19&lt;'Données projet'!$A$36,$K$205^A19,IF(A19='Données projet'!$A$36,'Données projet'!$B$36,N18+M19-V18)))</f>
        <v>69.689306290040648</v>
      </c>
      <c r="O19" s="14">
        <f>N19*VLOOKUP('Données projet'!$B$9,Paramètres!$A$1:$I$89,3,0)*VLOOKUP('Données projet'!$B$9,Paramètres!$A$1:$I$89,5,0)</f>
        <v>38.956322216132719</v>
      </c>
      <c r="P19" s="14">
        <f t="shared" si="33"/>
        <v>11.721595786972175</v>
      </c>
      <c r="Q19" s="22">
        <f t="shared" si="2"/>
        <v>88.264040522074353</v>
      </c>
      <c r="R19" s="62">
        <f t="shared" si="0"/>
        <v>364.4862627442966</v>
      </c>
      <c r="S19" s="62">
        <f ca="1">AVERAGE(OFFSET($R$3,0,0,'Données projet'!$E$9+1,1))-AVERAGE(OFFSET($H$3,0,0,'Données projet'!$E$9+1,1))</f>
        <v>389.06620927245814</v>
      </c>
      <c r="T19" s="62">
        <f t="shared" si="34"/>
        <v>356.08144160383193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25</v>
      </c>
      <c r="AI19" s="14">
        <f>IF('Données projet'!$A$62&gt;35,AI18+AH19-AQ18,IF(A19&lt;'Données projet'!$A$62,$AF$205^A19,IF(A19='Données projet'!$A$62,'Données projet'!$B$62,AI18+AH19-AQ18)))</f>
        <v>145.99999999999997</v>
      </c>
      <c r="AJ19" s="14">
        <f>AI19*VLOOKUP('Données projet'!$B$10,Paramètres!$A$1:$I$89,3,0)*VLOOKUP('Données projet'!$B$10,Paramètres!$A$1:$I$89,5,0)</f>
        <v>79.71599999999998</v>
      </c>
      <c r="AK19" s="14">
        <f t="shared" si="35"/>
        <v>22.067730286351033</v>
      </c>
      <c r="AL19" s="22">
        <f t="shared" si="4"/>
        <v>177.273330248728</v>
      </c>
      <c r="AM19" s="62">
        <f t="shared" si="5"/>
        <v>453.4955524709502</v>
      </c>
      <c r="AN19" s="62">
        <f ca="1">AVERAGE(OFFSET($AM$3,0,0,'Données projet'!$E$10+1,1))-AVERAGE(OFFSET($H$3,0,0,'Données projet'!$E$10+1,1))</f>
        <v>293.73480285950245</v>
      </c>
      <c r="AO19" s="62">
        <f t="shared" si="36"/>
        <v>425.99823184414191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25.614305961845336</v>
      </c>
      <c r="AX19" s="23">
        <f t="shared" si="6"/>
        <v>25.614305961845336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28.003407487093821</v>
      </c>
      <c r="BF19" s="14">
        <f t="shared" si="37"/>
        <v>8.7560372090925433</v>
      </c>
      <c r="BG19" s="22">
        <f t="shared" si="7"/>
        <v>64.022699512524582</v>
      </c>
      <c r="BH19" s="62">
        <f t="shared" si="8"/>
        <v>340.24492173474681</v>
      </c>
      <c r="BI19" s="62">
        <f ca="1">AVERAGE(OFFSET($BH$3,0,0,'Données projet'!$E$11+1,1))-AVERAGE(OFFSET($H$3,0,0,'Données projet'!$E$11+1,1))</f>
        <v>438.70522838726322</v>
      </c>
      <c r="BJ19" s="62">
        <f t="shared" si="38"/>
        <v>278.21741231699929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29.934676968962361</v>
      </c>
      <c r="CA19" s="14">
        <f t="shared" si="39"/>
        <v>9.2875233828754098</v>
      </c>
      <c r="CB19" s="22">
        <f t="shared" si="10"/>
        <v>68.311998946117441</v>
      </c>
      <c r="CC19" s="62">
        <f t="shared" si="11"/>
        <v>344.53422116833968</v>
      </c>
      <c r="CD19" s="62">
        <f ca="1">AVERAGE(OFFSET($CC$3,0,0,'Données projet'!$E$12+1,1))-AVERAGE(OFFSET($H$3,0,0,'Données projet'!$E$12+1,1))</f>
        <v>466.10838191274445</v>
      </c>
      <c r="CE19" s="62">
        <f t="shared" si="40"/>
        <v>294.45557293177131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16.2</v>
      </c>
      <c r="CT19" s="13">
        <f>IF('Données projet'!$A$140&gt;35,CT18+CS19-DB18,IF(A19&lt;'Données projet'!$A$140,$CQ$205^A19,IF(A19='Données projet'!$A$140,'Données projet'!$B$140,CT18+CS19-DB18)))</f>
        <v>58.2</v>
      </c>
      <c r="CU19" s="18">
        <f>CT19*VLOOKUP('Données projet'!$B$13,Paramètres!$A$1:$I$89,3,0)*VLOOKUP('Données projet'!$B$13,Paramètres!$A$1:$I$89,5,0)</f>
        <v>42.672240000000002</v>
      </c>
      <c r="CV19" s="14">
        <f t="shared" si="41"/>
        <v>12.704236692203963</v>
      </c>
      <c r="CW19" s="22">
        <f t="shared" si="13"/>
        <v>96.447363572255242</v>
      </c>
      <c r="CX19" s="62">
        <f t="shared" si="14"/>
        <v>372.66958579447748</v>
      </c>
      <c r="CY19" s="62">
        <f ca="1">AVERAGE(OFFSET($CX$3,0,0,'Données projet'!$E$13+1,1))-AVERAGE(OFFSET($H$3,0,0,'Données projet'!$E$13+1,1))</f>
        <v>376.5422416541544</v>
      </c>
      <c r="CZ19" s="62">
        <f t="shared" si="42"/>
        <v>365.76175372075869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13.6</v>
      </c>
      <c r="DO19" s="13">
        <f>IF('Données projet'!$A$166&gt;35,DO18+DN19-DW18,IF(A19&lt;'Données projet'!$A$166,$DL$205^A19,IF(A19='Données projet'!$A$166,'Données projet'!$B$166,DO18+DN19-DW18)))</f>
        <v>46.599999999999994</v>
      </c>
      <c r="DP19" s="18">
        <f>DO19*VLOOKUP('Données projet'!$B$14,Paramètres!$A$1:$I$89,3,0)*VLOOKUP('Données projet'!$B$14,Paramètres!$A$1:$I$89,5,0)</f>
        <v>37.074959999999997</v>
      </c>
      <c r="DQ19" s="14">
        <f t="shared" si="43"/>
        <v>11.219971753147911</v>
      </c>
      <c r="DR19" s="22">
        <f t="shared" si="16"/>
        <v>84.113672803399268</v>
      </c>
      <c r="DS19" s="62">
        <f t="shared" si="17"/>
        <v>360.33589502562148</v>
      </c>
      <c r="DT19" s="62">
        <f ca="1">AVERAGE(OFFSET($DS$3,0,0,'Données projet'!$E$14+1,1))-AVERAGE(OFFSET($H$3,0,0,'Données projet'!$E$14+1,1))</f>
        <v>352.5736659365665</v>
      </c>
      <c r="DU19" s="62">
        <f t="shared" si="44"/>
        <v>343.77208530767069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15.4</v>
      </c>
      <c r="EJ19" s="13">
        <f>IF('Données projet'!$A$192&gt;35,EJ18+EI19-ER18,IF(A19&lt;'Données projet'!$A$192,$EG$205^A19,IF(A19='Données projet'!$A$192,'Données projet'!$B$192,EJ18+EI19-ER18)))</f>
        <v>155.4</v>
      </c>
      <c r="EK19" s="18">
        <f>EJ19*VLOOKUP('Données projet'!$B$15,Paramètres!$A$1:$I$89,3,0)*VLOOKUP('Données projet'!$B$15,Paramètres!$A$1:$I$89,5,0)</f>
        <v>140.60592</v>
      </c>
      <c r="EL19" s="14">
        <f t="shared" si="45"/>
        <v>36.435778350352258</v>
      </c>
      <c r="EM19" s="22">
        <f t="shared" si="19"/>
        <v>308.34762462686348</v>
      </c>
      <c r="EN19" s="62">
        <f t="shared" si="20"/>
        <v>584.56984684908571</v>
      </c>
      <c r="EO19" s="62">
        <f ca="1">AVERAGE(OFFSET($EN$3,0,0,'Données projet'!$E$15+1,1))-AVERAGE(OFFSET($H$3,0,0,'Données projet'!$E$15+1,1))</f>
        <v>436.23918637269577</v>
      </c>
      <c r="EP19" s="62">
        <f t="shared" si="46"/>
        <v>611.43967996341894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14.2</v>
      </c>
      <c r="FE19" s="13">
        <f>IF('Données projet'!$A$218&gt;35,FE18+FD19-FM18,IF(A19&lt;'Données projet'!$A$218,$FB$205^A19,IF(A19='Données projet'!$A$218,'Données projet'!$B$218,FE18+FD19-FM18)))</f>
        <v>80.2</v>
      </c>
      <c r="FF19" s="18">
        <f>FE19*VLOOKUP('Données projet'!$B$16,Paramètres!$A$1:$I$89,3,0)*VLOOKUP('Données projet'!$B$16,Paramètres!$A$1:$I$89,5,0)</f>
        <v>70.062720000000013</v>
      </c>
      <c r="FG19" s="14">
        <f t="shared" si="47"/>
        <v>19.689032345957123</v>
      </c>
      <c r="FH19" s="22">
        <f t="shared" si="22"/>
        <v>156.31763533587534</v>
      </c>
      <c r="FI19" s="62">
        <f t="shared" si="23"/>
        <v>432.53985755809754</v>
      </c>
      <c r="FJ19" s="62">
        <f ca="1">AVERAGE(OFFSET($FI$3,0,0,'Données projet'!$E$16+1,1))-AVERAGE(OFFSET($H$3,0,0,'Données projet'!$E$16+1,1))</f>
        <v>321.23599968992932</v>
      </c>
      <c r="FK19" s="62">
        <f t="shared" si="48"/>
        <v>388.05195847800502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8.1284210526315785</v>
      </c>
      <c r="N20" s="14">
        <f>IF('Données projet'!$A$36&gt;35,N19+M20-V19,IF(A20&lt;'Données projet'!$A$36,$K$205^A20,IF(A20='Données projet'!$A$36,'Données projet'!$B$36,N19+M20-V19)))</f>
        <v>90.858178358655039</v>
      </c>
      <c r="O20" s="14">
        <f>N20*VLOOKUP('Données projet'!$B$9,Paramètres!$A$1:$I$89,3,0)*VLOOKUP('Données projet'!$B$9,Paramètres!$A$1:$I$89,5,0)</f>
        <v>50.789721702488166</v>
      </c>
      <c r="P20" s="14">
        <f t="shared" si="33"/>
        <v>14.817522352379566</v>
      </c>
      <c r="Q20" s="22">
        <f t="shared" si="2"/>
        <v>114.26595006222796</v>
      </c>
      <c r="R20" s="62">
        <f t="shared" si="0"/>
        <v>391.7103945066724</v>
      </c>
      <c r="S20" s="62">
        <f ca="1">AVERAGE(OFFSET($R$3,0,0,'Données projet'!$E$9+1,1))-AVERAGE(OFFSET($H$3,0,0,'Données projet'!$E$9+1,1))</f>
        <v>389.06620927245814</v>
      </c>
      <c r="T20" s="62">
        <f t="shared" si="34"/>
        <v>356.08144160383193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25</v>
      </c>
      <c r="AI20" s="14">
        <f>IF('Données projet'!$A$62&gt;35,AI19+AH20-AQ19,IF(A20&lt;'Données projet'!$A$62,$AF$205^A20,IF(A20='Données projet'!$A$62,'Données projet'!$B$62,AI19+AH20-AQ19)))</f>
        <v>170.99999999999997</v>
      </c>
      <c r="AJ20" s="14">
        <f>AI20*VLOOKUP('Données projet'!$B$10,Paramètres!$A$1:$I$89,3,0)*VLOOKUP('Données projet'!$B$10,Paramètres!$A$1:$I$89,5,0)</f>
        <v>93.365999999999971</v>
      </c>
      <c r="AK20" s="14">
        <f t="shared" si="35"/>
        <v>25.375280233490678</v>
      </c>
      <c r="AL20" s="22">
        <f t="shared" si="4"/>
        <v>206.80772973999618</v>
      </c>
      <c r="AM20" s="62">
        <f t="shared" si="5"/>
        <v>484.25217418444061</v>
      </c>
      <c r="AN20" s="62">
        <f ca="1">AVERAGE(OFFSET($AM$3,0,0,'Données projet'!$E$10+1,1))-AVERAGE(OFFSET($H$3,0,0,'Données projet'!$E$10+1,1))</f>
        <v>293.73480285950245</v>
      </c>
      <c r="AO20" s="62">
        <f t="shared" si="36"/>
        <v>425.99823184414191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18.112049441007851</v>
      </c>
      <c r="AX20" s="23">
        <f t="shared" si="6"/>
        <v>18.112049441007851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34.703799297332367</v>
      </c>
      <c r="BF20" s="14">
        <f t="shared" si="37"/>
        <v>10.583497277259243</v>
      </c>
      <c r="BG20" s="22">
        <f t="shared" si="7"/>
        <v>78.875374867413711</v>
      </c>
      <c r="BH20" s="62">
        <f t="shared" si="8"/>
        <v>356.31981931185817</v>
      </c>
      <c r="BI20" s="62">
        <f ca="1">AVERAGE(OFFSET($BH$3,0,0,'Données projet'!$E$11+1,1))-AVERAGE(OFFSET($H$3,0,0,'Données projet'!$E$11+1,1))</f>
        <v>438.70522838726322</v>
      </c>
      <c r="BJ20" s="62">
        <f t="shared" si="38"/>
        <v>278.21741231699929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37.097164766113913</v>
      </c>
      <c r="CA20" s="14">
        <f t="shared" si="39"/>
        <v>11.225909174194843</v>
      </c>
      <c r="CB20" s="22">
        <f t="shared" si="10"/>
        <v>84.162687112704418</v>
      </c>
      <c r="CC20" s="62">
        <f t="shared" si="11"/>
        <v>361.60713155714888</v>
      </c>
      <c r="CD20" s="62">
        <f ca="1">AVERAGE(OFFSET($CC$3,0,0,'Données projet'!$E$12+1,1))-AVERAGE(OFFSET($H$3,0,0,'Données projet'!$E$12+1,1))</f>
        <v>466.10838191274445</v>
      </c>
      <c r="CE20" s="62">
        <f t="shared" si="40"/>
        <v>294.45557293177131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16.2</v>
      </c>
      <c r="CT20" s="13">
        <f>IF('Données projet'!$A$140&gt;35,CT19+CS20-DB19,IF(A20&lt;'Données projet'!$A$140,$CQ$205^A20,IF(A20='Données projet'!$A$140,'Données projet'!$B$140,CT19+CS20-DB19)))</f>
        <v>74.400000000000006</v>
      </c>
      <c r="CU20" s="18">
        <f>CT20*VLOOKUP('Données projet'!$B$13,Paramètres!$A$1:$I$89,3,0)*VLOOKUP('Données projet'!$B$13,Paramètres!$A$1:$I$89,5,0)</f>
        <v>54.550080000000008</v>
      </c>
      <c r="CV20" s="14">
        <f t="shared" si="41"/>
        <v>15.782815260920124</v>
      </c>
      <c r="CW20" s="22">
        <f t="shared" si="13"/>
        <v>122.49645924610256</v>
      </c>
      <c r="CX20" s="62">
        <f t="shared" si="14"/>
        <v>399.94090369054703</v>
      </c>
      <c r="CY20" s="62">
        <f ca="1">AVERAGE(OFFSET($CX$3,0,0,'Données projet'!$E$13+1,1))-AVERAGE(OFFSET($H$3,0,0,'Données projet'!$E$13+1,1))</f>
        <v>376.5422416541544</v>
      </c>
      <c r="CZ20" s="62">
        <f t="shared" si="42"/>
        <v>365.76175372075869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13.6</v>
      </c>
      <c r="DO20" s="13">
        <f>IF('Données projet'!$A$166&gt;35,DO19+DN20-DW19,IF(A20&lt;'Données projet'!$A$166,$DL$205^A20,IF(A20='Données projet'!$A$166,'Données projet'!$B$166,DO19+DN20-DW19)))</f>
        <v>60.199999999999996</v>
      </c>
      <c r="DP20" s="18">
        <f>DO20*VLOOKUP('Données projet'!$B$14,Paramètres!$A$1:$I$89,3,0)*VLOOKUP('Données projet'!$B$14,Paramètres!$A$1:$I$89,5,0)</f>
        <v>47.895119999999999</v>
      </c>
      <c r="DQ20" s="14">
        <f t="shared" si="43"/>
        <v>14.068812032564205</v>
      </c>
      <c r="DR20" s="22">
        <f t="shared" si="16"/>
        <v>107.92051495671598</v>
      </c>
      <c r="DS20" s="62">
        <f t="shared" si="17"/>
        <v>385.36495940116043</v>
      </c>
      <c r="DT20" s="62">
        <f ca="1">AVERAGE(OFFSET($DS$3,0,0,'Données projet'!$E$14+1,1))-AVERAGE(OFFSET($H$3,0,0,'Données projet'!$E$14+1,1))</f>
        <v>352.5736659365665</v>
      </c>
      <c r="DU20" s="62">
        <f t="shared" si="44"/>
        <v>343.77208530767069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15.4</v>
      </c>
      <c r="EJ20" s="13">
        <f>IF('Données projet'!$A$192&gt;35,EJ19+EI20-ER19,IF(A20&lt;'Données projet'!$A$192,$EG$205^A20,IF(A20='Données projet'!$A$192,'Données projet'!$B$192,EJ19+EI20-ER19)))</f>
        <v>170.8</v>
      </c>
      <c r="EK20" s="18">
        <f>EJ20*VLOOKUP('Données projet'!$B$15,Paramètres!$A$1:$I$89,3,0)*VLOOKUP('Données projet'!$B$15,Paramètres!$A$1:$I$89,5,0)</f>
        <v>154.53984</v>
      </c>
      <c r="EL20" s="14">
        <f t="shared" si="45"/>
        <v>39.608483410353038</v>
      </c>
      <c r="EM20" s="22">
        <f t="shared" si="19"/>
        <v>338.14166327303155</v>
      </c>
      <c r="EN20" s="62">
        <f t="shared" si="20"/>
        <v>615.58610771747601</v>
      </c>
      <c r="EO20" s="62">
        <f ca="1">AVERAGE(OFFSET($EN$3,0,0,'Données projet'!$E$15+1,1))-AVERAGE(OFFSET($H$3,0,0,'Données projet'!$E$15+1,1))</f>
        <v>436.23918637269577</v>
      </c>
      <c r="EP20" s="62">
        <f t="shared" si="46"/>
        <v>611.43967996341894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14.2</v>
      </c>
      <c r="FE20" s="13">
        <f>IF('Données projet'!$A$218&gt;35,FE19+FD20-FM19,IF(A20&lt;'Données projet'!$A$218,$FB$205^A20,IF(A20='Données projet'!$A$218,'Données projet'!$B$218,FE19+FD20-FM19)))</f>
        <v>94.4</v>
      </c>
      <c r="FF20" s="18">
        <f>FE20*VLOOKUP('Données projet'!$B$16,Paramètres!$A$1:$I$89,3,0)*VLOOKUP('Données projet'!$B$16,Paramètres!$A$1:$I$89,5,0)</f>
        <v>82.467840000000024</v>
      </c>
      <c r="FG20" s="14">
        <f t="shared" si="47"/>
        <v>22.739512759227473</v>
      </c>
      <c r="FH20" s="22">
        <f t="shared" si="22"/>
        <v>183.23613938898788</v>
      </c>
      <c r="FI20" s="62">
        <f t="shared" si="23"/>
        <v>460.68058383343237</v>
      </c>
      <c r="FJ20" s="62">
        <f ca="1">AVERAGE(OFFSET($FI$3,0,0,'Données projet'!$E$16+1,1))-AVERAGE(OFFSET($H$3,0,0,'Données projet'!$E$16+1,1))</f>
        <v>321.23599968992932</v>
      </c>
      <c r="FK20" s="62">
        <f t="shared" si="48"/>
        <v>388.05195847800502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8.1284210526315785</v>
      </c>
      <c r="N21" s="14">
        <f>IF('Données projet'!$A$36&gt;35,N20+M21-V20,IF(A21&lt;'Données projet'!$A$36,$K$205^A21,IF(A21='Données projet'!$A$36,'Données projet'!$B$36,N20+M21-V20)))</f>
        <v>118.45732170579704</v>
      </c>
      <c r="O21" s="14">
        <f>N21*VLOOKUP('Données projet'!$B$9,Paramètres!$A$1:$I$89,3,0)*VLOOKUP('Données projet'!$B$9,Paramètres!$A$1:$I$89,5,0)</f>
        <v>66.217642833540552</v>
      </c>
      <c r="P21" s="14">
        <f t="shared" si="33"/>
        <v>18.731149977658681</v>
      </c>
      <c r="Q21" s="22">
        <f t="shared" si="2"/>
        <v>147.95248081283867</v>
      </c>
      <c r="R21" s="62">
        <f t="shared" si="0"/>
        <v>426.61914747950539</v>
      </c>
      <c r="S21" s="62">
        <f ca="1">AVERAGE(OFFSET($R$3,0,0,'Données projet'!$E$9+1,1))-AVERAGE(OFFSET($H$3,0,0,'Données projet'!$E$9+1,1))</f>
        <v>389.06620927245814</v>
      </c>
      <c r="T21" s="62">
        <f t="shared" si="34"/>
        <v>356.08144160383193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25</v>
      </c>
      <c r="AI21" s="14">
        <f>IF('Données projet'!$A$62&gt;35,AI20+AH21-AQ20,IF(A21&lt;'Données projet'!$A$62,$AF$205^A21,IF(A21='Données projet'!$A$62,'Données projet'!$B$62,AI20+AH21-AQ20)))</f>
        <v>195.99999999999997</v>
      </c>
      <c r="AJ21" s="14">
        <f>AI21*VLOOKUP('Données projet'!$B$10,Paramètres!$A$1:$I$89,3,0)*VLOOKUP('Données projet'!$B$10,Paramètres!$A$1:$I$89,5,0)</f>
        <v>107.01599999999998</v>
      </c>
      <c r="AK21" s="14">
        <f t="shared" si="35"/>
        <v>28.626809543094307</v>
      </c>
      <c r="AL21" s="22">
        <f t="shared" si="4"/>
        <v>236.24455995422252</v>
      </c>
      <c r="AM21" s="62">
        <f t="shared" si="5"/>
        <v>514.91122662088924</v>
      </c>
      <c r="AN21" s="62">
        <f ca="1">AVERAGE(OFFSET($AM$3,0,0,'Données projet'!$E$10+1,1))-AVERAGE(OFFSET($H$3,0,0,'Données projet'!$E$10+1,1))</f>
        <v>293.73480285950245</v>
      </c>
      <c r="AO21" s="62">
        <f t="shared" si="36"/>
        <v>425.99823184414191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12.80715298092267</v>
      </c>
      <c r="AX21" s="23">
        <f t="shared" si="6"/>
        <v>12.80715298092267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43.007397804163212</v>
      </c>
      <c r="BF21" s="14">
        <f t="shared" si="37"/>
        <v>12.792363936215189</v>
      </c>
      <c r="BG21" s="22">
        <f t="shared" si="7"/>
        <v>97.184585031159045</v>
      </c>
      <c r="BH21" s="62">
        <f t="shared" si="8"/>
        <v>375.85125169782572</v>
      </c>
      <c r="BI21" s="62">
        <f ca="1">AVERAGE(OFFSET($BH$3,0,0,'Données projet'!$E$11+1,1))-AVERAGE(OFFSET($H$3,0,0,'Données projet'!$E$11+1,1))</f>
        <v>438.70522838726322</v>
      </c>
      <c r="BJ21" s="62">
        <f t="shared" si="38"/>
        <v>278.21741231699929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45.973425238933089</v>
      </c>
      <c r="CA21" s="14">
        <f t="shared" si="39"/>
        <v>13.56885270616201</v>
      </c>
      <c r="CB21" s="22">
        <f t="shared" si="10"/>
        <v>103.70280075437397</v>
      </c>
      <c r="CC21" s="62">
        <f t="shared" si="11"/>
        <v>382.36946742104067</v>
      </c>
      <c r="CD21" s="62">
        <f ca="1">AVERAGE(OFFSET($CC$3,0,0,'Données projet'!$E$12+1,1))-AVERAGE(OFFSET($H$3,0,0,'Données projet'!$E$12+1,1))</f>
        <v>466.10838191274445</v>
      </c>
      <c r="CE21" s="62">
        <f t="shared" si="40"/>
        <v>294.45557293177131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16.2</v>
      </c>
      <c r="CT21" s="13">
        <f>IF('Données projet'!$A$140&gt;35,CT20+CS21-DB20,IF(A21&lt;'Données projet'!$A$140,$CQ$205^A21,IF(A21='Données projet'!$A$140,'Données projet'!$B$140,CT20+CS21-DB20)))</f>
        <v>90.600000000000009</v>
      </c>
      <c r="CU21" s="18">
        <f>CT21*VLOOKUP('Données projet'!$B$13,Paramètres!$A$1:$I$89,3,0)*VLOOKUP('Données projet'!$B$13,Paramètres!$A$1:$I$89,5,0)</f>
        <v>66.42792</v>
      </c>
      <c r="CV21" s="14">
        <f t="shared" si="41"/>
        <v>18.783698241275044</v>
      </c>
      <c r="CW21" s="22">
        <f t="shared" si="13"/>
        <v>148.41023510355402</v>
      </c>
      <c r="CX21" s="62">
        <f t="shared" si="14"/>
        <v>427.07690177022073</v>
      </c>
      <c r="CY21" s="62">
        <f ca="1">AVERAGE(OFFSET($CX$3,0,0,'Données projet'!$E$13+1,1))-AVERAGE(OFFSET($H$3,0,0,'Données projet'!$E$13+1,1))</f>
        <v>376.5422416541544</v>
      </c>
      <c r="CZ21" s="62">
        <f t="shared" si="42"/>
        <v>365.76175372075869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13.6</v>
      </c>
      <c r="DO21" s="13">
        <f>IF('Données projet'!$A$166&gt;35,DO20+DN21-DW20,IF(A21&lt;'Données projet'!$A$166,$DL$205^A21,IF(A21='Données projet'!$A$166,'Données projet'!$B$166,DO20+DN21-DW20)))</f>
        <v>73.8</v>
      </c>
      <c r="DP21" s="18">
        <f>DO21*VLOOKUP('Données projet'!$B$14,Paramètres!$A$1:$I$89,3,0)*VLOOKUP('Données projet'!$B$14,Paramètres!$A$1:$I$89,5,0)</f>
        <v>58.71528</v>
      </c>
      <c r="DQ21" s="14">
        <f t="shared" si="43"/>
        <v>16.843043445461888</v>
      </c>
      <c r="DR21" s="22">
        <f t="shared" si="16"/>
        <v>131.59741333417946</v>
      </c>
      <c r="DS21" s="62">
        <f t="shared" si="17"/>
        <v>410.26408000084615</v>
      </c>
      <c r="DT21" s="62">
        <f ca="1">AVERAGE(OFFSET($DS$3,0,0,'Données projet'!$E$14+1,1))-AVERAGE(OFFSET($H$3,0,0,'Données projet'!$E$14+1,1))</f>
        <v>352.5736659365665</v>
      </c>
      <c r="DU21" s="62">
        <f t="shared" si="44"/>
        <v>343.77208530767069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15.4</v>
      </c>
      <c r="EJ21" s="13">
        <f>IF('Données projet'!$A$192&gt;35,EJ20+EI21-ER20,IF(A21&lt;'Données projet'!$A$192,$EG$205^A21,IF(A21='Données projet'!$A$192,'Données projet'!$B$192,EJ20+EI21-ER20)))</f>
        <v>186.20000000000002</v>
      </c>
      <c r="EK21" s="18">
        <f>EJ21*VLOOKUP('Données projet'!$B$15,Paramètres!$A$1:$I$89,3,0)*VLOOKUP('Données projet'!$B$15,Paramètres!$A$1:$I$89,5,0)</f>
        <v>168.47376000000003</v>
      </c>
      <c r="EL21" s="14">
        <f t="shared" si="45"/>
        <v>42.748017388135018</v>
      </c>
      <c r="EM21" s="22">
        <f t="shared" si="19"/>
        <v>367.87792895100188</v>
      </c>
      <c r="EN21" s="62">
        <f t="shared" si="20"/>
        <v>646.54459561766862</v>
      </c>
      <c r="EO21" s="62">
        <f ca="1">AVERAGE(OFFSET($EN$3,0,0,'Données projet'!$E$15+1,1))-AVERAGE(OFFSET($H$3,0,0,'Données projet'!$E$15+1,1))</f>
        <v>436.23918637269577</v>
      </c>
      <c r="EP21" s="62">
        <f t="shared" si="46"/>
        <v>611.43967996341894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14.2</v>
      </c>
      <c r="FE21" s="13">
        <f>IF('Données projet'!$A$218&gt;35,FE20+FD21-FM20,IF(A21&lt;'Données projet'!$A$218,$FB$205^A21,IF(A21='Données projet'!$A$218,'Données projet'!$B$218,FE20+FD21-FM20)))</f>
        <v>108.60000000000001</v>
      </c>
      <c r="FF21" s="18">
        <f>FE21*VLOOKUP('Données projet'!$B$16,Paramètres!$A$1:$I$89,3,0)*VLOOKUP('Données projet'!$B$16,Paramètres!$A$1:$I$89,5,0)</f>
        <v>94.87296000000002</v>
      </c>
      <c r="FG21" s="14">
        <f t="shared" si="47"/>
        <v>25.736834760472274</v>
      </c>
      <c r="FH21" s="22">
        <f t="shared" si="22"/>
        <v>210.06205920782259</v>
      </c>
      <c r="FI21" s="62">
        <f t="shared" si="23"/>
        <v>488.72872587448927</v>
      </c>
      <c r="FJ21" s="62">
        <f ca="1">AVERAGE(OFFSET($FI$3,0,0,'Données projet'!$E$16+1,1))-AVERAGE(OFFSET($H$3,0,0,'Données projet'!$E$16+1,1))</f>
        <v>321.23599968992932</v>
      </c>
      <c r="FK21" s="62">
        <f t="shared" si="48"/>
        <v>388.05195847800502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154.44</v>
      </c>
      <c r="L22" s="13">
        <f>VLOOKUP(A22,'Données projet'!$A$35:$I$55,9,0)</f>
        <v>8.1284210526315785</v>
      </c>
      <c r="M22" s="13">
        <f t="array" ref="M22">INDEX(L:L,MIN(IF(ISNUMBER(L22:L218),ROW(L22:L218),"")))</f>
        <v>8.1284210526315785</v>
      </c>
      <c r="N22" s="14">
        <f>IF('Données projet'!$A$36&gt;35,N21+M22-V21,IF(A22&lt;'Données projet'!$A$36,$K$205^A22,IF(A22='Données projet'!$A$36,'Données projet'!$B$36,N21+M22-V21)))</f>
        <v>154.44</v>
      </c>
      <c r="O22" s="14">
        <f>N22*VLOOKUP('Données projet'!$B$9,Paramètres!$A$1:$I$89,3,0)*VLOOKUP('Données projet'!$B$9,Paramètres!$A$1:$I$89,5,0)</f>
        <v>86.331959999999995</v>
      </c>
      <c r="P22" s="14">
        <f t="shared" si="33"/>
        <v>23.67845117029286</v>
      </c>
      <c r="Q22" s="22">
        <f t="shared" si="2"/>
        <v>191.60146612159338</v>
      </c>
      <c r="R22" s="62">
        <f t="shared" si="0"/>
        <v>471.49035501048223</v>
      </c>
      <c r="S22" s="62">
        <f ca="1">AVERAGE(OFFSET($R$3,0,0,'Données projet'!$E$9+1,1))-AVERAGE(OFFSET($H$3,0,0,'Données projet'!$E$9+1,1))</f>
        <v>389.06620927245814</v>
      </c>
      <c r="T22" s="62">
        <f t="shared" si="34"/>
        <v>356.08144160383193</v>
      </c>
      <c r="U22" s="16">
        <f>IF(ISNA(VLOOKUP(A22,'Données projet'!$A$35:$I$55,3,0)),0,VLOOKUP(A22,'Données projet'!$A$35:$I$55,3,0))</f>
        <v>1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25</v>
      </c>
      <c r="AI22" s="14">
        <f>IF('Données projet'!$A$62&gt;35,AI21+AH22-AQ21,IF(A22&lt;'Données projet'!$A$62,$AF$205^A22,IF(A22='Données projet'!$A$62,'Données projet'!$B$62,AI21+AH22-AQ21)))</f>
        <v>220.99999999999997</v>
      </c>
      <c r="AJ22" s="14">
        <f>AI22*VLOOKUP('Données projet'!$B$10,Paramètres!$A$1:$I$89,3,0)*VLOOKUP('Données projet'!$B$10,Paramètres!$A$1:$I$89,5,0)</f>
        <v>120.66599999999998</v>
      </c>
      <c r="AK22" s="14">
        <f t="shared" si="35"/>
        <v>31.830282786190971</v>
      </c>
      <c r="AL22" s="22">
        <f t="shared" si="4"/>
        <v>265.59769251928259</v>
      </c>
      <c r="AM22" s="62">
        <f t="shared" si="5"/>
        <v>545.48658140817145</v>
      </c>
      <c r="AN22" s="62">
        <f ca="1">AVERAGE(OFFSET($AM$3,0,0,'Données projet'!$E$10+1,1))-AVERAGE(OFFSET($H$3,0,0,'Données projet'!$E$10+1,1))</f>
        <v>293.73480285950245</v>
      </c>
      <c r="AO22" s="62">
        <f t="shared" si="36"/>
        <v>425.99823184414191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9.0560247205039275</v>
      </c>
      <c r="AX22" s="23">
        <f t="shared" si="6"/>
        <v>9.0560247205039275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53.297803218557732</v>
      </c>
      <c r="BF22" s="14">
        <f t="shared" si="37"/>
        <v>15.462240012873817</v>
      </c>
      <c r="BG22" s="22">
        <f t="shared" si="7"/>
        <v>119.75707529474329</v>
      </c>
      <c r="BH22" s="62">
        <f t="shared" si="8"/>
        <v>399.64596418363215</v>
      </c>
      <c r="BI22" s="62">
        <f ca="1">AVERAGE(OFFSET($BH$3,0,0,'Données projet'!$E$11+1,1))-AVERAGE(OFFSET($H$3,0,0,'Données projet'!$E$11+1,1))</f>
        <v>438.70522838726322</v>
      </c>
      <c r="BJ22" s="62">
        <f t="shared" si="38"/>
        <v>278.21741231699929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56.973513785354818</v>
      </c>
      <c r="CA22" s="14">
        <f t="shared" si="39"/>
        <v>16.400788649238766</v>
      </c>
      <c r="CB22" s="22">
        <f t="shared" si="10"/>
        <v>127.7935767402505</v>
      </c>
      <c r="CC22" s="62">
        <f t="shared" si="11"/>
        <v>407.68246562913936</v>
      </c>
      <c r="CD22" s="62">
        <f ca="1">AVERAGE(OFFSET($CC$3,0,0,'Données projet'!$E$12+1,1))-AVERAGE(OFFSET($H$3,0,0,'Données projet'!$E$12+1,1))</f>
        <v>466.10838191274445</v>
      </c>
      <c r="CE22" s="62">
        <f t="shared" si="40"/>
        <v>294.45557293177131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16.2</v>
      </c>
      <c r="CT22" s="13">
        <f>IF('Données projet'!$A$140&gt;35,CT21+CS22-DB21,IF(A22&lt;'Données projet'!$A$140,$CQ$205^A22,IF(A22='Données projet'!$A$140,'Données projet'!$B$140,CT21+CS22-DB21)))</f>
        <v>106.80000000000001</v>
      </c>
      <c r="CU22" s="18">
        <f>CT22*VLOOKUP('Données projet'!$B$13,Paramètres!$A$1:$I$89,3,0)*VLOOKUP('Données projet'!$B$13,Paramètres!$A$1:$I$89,5,0)</f>
        <v>78.305760000000006</v>
      </c>
      <c r="CV22" s="14">
        <f t="shared" si="41"/>
        <v>21.722418982737217</v>
      </c>
      <c r="CW22" s="22">
        <f t="shared" si="13"/>
        <v>174.21574506160064</v>
      </c>
      <c r="CX22" s="62">
        <f t="shared" si="14"/>
        <v>454.10463395048953</v>
      </c>
      <c r="CY22" s="62">
        <f ca="1">AVERAGE(OFFSET($CX$3,0,0,'Données projet'!$E$13+1,1))-AVERAGE(OFFSET($H$3,0,0,'Données projet'!$E$13+1,1))</f>
        <v>376.5422416541544</v>
      </c>
      <c r="CZ22" s="62">
        <f t="shared" si="42"/>
        <v>365.76175372075869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13.6</v>
      </c>
      <c r="DO22" s="13">
        <f>IF('Données projet'!$A$166&gt;35,DO21+DN22-DW21,IF(A22&lt;'Données projet'!$A$166,$DL$205^A22,IF(A22='Données projet'!$A$166,'Données projet'!$B$166,DO21+DN22-DW21)))</f>
        <v>87.399999999999991</v>
      </c>
      <c r="DP22" s="18">
        <f>DO22*VLOOKUP('Données projet'!$B$14,Paramètres!$A$1:$I$89,3,0)*VLOOKUP('Données projet'!$B$14,Paramètres!$A$1:$I$89,5,0)</f>
        <v>69.535439999999994</v>
      </c>
      <c r="DQ22" s="14">
        <f t="shared" si="43"/>
        <v>19.558046279609563</v>
      </c>
      <c r="DR22" s="22">
        <f t="shared" si="16"/>
        <v>155.17115527031999</v>
      </c>
      <c r="DS22" s="62">
        <f t="shared" si="17"/>
        <v>435.06004415920881</v>
      </c>
      <c r="DT22" s="62">
        <f ca="1">AVERAGE(OFFSET($DS$3,0,0,'Données projet'!$E$14+1,1))-AVERAGE(OFFSET($H$3,0,0,'Données projet'!$E$14+1,1))</f>
        <v>352.5736659365665</v>
      </c>
      <c r="DU22" s="62">
        <f t="shared" si="44"/>
        <v>343.77208530767069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15.4</v>
      </c>
      <c r="EJ22" s="13">
        <f>IF('Données projet'!$A$192&gt;35,EJ21+EI22-ER21,IF(A22&lt;'Données projet'!$A$192,$EG$205^A22,IF(A22='Données projet'!$A$192,'Données projet'!$B$192,EJ21+EI22-ER21)))</f>
        <v>201.60000000000002</v>
      </c>
      <c r="EK22" s="18">
        <f>EJ22*VLOOKUP('Données projet'!$B$15,Paramètres!$A$1:$I$89,3,0)*VLOOKUP('Données projet'!$B$15,Paramètres!$A$1:$I$89,5,0)</f>
        <v>182.40768000000003</v>
      </c>
      <c r="EL22" s="14">
        <f t="shared" si="45"/>
        <v>45.857435663065921</v>
      </c>
      <c r="EM22" s="22">
        <f t="shared" si="19"/>
        <v>397.56174311317318</v>
      </c>
      <c r="EN22" s="62">
        <f t="shared" si="20"/>
        <v>677.45063200206209</v>
      </c>
      <c r="EO22" s="62">
        <f ca="1">AVERAGE(OFFSET($EN$3,0,0,'Données projet'!$E$15+1,1))-AVERAGE(OFFSET($H$3,0,0,'Données projet'!$E$15+1,1))</f>
        <v>436.23918637269577</v>
      </c>
      <c r="EP22" s="62">
        <f t="shared" si="46"/>
        <v>611.43967996341894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14.2</v>
      </c>
      <c r="FE22" s="13">
        <f>IF('Données projet'!$A$218&gt;35,FE21+FD22-FM21,IF(A22&lt;'Données projet'!$A$218,$FB$205^A22,IF(A22='Données projet'!$A$218,'Données projet'!$B$218,FE21+FD22-FM21)))</f>
        <v>122.80000000000001</v>
      </c>
      <c r="FF22" s="18">
        <f>FE22*VLOOKUP('Données projet'!$B$16,Paramètres!$A$1:$I$89,3,0)*VLOOKUP('Données projet'!$B$16,Paramètres!$A$1:$I$89,5,0)</f>
        <v>107.27808000000003</v>
      </c>
      <c r="FG22" s="14">
        <f t="shared" si="47"/>
        <v>28.688746800886673</v>
      </c>
      <c r="FH22" s="22">
        <f t="shared" si="22"/>
        <v>236.80889001154432</v>
      </c>
      <c r="FI22" s="62">
        <f t="shared" si="23"/>
        <v>516.69777890043315</v>
      </c>
      <c r="FJ22" s="62">
        <f ca="1">AVERAGE(OFFSET($FI$3,0,0,'Données projet'!$E$16+1,1))-AVERAGE(OFFSET($H$3,0,0,'Données projet'!$E$16+1,1))</f>
        <v>321.23599968992932</v>
      </c>
      <c r="FK22" s="62">
        <f t="shared" si="48"/>
        <v>388.05195847800502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20.355000000000004</v>
      </c>
      <c r="N23" s="14">
        <f>IF('Données projet'!$A$36&gt;35,N22+M23-V22,IF(A23&lt;'Données projet'!$A$36,$K$205^A23,IF(A23='Données projet'!$A$36,'Données projet'!$B$36,N22+M23-V22)))</f>
        <v>174.79500000000002</v>
      </c>
      <c r="O23" s="14">
        <f>N23*VLOOKUP('Données projet'!$B$9,Paramètres!$A$1:$I$89,3,0)*VLOOKUP('Données projet'!$B$9,Paramètres!$A$1:$I$89,5,0)</f>
        <v>97.710405000000009</v>
      </c>
      <c r="P23" s="14">
        <f t="shared" si="33"/>
        <v>26.41579998765167</v>
      </c>
      <c r="Q23" s="22">
        <f t="shared" si="2"/>
        <v>216.18647368682664</v>
      </c>
      <c r="R23" s="62">
        <f t="shared" si="0"/>
        <v>497.29758479793782</v>
      </c>
      <c r="S23" s="62">
        <f ca="1">AVERAGE(OFFSET($R$3,0,0,'Données projet'!$E$9+1,1))-AVERAGE(OFFSET($H$3,0,0,'Données projet'!$E$9+1,1))</f>
        <v>389.06620927245814</v>
      </c>
      <c r="T23" s="62">
        <f t="shared" si="34"/>
        <v>356.08144160383193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246</v>
      </c>
      <c r="AG23" s="13">
        <f>VLOOKUP(A23,'Données projet'!$A$61:$I$81,9,0)</f>
        <v>25</v>
      </c>
      <c r="AH23" s="13">
        <f t="array" ref="AH23">INDEX(AG:AG,MIN(IF(ISNUMBER(AG23:AG219),ROW(AG23:AG219),"")))</f>
        <v>25</v>
      </c>
      <c r="AI23" s="14">
        <f>IF('Données projet'!$A$62&gt;35,AI22+AH23-AQ22,IF(A23&lt;'Données projet'!$A$62,$AF$205^A23,IF(A23='Données projet'!$A$62,'Données projet'!$B$62,AI22+AH23-AQ22)))</f>
        <v>245.99999999999997</v>
      </c>
      <c r="AJ23" s="14">
        <f>AI23*VLOOKUP('Données projet'!$B$10,Paramètres!$A$1:$I$89,3,0)*VLOOKUP('Données projet'!$B$10,Paramètres!$A$1:$I$89,5,0)</f>
        <v>134.31599999999997</v>
      </c>
      <c r="AK23" s="14">
        <f t="shared" si="35"/>
        <v>34.991756585122445</v>
      </c>
      <c r="AL23" s="22">
        <f t="shared" si="4"/>
        <v>294.87767605242158</v>
      </c>
      <c r="AM23" s="62">
        <f t="shared" si="5"/>
        <v>575.98878716353272</v>
      </c>
      <c r="AN23" s="62">
        <f ca="1">AVERAGE(OFFSET($AM$3,0,0,'Données projet'!$E$10+1,1))-AVERAGE(OFFSET($H$3,0,0,'Données projet'!$E$10+1,1))</f>
        <v>293.73480285950245</v>
      </c>
      <c r="AO23" s="62">
        <f t="shared" si="36"/>
        <v>425.99823184414191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61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44.113705391877815</v>
      </c>
      <c r="AX23" s="23">
        <f t="shared" si="6"/>
        <v>44.113705391877815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66.050399999999996</v>
      </c>
      <c r="BF23" s="14">
        <f t="shared" si="37"/>
        <v>18.689342126897891</v>
      </c>
      <c r="BG23" s="22">
        <f t="shared" si="7"/>
        <v>147.58838420434714</v>
      </c>
      <c r="BH23" s="62">
        <f t="shared" si="8"/>
        <v>428.69949531545831</v>
      </c>
      <c r="BI23" s="62">
        <f ca="1">AVERAGE(OFFSET($BH$3,0,0,'Données projet'!$E$11+1,1))-AVERAGE(OFFSET($H$3,0,0,'Données projet'!$E$11+1,1))</f>
        <v>438.70522838726322</v>
      </c>
      <c r="BJ23" s="62">
        <f t="shared" si="38"/>
        <v>278.21741231699929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70.605599999999995</v>
      </c>
      <c r="CA23" s="14">
        <f t="shared" si="39"/>
        <v>19.823773913828742</v>
      </c>
      <c r="CB23" s="22">
        <f t="shared" si="10"/>
        <v>157.49782623325171</v>
      </c>
      <c r="CC23" s="62">
        <f t="shared" si="11"/>
        <v>438.60893734436286</v>
      </c>
      <c r="CD23" s="62">
        <f ca="1">AVERAGE(OFFSET($CC$3,0,0,'Données projet'!$E$12+1,1))-AVERAGE(OFFSET($H$3,0,0,'Données projet'!$E$12+1,1))</f>
        <v>466.10838191274445</v>
      </c>
      <c r="CE23" s="62">
        <f t="shared" si="40"/>
        <v>294.45557293177131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123</v>
      </c>
      <c r="CR23" s="13">
        <f>VLOOKUP(A23,'Données projet'!$A$139:$I$159,9,0)</f>
        <v>16.2</v>
      </c>
      <c r="CS23" s="13">
        <f t="array" ref="CS23">INDEX(CR:CR,MIN(IF(ISNUMBER(CR23:CR219),ROW(CR23:CR219),"")))</f>
        <v>16.2</v>
      </c>
      <c r="CT23" s="13">
        <f>IF('Données projet'!$A$140&gt;35,CT22+CS23-DB22,IF(A23&lt;'Données projet'!$A$140,$CQ$205^A23,IF(A23='Données projet'!$A$140,'Données projet'!$B$140,CT22+CS23-DB22)))</f>
        <v>123.00000000000001</v>
      </c>
      <c r="CU23" s="18">
        <f>CT23*VLOOKUP('Données projet'!$B$13,Paramètres!$A$1:$I$89,3,0)*VLOOKUP('Données projet'!$B$13,Paramètres!$A$1:$I$89,5,0)</f>
        <v>90.183600000000013</v>
      </c>
      <c r="CV23" s="14">
        <f t="shared" si="41"/>
        <v>24.609499639553789</v>
      </c>
      <c r="CW23" s="22">
        <f t="shared" si="13"/>
        <v>199.93131520555619</v>
      </c>
      <c r="CX23" s="62">
        <f t="shared" si="14"/>
        <v>481.04242631666733</v>
      </c>
      <c r="CY23" s="62">
        <f ca="1">AVERAGE(OFFSET($CX$3,0,0,'Données projet'!$E$13+1,1))-AVERAGE(OFFSET($H$3,0,0,'Données projet'!$E$13+1,1))</f>
        <v>376.5422416541544</v>
      </c>
      <c r="CZ23" s="62">
        <f t="shared" si="42"/>
        <v>365.76175372075869</v>
      </c>
      <c r="DA23" s="16">
        <f>IF(ISNA(VLOOKUP(A23,'Données projet'!$A$139:$I$159,3,0)),0,VLOOKUP(A23,'Données projet'!$A$139:$I$159,3,0))</f>
        <v>3</v>
      </c>
      <c r="DB23" s="16">
        <f>IF(ISNA(VLOOKUP(A23,'Données projet'!$A$139:$I$159,4,0)),0,VLOOKUP(A23,'Données projet'!$A$139:$I$159,4,0))</f>
        <v>42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101</v>
      </c>
      <c r="DM23" s="13">
        <f>VLOOKUP(A23,'Données projet'!$A$165:$I$185,9,0)</f>
        <v>13.6</v>
      </c>
      <c r="DN23" s="13">
        <f t="array" ref="DN23">INDEX(DM:DM,MIN(IF(ISNUMBER(DM23:DM219),ROW(DM23:DM219),"")))</f>
        <v>13.6</v>
      </c>
      <c r="DO23" s="13">
        <f>IF('Données projet'!$A$166&gt;35,DO22+DN23-DW22,IF(A23&lt;'Données projet'!$A$166,$DL$205^A23,IF(A23='Données projet'!$A$166,'Données projet'!$B$166,DO22+DN23-DW22)))</f>
        <v>100.99999999999999</v>
      </c>
      <c r="DP23" s="18">
        <f>DO23*VLOOKUP('Données projet'!$B$14,Paramètres!$A$1:$I$89,3,0)*VLOOKUP('Données projet'!$B$14,Paramètres!$A$1:$I$89,5,0)</f>
        <v>80.355599999999995</v>
      </c>
      <c r="DQ23" s="14">
        <f t="shared" si="43"/>
        <v>22.224107721582499</v>
      </c>
      <c r="DR23" s="22">
        <f t="shared" si="16"/>
        <v>178.65965761508951</v>
      </c>
      <c r="DS23" s="62">
        <f t="shared" si="17"/>
        <v>459.77076872620069</v>
      </c>
      <c r="DT23" s="62">
        <f ca="1">AVERAGE(OFFSET($DS$3,0,0,'Données projet'!$E$14+1,1))-AVERAGE(OFFSET($H$3,0,0,'Données projet'!$E$14+1,1))</f>
        <v>352.5736659365665</v>
      </c>
      <c r="DU23" s="62">
        <f t="shared" si="44"/>
        <v>343.77208530767069</v>
      </c>
      <c r="DV23" s="16">
        <f>IF(ISNA(VLOOKUP(A23,'Données projet'!$A$165:$I$185,3,0)),0,VLOOKUP(A23,'Données projet'!$A$165:$I$185,3,0))</f>
        <v>3</v>
      </c>
      <c r="DW23" s="16">
        <f>IF(ISNA(VLOOKUP(A23,'Données projet'!$A$165:$I$185,4,0)),0,VLOOKUP(A23,'Données projet'!$A$165:$I$185,4,0))</f>
        <v>35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217</v>
      </c>
      <c r="EH23" s="13">
        <f>VLOOKUP(A23,'Données projet'!$A$191:$I$211,9,0)</f>
        <v>15.4</v>
      </c>
      <c r="EI23" s="13">
        <f t="array" ref="EI23">INDEX(EH:EH,MIN(IF(ISNUMBER(EH23:EH219),ROW(EH23:EH219),"")))</f>
        <v>15.4</v>
      </c>
      <c r="EJ23" s="13">
        <f>IF('Données projet'!$A$192&gt;35,EJ22+EI23-ER22,IF(A23&lt;'Données projet'!$A$192,$EG$205^A23,IF(A23='Données projet'!$A$192,'Données projet'!$B$192,EJ22+EI23-ER22)))</f>
        <v>217.00000000000003</v>
      </c>
      <c r="EK23" s="18">
        <f>EJ23*VLOOKUP('Données projet'!$B$15,Paramètres!$A$1:$I$89,3,0)*VLOOKUP('Données projet'!$B$15,Paramètres!$A$1:$I$89,5,0)</f>
        <v>196.34160000000003</v>
      </c>
      <c r="EL23" s="14">
        <f t="shared" si="45"/>
        <v>48.939300310809159</v>
      </c>
      <c r="EM23" s="22">
        <f t="shared" si="19"/>
        <v>427.19756804132595</v>
      </c>
      <c r="EN23" s="62">
        <f t="shared" si="20"/>
        <v>708.30867915243709</v>
      </c>
      <c r="EO23" s="62">
        <f ca="1">AVERAGE(OFFSET($EN$3,0,0,'Données projet'!$E$15+1,1))-AVERAGE(OFFSET($H$3,0,0,'Données projet'!$E$15+1,1))</f>
        <v>436.23918637269577</v>
      </c>
      <c r="EP23" s="62">
        <f t="shared" si="46"/>
        <v>611.43967996341894</v>
      </c>
      <c r="EQ23" s="16">
        <f>IF(ISNA(VLOOKUP(A23,'Données projet'!$A$191:$I$211,3,0)),0,VLOOKUP(A23,'Données projet'!$A$191:$I$211,3,0))</f>
        <v>4</v>
      </c>
      <c r="ER23" s="16">
        <f>IF(ISNA(VLOOKUP(A23,'Données projet'!$A$191:$I$211,4,0)),0,VLOOKUP(A23,'Données projet'!$A$191:$I$211,4,0))</f>
        <v>23</v>
      </c>
      <c r="ES23" s="17">
        <f>IF(ISNA(VLOOKUP(A23,'Données projet'!$A$191:$I$211,5,0)),0%,VLOOKUP(A23,'Données projet'!$A$191:$I$211,5,0)*VLOOKUP('Données projet'!$B$15,Paramètres!$A$1:$I$89,7,0))</f>
        <v>0.06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1.3803168471739502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1.3803168471739502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137</v>
      </c>
      <c r="FC23" s="13">
        <f>VLOOKUP(A23,'Données projet'!$A$217:$I$237,9,0)</f>
        <v>14.2</v>
      </c>
      <c r="FD23" s="13">
        <f t="array" ref="FD23">INDEX(FC:FC,MIN(IF(ISNUMBER(FC23:FC219),ROW(FC23:FC219),"")))</f>
        <v>14.2</v>
      </c>
      <c r="FE23" s="13">
        <f>IF('Données projet'!$A$218&gt;35,FE22+FD23-FM22,IF(A23&lt;'Données projet'!$A$218,$FB$205^A23,IF(A23='Données projet'!$A$218,'Données projet'!$B$218,FE22+FD23-FM22)))</f>
        <v>137</v>
      </c>
      <c r="FF23" s="18">
        <f>FE23*VLOOKUP('Données projet'!$B$16,Paramètres!$A$1:$I$89,3,0)*VLOOKUP('Données projet'!$B$16,Paramètres!$A$1:$I$89,5,0)</f>
        <v>119.68320000000003</v>
      </c>
      <c r="FG23" s="14">
        <f t="shared" si="47"/>
        <v>31.601099532596194</v>
      </c>
      <c r="FH23" s="22">
        <f t="shared" si="22"/>
        <v>263.48682168593842</v>
      </c>
      <c r="FI23" s="62">
        <f t="shared" si="23"/>
        <v>544.59793279704957</v>
      </c>
      <c r="FJ23" s="62">
        <f ca="1">AVERAGE(OFFSET($FI$3,0,0,'Données projet'!$E$16+1,1))-AVERAGE(OFFSET($H$3,0,0,'Données projet'!$E$16+1,1))</f>
        <v>321.23599968992932</v>
      </c>
      <c r="FK23" s="62">
        <f t="shared" si="48"/>
        <v>388.05195847800502</v>
      </c>
      <c r="FL23" s="16">
        <f>IF(ISNA(VLOOKUP(A23,'Données projet'!$A$217:$I$237,3,0)),0,VLOOKUP(A23,'Données projet'!$A$217:$I$237,3,0))</f>
        <v>2</v>
      </c>
      <c r="FM23" s="16">
        <f>IF(ISNA(VLOOKUP(A23,'Données projet'!$A$217:$I$237,4,0)),0,VLOOKUP(A23,'Données projet'!$A$217:$I$237,4,0))</f>
        <v>43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195.15</v>
      </c>
      <c r="L24" s="13">
        <f>VLOOKUP(A24,'Données projet'!$A$35:$I$55,9,0)</f>
        <v>20.355000000000004</v>
      </c>
      <c r="M24" s="13">
        <f t="array" ref="M24">INDEX(L:L,MIN(IF(ISNUMBER(L24:L220),ROW(L24:L220),"")))</f>
        <v>20.355000000000004</v>
      </c>
      <c r="N24" s="14">
        <f>IF('Données projet'!$A$36&gt;35,N23+M24-V23,IF(A24&lt;'Données projet'!$A$36,$K$205^A24,IF(A24='Données projet'!$A$36,'Données projet'!$B$36,N23+M24-V23)))</f>
        <v>195.15000000000003</v>
      </c>
      <c r="O24" s="14">
        <f>N24*VLOOKUP('Données projet'!$B$9,Paramètres!$A$1:$I$89,3,0)*VLOOKUP('Données projet'!$B$9,Paramètres!$A$1:$I$89,5,0)</f>
        <v>109.08885000000002</v>
      </c>
      <c r="P24" s="14">
        <f t="shared" si="33"/>
        <v>29.116206715124498</v>
      </c>
      <c r="Q24" s="22">
        <f t="shared" si="2"/>
        <v>240.70714044550854</v>
      </c>
      <c r="R24" s="62">
        <f t="shared" si="0"/>
        <v>523.04047377884183</v>
      </c>
      <c r="S24" s="62">
        <f ca="1">AVERAGE(OFFSET($R$3,0,0,'Données projet'!$E$9+1,1))-AVERAGE(OFFSET($H$3,0,0,'Données projet'!$E$9+1,1))</f>
        <v>389.06620927245814</v>
      </c>
      <c r="T24" s="62">
        <f t="shared" si="34"/>
        <v>356.08144160383193</v>
      </c>
      <c r="U24" s="16">
        <f>IF(ISNA(VLOOKUP(A24,'Données projet'!$A$35:$I$55,3,0)),0,VLOOKUP(A24,'Données projet'!$A$35:$I$55,3,0))</f>
        <v>2</v>
      </c>
      <c r="V24" s="16">
        <f>IF(ISNA(VLOOKUP(A24,'Données projet'!$A$35:$I$55,4,0)),0,VLOOKUP(A24,'Données projet'!$A$35:$I$55,4,0))</f>
        <v>64.58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0.27500000000000002</v>
      </c>
      <c r="Y24" s="17">
        <f>IF(ISNA(VLOOKUP(A24,'Données projet'!$A$35:$I$55,7,0)),0%,VLOOKUP(A24,'Données projet'!$A$35:$I$55,7,0))</f>
        <v>0.5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13.117695356559935</v>
      </c>
      <c r="AB24" s="23">
        <f>EXP(-LN(2)/2)*AB23+(1-EXP(-LN(2)/2))/(LN(2)/2)*V24*Y24*VLOOKUP('Données projet'!$B$9,Paramètres!$A$1:$I$89,3,0)*0.475*44/12</f>
        <v>20.436917515905439</v>
      </c>
      <c r="AC24" s="24">
        <f t="shared" si="3"/>
        <v>33.55461287246537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22</v>
      </c>
      <c r="AI24" s="14">
        <f>IF('Données projet'!$A$62&gt;35,AI23+AH24-AQ23,IF(A24&lt;'Données projet'!$A$62,$AF$205^A24,IF(A24='Données projet'!$A$62,'Données projet'!$B$62,AI23+AH24-AQ23)))</f>
        <v>207</v>
      </c>
      <c r="AJ24" s="14">
        <f>AI24*VLOOKUP('Données projet'!$B$10,Paramètres!$A$1:$I$89,3,0)*VLOOKUP('Données projet'!$B$10,Paramètres!$A$1:$I$89,5,0)</f>
        <v>113.02200000000001</v>
      </c>
      <c r="AK24" s="14">
        <f t="shared" si="35"/>
        <v>30.041864379091852</v>
      </c>
      <c r="AL24" s="22">
        <f t="shared" si="4"/>
        <v>249.16956379358496</v>
      </c>
      <c r="AM24" s="62">
        <f t="shared" si="5"/>
        <v>531.50289712691824</v>
      </c>
      <c r="AN24" s="62">
        <f ca="1">AVERAGE(OFFSET($AM$3,0,0,'Données projet'!$E$10+1,1))-AVERAGE(OFFSET($H$3,0,0,'Données projet'!$E$10+1,1))</f>
        <v>293.73480285950245</v>
      </c>
      <c r="AO24" s="62">
        <f t="shared" si="36"/>
        <v>425.99823184414191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31.19310022586237</v>
      </c>
      <c r="AX24" s="23">
        <f t="shared" si="6"/>
        <v>31.19310022586237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67.136160000000004</v>
      </c>
      <c r="BF24" s="14">
        <f t="shared" si="37"/>
        <v>18.960545405756019</v>
      </c>
      <c r="BG24" s="22">
        <f t="shared" si="7"/>
        <v>149.95176191502506</v>
      </c>
      <c r="BH24" s="62">
        <f t="shared" si="8"/>
        <v>432.2850952483584</v>
      </c>
      <c r="BI24" s="62">
        <f ca="1">AVERAGE(OFFSET($BH$3,0,0,'Données projet'!$E$11+1,1))-AVERAGE(OFFSET($H$3,0,0,'Données projet'!$E$11+1,1))</f>
        <v>438.70522838726322</v>
      </c>
      <c r="BJ24" s="62">
        <f t="shared" si="38"/>
        <v>278.21741231699929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74.2</v>
      </c>
      <c r="BZ24" s="14">
        <f>BY24*VLOOKUP('Données projet'!$B$12,Paramètres!$A$1:$I$89,3,0)*VLOOKUP('Données projet'!$B$12,Paramètres!$A$1:$I$89,5,0)</f>
        <v>71.76624000000001</v>
      </c>
      <c r="CA24" s="14">
        <f t="shared" si="39"/>
        <v>20.111439068025625</v>
      </c>
      <c r="CB24" s="22">
        <f t="shared" si="10"/>
        <v>160.02029104347795</v>
      </c>
      <c r="CC24" s="62">
        <f t="shared" si="11"/>
        <v>442.35362437681124</v>
      </c>
      <c r="CD24" s="62">
        <f ca="1">AVERAGE(OFFSET($CC$3,0,0,'Données projet'!$E$12+1,1))-AVERAGE(OFFSET($H$3,0,0,'Données projet'!$E$12+1,1))</f>
        <v>466.10838191274445</v>
      </c>
      <c r="CE24" s="62">
        <f t="shared" si="40"/>
        <v>294.45557293177131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16.8</v>
      </c>
      <c r="CT24" s="13">
        <f>IF('Données projet'!$A$140&gt;35,CT23+CS24-DB23,IF(A24&lt;'Données projet'!$A$140,$CQ$205^A24,IF(A24='Données projet'!$A$140,'Données projet'!$B$140,CT23+CS24-DB23)))</f>
        <v>97.800000000000011</v>
      </c>
      <c r="CU24" s="18">
        <f>CT24*VLOOKUP('Données projet'!$B$13,Paramètres!$A$1:$I$89,3,0)*VLOOKUP('Données projet'!$B$13,Paramètres!$A$1:$I$89,5,0)</f>
        <v>71.706960000000009</v>
      </c>
      <c r="CV24" s="14">
        <f t="shared" si="41"/>
        <v>20.096759687088312</v>
      </c>
      <c r="CW24" s="22">
        <f t="shared" si="13"/>
        <v>159.89147845501216</v>
      </c>
      <c r="CX24" s="62">
        <f t="shared" si="14"/>
        <v>442.22481178834551</v>
      </c>
      <c r="CY24" s="62">
        <f ca="1">AVERAGE(OFFSET($CX$3,0,0,'Données projet'!$E$13+1,1))-AVERAGE(OFFSET($H$3,0,0,'Données projet'!$E$13+1,1))</f>
        <v>376.5422416541544</v>
      </c>
      <c r="CZ24" s="62">
        <f t="shared" si="42"/>
        <v>365.76175372075869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14.8</v>
      </c>
      <c r="DO24" s="13">
        <f>IF('Données projet'!$A$166&gt;35,DO23+DN24-DW23,IF(A24&lt;'Données projet'!$A$166,$DL$205^A24,IF(A24='Données projet'!$A$166,'Données projet'!$B$166,DO23+DN24-DW23)))</f>
        <v>80.799999999999983</v>
      </c>
      <c r="DP24" s="18">
        <f>DO24*VLOOKUP('Données projet'!$B$14,Paramètres!$A$1:$I$89,3,0)*VLOOKUP('Données projet'!$B$14,Paramètres!$A$1:$I$89,5,0)</f>
        <v>64.284479999999988</v>
      </c>
      <c r="DQ24" s="14">
        <f t="shared" si="43"/>
        <v>18.247133352994688</v>
      </c>
      <c r="DR24" s="22">
        <f t="shared" si="16"/>
        <v>143.74255992313238</v>
      </c>
      <c r="DS24" s="62">
        <f t="shared" si="17"/>
        <v>426.07589325646569</v>
      </c>
      <c r="DT24" s="62">
        <f ca="1">AVERAGE(OFFSET($DS$3,0,0,'Données projet'!$E$14+1,1))-AVERAGE(OFFSET($H$3,0,0,'Données projet'!$E$14+1,1))</f>
        <v>352.5736659365665</v>
      </c>
      <c r="DU24" s="62">
        <f t="shared" si="44"/>
        <v>343.77208530767069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13</v>
      </c>
      <c r="EJ24" s="13">
        <f>IF('Données projet'!$A$192&gt;35,EJ23+EI24-ER23,IF(A24&lt;'Données projet'!$A$192,$EG$205^A24,IF(A24='Données projet'!$A$192,'Données projet'!$B$192,EJ23+EI24-ER23)))</f>
        <v>207.00000000000003</v>
      </c>
      <c r="EK24" s="18">
        <f>EJ24*VLOOKUP('Données projet'!$B$15,Paramètres!$A$1:$I$89,3,0)*VLOOKUP('Données projet'!$B$15,Paramètres!$A$1:$I$89,5,0)</f>
        <v>187.2936</v>
      </c>
      <c r="EL24" s="14">
        <f t="shared" si="45"/>
        <v>46.941107550760421</v>
      </c>
      <c r="EM24" s="22">
        <f t="shared" si="19"/>
        <v>407.95878231757439</v>
      </c>
      <c r="EN24" s="62">
        <f t="shared" si="20"/>
        <v>690.2921156509077</v>
      </c>
      <c r="EO24" s="62">
        <f ca="1">AVERAGE(OFFSET($EN$3,0,0,'Données projet'!$E$15+1,1))-AVERAGE(OFFSET($H$3,0,0,'Données projet'!$E$15+1,1))</f>
        <v>436.23918637269577</v>
      </c>
      <c r="EP24" s="62">
        <f t="shared" si="46"/>
        <v>611.43967996341894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1.3532496757110142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1.3532496757110142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13.8</v>
      </c>
      <c r="FE24" s="13">
        <f>IF('Données projet'!$A$218&gt;35,FE23+FD24-FM23,IF(A24&lt;'Données projet'!$A$218,$FB$205^A24,IF(A24='Données projet'!$A$218,'Données projet'!$B$218,FE23+FD24-FM23)))</f>
        <v>107.80000000000001</v>
      </c>
      <c r="FF24" s="18">
        <f>FE24*VLOOKUP('Données projet'!$B$16,Paramètres!$A$1:$I$89,3,0)*VLOOKUP('Données projet'!$B$16,Paramètres!$A$1:$I$89,5,0)</f>
        <v>94.174080000000018</v>
      </c>
      <c r="FG24" s="14">
        <f t="shared" si="47"/>
        <v>25.569241067746205</v>
      </c>
      <c r="FH24" s="22">
        <f t="shared" si="22"/>
        <v>208.55295085965801</v>
      </c>
      <c r="FI24" s="62">
        <f t="shared" si="23"/>
        <v>490.8862841929913</v>
      </c>
      <c r="FJ24" s="62">
        <f ca="1">AVERAGE(OFFSET($FI$3,0,0,'Données projet'!$E$16+1,1))-AVERAGE(OFFSET($H$3,0,0,'Données projet'!$E$16+1,1))</f>
        <v>321.23599968992932</v>
      </c>
      <c r="FK24" s="62">
        <f t="shared" si="48"/>
        <v>388.05195847800502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21.612857142857145</v>
      </c>
      <c r="N25" s="14">
        <f>IF('Données projet'!$A$36&gt;35,N24+M25-V24,IF(A25&lt;'Données projet'!$A$36,$K$205^A25,IF(A25='Données projet'!$A$36,'Données projet'!$B$36,N24+M25-V24)))</f>
        <v>152.18285714285719</v>
      </c>
      <c r="O25" s="14">
        <f>N25*VLOOKUP('Données projet'!$B$9,Paramètres!$A$1:$I$89,3,0)*VLOOKUP('Données projet'!$B$9,Paramètres!$A$1:$I$89,5,0)</f>
        <v>85.070217142857175</v>
      </c>
      <c r="P25" s="14">
        <f t="shared" si="33"/>
        <v>23.372410230575955</v>
      </c>
      <c r="Q25" s="22">
        <f t="shared" si="2"/>
        <v>188.87090934206267</v>
      </c>
      <c r="R25" s="62">
        <f t="shared" si="0"/>
        <v>472.42646489761819</v>
      </c>
      <c r="S25" s="62">
        <f ca="1">AVERAGE(OFFSET($R$3,0,0,'Données projet'!$E$9+1,1))-AVERAGE(OFFSET($H$3,0,0,'Données projet'!$E$9+1,1))</f>
        <v>389.06620927245814</v>
      </c>
      <c r="T25" s="62">
        <f t="shared" si="34"/>
        <v>356.08144160383193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12.758991287205186</v>
      </c>
      <c r="AB25" s="23">
        <f>EXP(-LN(2)/2)*AB24+(1-EXP(-LN(2)/2))/(LN(2)/2)*V25*Y25*VLOOKUP('Données projet'!$B$9,Paramètres!$A$1:$I$89,3,0)*0.475*44/12</f>
        <v>14.451082962046868</v>
      </c>
      <c r="AC25" s="24">
        <f t="shared" si="3"/>
        <v>27.210074249252052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22</v>
      </c>
      <c r="AI25" s="14">
        <f>IF('Données projet'!$A$62&gt;35,AI24+AH25-AQ24,IF(A25&lt;'Données projet'!$A$62,$AF$205^A25,IF(A25='Données projet'!$A$62,'Données projet'!$B$62,AI24+AH25-AQ24)))</f>
        <v>229</v>
      </c>
      <c r="AJ25" s="14">
        <f>AI25*VLOOKUP('Données projet'!$B$10,Paramètres!$A$1:$I$89,3,0)*VLOOKUP('Données projet'!$B$10,Paramètres!$A$1:$I$89,5,0)</f>
        <v>125.03399999999999</v>
      </c>
      <c r="AK25" s="14">
        <f t="shared" si="35"/>
        <v>32.846274359997985</v>
      </c>
      <c r="AL25" s="22">
        <f t="shared" si="4"/>
        <v>274.97481117699641</v>
      </c>
      <c r="AM25" s="62">
        <f t="shared" si="5"/>
        <v>558.53036673255201</v>
      </c>
      <c r="AN25" s="62">
        <f ca="1">AVERAGE(OFFSET($AM$3,0,0,'Données projet'!$E$10+1,1))-AVERAGE(OFFSET($H$3,0,0,'Données projet'!$E$10+1,1))</f>
        <v>293.73480285950245</v>
      </c>
      <c r="AO25" s="62">
        <f t="shared" si="36"/>
        <v>425.99823184414191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22.056852695938911</v>
      </c>
      <c r="AX25" s="23">
        <f t="shared" si="6"/>
        <v>22.056852695938911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73.650720000000007</v>
      </c>
      <c r="BF25" s="14">
        <f t="shared" si="37"/>
        <v>20.577360172493922</v>
      </c>
      <c r="BG25" s="22">
        <f t="shared" si="7"/>
        <v>164.11390630042692</v>
      </c>
      <c r="BH25" s="62">
        <f t="shared" si="8"/>
        <v>447.66946185598249</v>
      </c>
      <c r="BI25" s="62">
        <f ca="1">AVERAGE(OFFSET($BH$3,0,0,'Données projet'!$E$11+1,1))-AVERAGE(OFFSET($H$3,0,0,'Données projet'!$E$11+1,1))</f>
        <v>438.70522838726322</v>
      </c>
      <c r="BJ25" s="62">
        <f t="shared" si="38"/>
        <v>278.21741231699929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81.400000000000006</v>
      </c>
      <c r="BZ25" s="14">
        <f>BY25*VLOOKUP('Données projet'!$B$12,Paramètres!$A$1:$I$89,3,0)*VLOOKUP('Données projet'!$B$12,Paramètres!$A$1:$I$89,5,0)</f>
        <v>78.730080000000015</v>
      </c>
      <c r="CA25" s="14">
        <f t="shared" si="39"/>
        <v>21.826393515256996</v>
      </c>
      <c r="CB25" s="22">
        <f t="shared" si="10"/>
        <v>175.13585803907259</v>
      </c>
      <c r="CC25" s="62">
        <f t="shared" si="11"/>
        <v>458.6914135946281</v>
      </c>
      <c r="CD25" s="62">
        <f ca="1">AVERAGE(OFFSET($CC$3,0,0,'Données projet'!$E$12+1,1))-AVERAGE(OFFSET($H$3,0,0,'Données projet'!$E$12+1,1))</f>
        <v>466.10838191274445</v>
      </c>
      <c r="CE25" s="62">
        <f t="shared" si="40"/>
        <v>294.45557293177131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16.8</v>
      </c>
      <c r="CT25" s="13">
        <f>IF('Données projet'!$A$140&gt;35,CT24+CS25-DB24,IF(A25&lt;'Données projet'!$A$140,$CQ$205^A25,IF(A25='Données projet'!$A$140,'Données projet'!$B$140,CT24+CS25-DB24)))</f>
        <v>114.60000000000001</v>
      </c>
      <c r="CU25" s="18">
        <f>CT25*VLOOKUP('Données projet'!$B$13,Paramètres!$A$1:$I$89,3,0)*VLOOKUP('Données projet'!$B$13,Paramètres!$A$1:$I$89,5,0)</f>
        <v>84.024720000000002</v>
      </c>
      <c r="CV25" s="14">
        <f t="shared" si="41"/>
        <v>23.11842031654454</v>
      </c>
      <c r="CW25" s="22">
        <f t="shared" si="13"/>
        <v>186.6076360513151</v>
      </c>
      <c r="CX25" s="62">
        <f t="shared" si="14"/>
        <v>470.16319160687067</v>
      </c>
      <c r="CY25" s="62">
        <f ca="1">AVERAGE(OFFSET($CX$3,0,0,'Données projet'!$E$13+1,1))-AVERAGE(OFFSET($H$3,0,0,'Données projet'!$E$13+1,1))</f>
        <v>376.5422416541544</v>
      </c>
      <c r="CZ25" s="62">
        <f t="shared" si="42"/>
        <v>365.76175372075869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14.8</v>
      </c>
      <c r="DO25" s="13">
        <f>IF('Données projet'!$A$166&gt;35,DO24+DN25-DW24,IF(A25&lt;'Données projet'!$A$166,$DL$205^A25,IF(A25='Données projet'!$A$166,'Données projet'!$B$166,DO24+DN25-DW24)))</f>
        <v>95.59999999999998</v>
      </c>
      <c r="DP25" s="18">
        <f>DO25*VLOOKUP('Données projet'!$B$14,Paramètres!$A$1:$I$89,3,0)*VLOOKUP('Données projet'!$B$14,Paramètres!$A$1:$I$89,5,0)</f>
        <v>76.059359999999998</v>
      </c>
      <c r="DQ25" s="14">
        <f t="shared" si="43"/>
        <v>21.170862971540299</v>
      </c>
      <c r="DR25" s="22">
        <f t="shared" si="16"/>
        <v>169.34263834209935</v>
      </c>
      <c r="DS25" s="62">
        <f t="shared" si="17"/>
        <v>452.89819389765489</v>
      </c>
      <c r="DT25" s="62">
        <f ca="1">AVERAGE(OFFSET($DS$3,0,0,'Données projet'!$E$14+1,1))-AVERAGE(OFFSET($H$3,0,0,'Données projet'!$E$14+1,1))</f>
        <v>352.5736659365665</v>
      </c>
      <c r="DU25" s="62">
        <f t="shared" si="44"/>
        <v>343.77208530767069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13</v>
      </c>
      <c r="EJ25" s="13">
        <f>IF('Données projet'!$A$192&gt;35,EJ24+EI25-ER24,IF(A25&lt;'Données projet'!$A$192,$EG$205^A25,IF(A25='Données projet'!$A$192,'Données projet'!$B$192,EJ24+EI25-ER24)))</f>
        <v>220.00000000000003</v>
      </c>
      <c r="EK25" s="18">
        <f>EJ25*VLOOKUP('Données projet'!$B$15,Paramètres!$A$1:$I$89,3,0)*VLOOKUP('Données projet'!$B$15,Paramètres!$A$1:$I$89,5,0)</f>
        <v>199.05600000000001</v>
      </c>
      <c r="EL25" s="14">
        <f t="shared" si="45"/>
        <v>49.536648006253934</v>
      </c>
      <c r="EM25" s="22">
        <f t="shared" si="19"/>
        <v>432.96552861089231</v>
      </c>
      <c r="EN25" s="62">
        <f t="shared" si="20"/>
        <v>716.52108416644785</v>
      </c>
      <c r="EO25" s="62">
        <f ca="1">AVERAGE(OFFSET($EN$3,0,0,'Données projet'!$E$15+1,1))-AVERAGE(OFFSET($H$3,0,0,'Données projet'!$E$15+1,1))</f>
        <v>436.23918637269577</v>
      </c>
      <c r="EP25" s="62">
        <f t="shared" si="46"/>
        <v>611.43967996341894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1.3267132749711219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1.3267132749711219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13.8</v>
      </c>
      <c r="FE25" s="13">
        <f>IF('Données projet'!$A$218&gt;35,FE24+FD25-FM24,IF(A25&lt;'Données projet'!$A$218,$FB$205^A25,IF(A25='Données projet'!$A$218,'Données projet'!$B$218,FE24+FD25-FM24)))</f>
        <v>121.60000000000001</v>
      </c>
      <c r="FF25" s="18">
        <f>FE25*VLOOKUP('Données projet'!$B$16,Paramètres!$A$1:$I$89,3,0)*VLOOKUP('Données projet'!$B$16,Paramètres!$A$1:$I$89,5,0)</f>
        <v>106.22976000000003</v>
      </c>
      <c r="FG25" s="14">
        <f t="shared" si="47"/>
        <v>28.440891625171492</v>
      </c>
      <c r="FH25" s="22">
        <f t="shared" si="22"/>
        <v>234.55138491384039</v>
      </c>
      <c r="FI25" s="62">
        <f t="shared" si="23"/>
        <v>518.10694046939591</v>
      </c>
      <c r="FJ25" s="62">
        <f ca="1">AVERAGE(OFFSET($FI$3,0,0,'Données projet'!$E$16+1,1))-AVERAGE(OFFSET($H$3,0,0,'Données projet'!$E$16+1,1))</f>
        <v>321.23599968992932</v>
      </c>
      <c r="FK25" s="62">
        <f t="shared" si="48"/>
        <v>388.05195847800502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21.612857142857145</v>
      </c>
      <c r="N26" s="14">
        <f>IF('Données projet'!$A$36&gt;35,N25+M26-V25,IF(A26&lt;'Données projet'!$A$36,$K$205^A26,IF(A26='Données projet'!$A$36,'Données projet'!$B$36,N25+M26-V25)))</f>
        <v>173.79571428571433</v>
      </c>
      <c r="O26" s="14">
        <f>N26*VLOOKUP('Données projet'!$B$9,Paramètres!$A$1:$I$89,3,0)*VLOOKUP('Données projet'!$B$9,Paramètres!$A$1:$I$89,5,0)</f>
        <v>97.15180428571432</v>
      </c>
      <c r="P26" s="14">
        <f t="shared" si="33"/>
        <v>26.282317303127122</v>
      </c>
      <c r="Q26" s="22">
        <f t="shared" si="2"/>
        <v>214.98109510056551</v>
      </c>
      <c r="R26" s="62">
        <f t="shared" si="0"/>
        <v>499.75887287834325</v>
      </c>
      <c r="S26" s="62">
        <f ca="1">AVERAGE(OFFSET($R$3,0,0,'Données projet'!$E$9+1,1))-AVERAGE(OFFSET($H$3,0,0,'Données projet'!$E$9+1,1))</f>
        <v>389.06620927245814</v>
      </c>
      <c r="T26" s="62">
        <f t="shared" si="34"/>
        <v>356.08144160383193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12.41009599949037</v>
      </c>
      <c r="AB26" s="23">
        <f>EXP(-LN(2)/2)*AB25+(1-EXP(-LN(2)/2))/(LN(2)/2)*V26*Y26*VLOOKUP('Données projet'!$B$9,Paramètres!$A$1:$I$89,3,0)*0.475*44/12</f>
        <v>10.218458757952721</v>
      </c>
      <c r="AC26" s="24">
        <f t="shared" si="3"/>
        <v>22.628554757443091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22</v>
      </c>
      <c r="AI26" s="14">
        <f>IF('Données projet'!$A$62&gt;35,AI25+AH26-AQ25,IF(A26&lt;'Données projet'!$A$62,$AF$205^A26,IF(A26='Données projet'!$A$62,'Données projet'!$B$62,AI25+AH26-AQ25)))</f>
        <v>251</v>
      </c>
      <c r="AJ26" s="14">
        <f>AI26*VLOOKUP('Données projet'!$B$10,Paramètres!$A$1:$I$89,3,0)*VLOOKUP('Données projet'!$B$10,Paramètres!$A$1:$I$89,5,0)</f>
        <v>137.04600000000002</v>
      </c>
      <c r="AK26" s="14">
        <f t="shared" si="35"/>
        <v>35.619447951801043</v>
      </c>
      <c r="AL26" s="22">
        <f t="shared" si="4"/>
        <v>300.72565518272023</v>
      </c>
      <c r="AM26" s="62">
        <f t="shared" si="5"/>
        <v>585.503432960498</v>
      </c>
      <c r="AN26" s="62">
        <f ca="1">AVERAGE(OFFSET($AM$3,0,0,'Données projet'!$E$10+1,1))-AVERAGE(OFFSET($H$3,0,0,'Données projet'!$E$10+1,1))</f>
        <v>293.73480285950245</v>
      </c>
      <c r="AO26" s="62">
        <f t="shared" si="36"/>
        <v>425.99823184414191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15.596550112931187</v>
      </c>
      <c r="AX26" s="23">
        <f t="shared" si="6"/>
        <v>15.596550112931187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80.165279999999996</v>
      </c>
      <c r="BF26" s="14">
        <f t="shared" si="37"/>
        <v>22.177591092468788</v>
      </c>
      <c r="BG26" s="22">
        <f t="shared" si="7"/>
        <v>178.24716715271646</v>
      </c>
      <c r="BH26" s="62">
        <f t="shared" si="8"/>
        <v>463.02494493049426</v>
      </c>
      <c r="BI26" s="62">
        <f ca="1">AVERAGE(OFFSET($BH$3,0,0,'Données projet'!$E$11+1,1))-AVERAGE(OFFSET($H$3,0,0,'Données projet'!$E$11+1,1))</f>
        <v>438.70522838726322</v>
      </c>
      <c r="BJ26" s="62">
        <f t="shared" si="38"/>
        <v>278.21741231699929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88.600000000000009</v>
      </c>
      <c r="BZ26" s="14">
        <f>BY26*VLOOKUP('Données projet'!$B$12,Paramètres!$A$1:$I$89,3,0)*VLOOKUP('Données projet'!$B$12,Paramètres!$A$1:$I$89,5,0)</f>
        <v>85.693920000000006</v>
      </c>
      <c r="CA26" s="14">
        <f t="shared" si="39"/>
        <v>23.523757486236178</v>
      </c>
      <c r="CB26" s="22">
        <f t="shared" si="10"/>
        <v>190.22078828852798</v>
      </c>
      <c r="CC26" s="62">
        <f t="shared" si="11"/>
        <v>474.99856606630578</v>
      </c>
      <c r="CD26" s="62">
        <f ca="1">AVERAGE(OFFSET($CC$3,0,0,'Données projet'!$E$12+1,1))-AVERAGE(OFFSET($H$3,0,0,'Données projet'!$E$12+1,1))</f>
        <v>466.10838191274445</v>
      </c>
      <c r="CE26" s="62">
        <f t="shared" si="40"/>
        <v>294.45557293177131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16.8</v>
      </c>
      <c r="CT26" s="13">
        <f>IF('Données projet'!$A$140&gt;35,CT25+CS26-DB25,IF(A26&lt;'Données projet'!$A$140,$CQ$205^A26,IF(A26='Données projet'!$A$140,'Données projet'!$B$140,CT25+CS26-DB25)))</f>
        <v>131.4</v>
      </c>
      <c r="CU26" s="18">
        <f>CT26*VLOOKUP('Données projet'!$B$13,Paramètres!$A$1:$I$89,3,0)*VLOOKUP('Données projet'!$B$13,Paramètres!$A$1:$I$89,5,0)</f>
        <v>96.342480000000009</v>
      </c>
      <c r="CV26" s="14">
        <f t="shared" si="41"/>
        <v>26.088763268244669</v>
      </c>
      <c r="CW26" s="22">
        <f t="shared" si="13"/>
        <v>213.23441535885948</v>
      </c>
      <c r="CX26" s="62">
        <f t="shared" si="14"/>
        <v>498.01219313663728</v>
      </c>
      <c r="CY26" s="62">
        <f ca="1">AVERAGE(OFFSET($CX$3,0,0,'Données projet'!$E$13+1,1))-AVERAGE(OFFSET($H$3,0,0,'Données projet'!$E$13+1,1))</f>
        <v>376.5422416541544</v>
      </c>
      <c r="CZ26" s="62">
        <f t="shared" si="42"/>
        <v>365.76175372075869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14.8</v>
      </c>
      <c r="DO26" s="13">
        <f>IF('Données projet'!$A$166&gt;35,DO25+DN26-DW25,IF(A26&lt;'Données projet'!$A$166,$DL$205^A26,IF(A26='Données projet'!$A$166,'Données projet'!$B$166,DO25+DN26-DW25)))</f>
        <v>110.39999999999998</v>
      </c>
      <c r="DP26" s="18">
        <f>DO26*VLOOKUP('Données projet'!$B$14,Paramètres!$A$1:$I$89,3,0)*VLOOKUP('Données projet'!$B$14,Paramètres!$A$1:$I$89,5,0)</f>
        <v>87.83423999999998</v>
      </c>
      <c r="DQ26" s="14">
        <f t="shared" si="43"/>
        <v>24.042157662768496</v>
      </c>
      <c r="DR26" s="22">
        <f t="shared" si="16"/>
        <v>194.85139259598841</v>
      </c>
      <c r="DS26" s="62">
        <f t="shared" si="17"/>
        <v>479.62917037376621</v>
      </c>
      <c r="DT26" s="62">
        <f ca="1">AVERAGE(OFFSET($DS$3,0,0,'Données projet'!$E$14+1,1))-AVERAGE(OFFSET($H$3,0,0,'Données projet'!$E$14+1,1))</f>
        <v>352.5736659365665</v>
      </c>
      <c r="DU26" s="62">
        <f t="shared" si="44"/>
        <v>343.77208530767069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13</v>
      </c>
      <c r="EJ26" s="13">
        <f>IF('Données projet'!$A$192&gt;35,EJ25+EI26-ER25,IF(A26&lt;'Données projet'!$A$192,$EG$205^A26,IF(A26='Données projet'!$A$192,'Données projet'!$B$192,EJ25+EI26-ER25)))</f>
        <v>233.00000000000003</v>
      </c>
      <c r="EK26" s="18">
        <f>EJ26*VLOOKUP('Données projet'!$B$15,Paramètres!$A$1:$I$89,3,0)*VLOOKUP('Données projet'!$B$15,Paramètres!$A$1:$I$89,5,0)</f>
        <v>210.81840000000003</v>
      </c>
      <c r="EL26" s="14">
        <f t="shared" si="45"/>
        <v>52.114386184062198</v>
      </c>
      <c r="EM26" s="22">
        <f t="shared" si="19"/>
        <v>457.94126927057505</v>
      </c>
      <c r="EN26" s="62">
        <f t="shared" si="20"/>
        <v>742.71904704835288</v>
      </c>
      <c r="EO26" s="62">
        <f ca="1">AVERAGE(OFFSET($EN$3,0,0,'Données projet'!$E$15+1,1))-AVERAGE(OFFSET($H$3,0,0,'Données projet'!$E$15+1,1))</f>
        <v>436.23918637269577</v>
      </c>
      <c r="EP26" s="62">
        <f t="shared" si="46"/>
        <v>611.43967996341894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1.3006972368641325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1.3006972368641325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13.8</v>
      </c>
      <c r="FE26" s="13">
        <f>IF('Données projet'!$A$218&gt;35,FE25+FD26-FM25,IF(A26&lt;'Données projet'!$A$218,$FB$205^A26,IF(A26='Données projet'!$A$218,'Données projet'!$B$218,FE25+FD26-FM25)))</f>
        <v>135.4</v>
      </c>
      <c r="FF26" s="18">
        <f>FE26*VLOOKUP('Données projet'!$B$16,Paramètres!$A$1:$I$89,3,0)*VLOOKUP('Données projet'!$B$16,Paramètres!$A$1:$I$89,5,0)</f>
        <v>118.28544000000002</v>
      </c>
      <c r="FG26" s="14">
        <f t="shared" si="47"/>
        <v>31.274772013169596</v>
      </c>
      <c r="FH26" s="22">
        <f t="shared" si="22"/>
        <v>260.48403592293715</v>
      </c>
      <c r="FI26" s="62">
        <f t="shared" si="23"/>
        <v>545.26181370071492</v>
      </c>
      <c r="FJ26" s="62">
        <f ca="1">AVERAGE(OFFSET($FI$3,0,0,'Données projet'!$E$16+1,1))-AVERAGE(OFFSET($H$3,0,0,'Données projet'!$E$16+1,1))</f>
        <v>321.23599968992932</v>
      </c>
      <c r="FK26" s="62">
        <f t="shared" si="48"/>
        <v>388.05195847800502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21.612857142857145</v>
      </c>
      <c r="N27" s="14">
        <f>IF('Données projet'!$A$36&gt;35,N26+M27-V26,IF(A27&lt;'Données projet'!$A$36,$K$205^A27,IF(A27='Données projet'!$A$36,'Données projet'!$B$36,N26+M27-V26)))</f>
        <v>195.40857142857146</v>
      </c>
      <c r="O27" s="14">
        <f>N27*VLOOKUP('Données projet'!$B$9,Paramètres!$A$1:$I$89,3,0)*VLOOKUP('Données projet'!$B$9,Paramètres!$A$1:$I$89,5,0)</f>
        <v>109.23339142857145</v>
      </c>
      <c r="P27" s="14">
        <f t="shared" si="33"/>
        <v>29.150292163037918</v>
      </c>
      <c r="Q27" s="22">
        <f t="shared" si="2"/>
        <v>241.018248922053</v>
      </c>
      <c r="R27" s="62">
        <f t="shared" si="0"/>
        <v>527.01824892205298</v>
      </c>
      <c r="S27" s="62">
        <f ca="1">AVERAGE(OFFSET($R$3,0,0,'Données projet'!$E$9+1,1))-AVERAGE(OFFSET($H$3,0,0,'Données projet'!$E$9+1,1))</f>
        <v>389.06620927245814</v>
      </c>
      <c r="T27" s="62">
        <f t="shared" si="34"/>
        <v>356.08144160383193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12.070741271765721</v>
      </c>
      <c r="AB27" s="23">
        <f>EXP(-LN(2)/2)*AB26+(1-EXP(-LN(2)/2))/(LN(2)/2)*V27*Y27*VLOOKUP('Données projet'!$B$9,Paramètres!$A$1:$I$89,3,0)*0.475*44/12</f>
        <v>7.2255414810234351</v>
      </c>
      <c r="AC27" s="24">
        <f t="shared" si="3"/>
        <v>19.296282752789157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22</v>
      </c>
      <c r="AI27" s="14">
        <f>IF('Données projet'!$A$62&gt;35,AI26+AH27-AQ26,IF(A27&lt;'Données projet'!$A$62,$AF$205^A27,IF(A27='Données projet'!$A$62,'Données projet'!$B$62,AI26+AH27-AQ26)))</f>
        <v>273</v>
      </c>
      <c r="AJ27" s="14">
        <f>AI27*VLOOKUP('Données projet'!$B$10,Paramètres!$A$1:$I$89,3,0)*VLOOKUP('Données projet'!$B$10,Paramètres!$A$1:$I$89,5,0)</f>
        <v>149.05799999999999</v>
      </c>
      <c r="AK27" s="14">
        <f t="shared" si="35"/>
        <v>38.364434314370335</v>
      </c>
      <c r="AL27" s="22">
        <f t="shared" si="4"/>
        <v>326.42740643086165</v>
      </c>
      <c r="AM27" s="62">
        <f t="shared" si="5"/>
        <v>612.42740643086165</v>
      </c>
      <c r="AN27" s="62">
        <f ca="1">AVERAGE(OFFSET($AM$3,0,0,'Données projet'!$E$10+1,1))-AVERAGE(OFFSET($H$3,0,0,'Données projet'!$E$10+1,1))</f>
        <v>293.73480285950245</v>
      </c>
      <c r="AO27" s="62">
        <f t="shared" si="36"/>
        <v>425.99823184414191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11.028426347969457</v>
      </c>
      <c r="AX27" s="23">
        <f t="shared" si="6"/>
        <v>11.028426347969457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86.679839999999999</v>
      </c>
      <c r="BF27" s="14">
        <f t="shared" si="37"/>
        <v>23.762739053789723</v>
      </c>
      <c r="BG27" s="22">
        <f t="shared" si="7"/>
        <v>192.35415851868379</v>
      </c>
      <c r="BH27" s="62">
        <f t="shared" si="8"/>
        <v>478.35415851868379</v>
      </c>
      <c r="BI27" s="62">
        <f ca="1">AVERAGE(OFFSET($BH$3,0,0,'Données projet'!$E$11+1,1))-AVERAGE(OFFSET($H$3,0,0,'Données projet'!$E$11+1,1))</f>
        <v>438.70522838726322</v>
      </c>
      <c r="BJ27" s="62">
        <f t="shared" si="38"/>
        <v>278.21741231699929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95.800000000000011</v>
      </c>
      <c r="BZ27" s="14">
        <f>BY27*VLOOKUP('Données projet'!$B$12,Paramètres!$A$1:$I$89,3,0)*VLOOKUP('Données projet'!$B$12,Paramètres!$A$1:$I$89,5,0)</f>
        <v>92.65776000000001</v>
      </c>
      <c r="CA27" s="14">
        <f t="shared" si="39"/>
        <v>25.205122972074609</v>
      </c>
      <c r="CB27" s="22">
        <f t="shared" si="10"/>
        <v>205.2778545096966</v>
      </c>
      <c r="CC27" s="62">
        <f t="shared" si="11"/>
        <v>491.27785450969657</v>
      </c>
      <c r="CD27" s="62">
        <f ca="1">AVERAGE(OFFSET($CC$3,0,0,'Données projet'!$E$12+1,1))-AVERAGE(OFFSET($H$3,0,0,'Données projet'!$E$12+1,1))</f>
        <v>466.10838191274445</v>
      </c>
      <c r="CE27" s="62">
        <f t="shared" si="40"/>
        <v>294.45557293177131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16.8</v>
      </c>
      <c r="CT27" s="13">
        <f>IF('Données projet'!$A$140&gt;35,CT26+CS27-DB26,IF(A27&lt;'Données projet'!$A$140,$CQ$205^A27,IF(A27='Données projet'!$A$140,'Données projet'!$B$140,CT26+CS27-DB26)))</f>
        <v>148.20000000000002</v>
      </c>
      <c r="CU27" s="18">
        <f>CT27*VLOOKUP('Données projet'!$B$13,Paramètres!$A$1:$I$89,3,0)*VLOOKUP('Données projet'!$B$13,Paramètres!$A$1:$I$89,5,0)</f>
        <v>108.66024000000002</v>
      </c>
      <c r="CV27" s="14">
        <f t="shared" si="41"/>
        <v>29.015101890437414</v>
      </c>
      <c r="CW27" s="22">
        <f t="shared" si="13"/>
        <v>239.78455379251184</v>
      </c>
      <c r="CX27" s="62">
        <f t="shared" si="14"/>
        <v>525.78455379251182</v>
      </c>
      <c r="CY27" s="62">
        <f ca="1">AVERAGE(OFFSET($CX$3,0,0,'Données projet'!$E$13+1,1))-AVERAGE(OFFSET($H$3,0,0,'Données projet'!$E$13+1,1))</f>
        <v>376.5422416541544</v>
      </c>
      <c r="CZ27" s="62">
        <f t="shared" si="42"/>
        <v>365.76175372075869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14.8</v>
      </c>
      <c r="DO27" s="13">
        <f>IF('Données projet'!$A$166&gt;35,DO26+DN27-DW26,IF(A27&lt;'Données projet'!$A$166,$DL$205^A27,IF(A27='Données projet'!$A$166,'Données projet'!$B$166,DO26+DN27-DW26)))</f>
        <v>125.19999999999997</v>
      </c>
      <c r="DP27" s="18">
        <f>DO27*VLOOKUP('Données projet'!$B$14,Paramètres!$A$1:$I$89,3,0)*VLOOKUP('Données projet'!$B$14,Paramètres!$A$1:$I$89,5,0)</f>
        <v>99.60911999999999</v>
      </c>
      <c r="DQ27" s="14">
        <f t="shared" si="43"/>
        <v>26.868854563103099</v>
      </c>
      <c r="DR27" s="22">
        <f t="shared" si="16"/>
        <v>220.2824723640712</v>
      </c>
      <c r="DS27" s="62">
        <f t="shared" si="17"/>
        <v>506.28247236407117</v>
      </c>
      <c r="DT27" s="62">
        <f ca="1">AVERAGE(OFFSET($DS$3,0,0,'Données projet'!$E$14+1,1))-AVERAGE(OFFSET($H$3,0,0,'Données projet'!$E$14+1,1))</f>
        <v>352.5736659365665</v>
      </c>
      <c r="DU27" s="62">
        <f t="shared" si="44"/>
        <v>343.77208530767069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13</v>
      </c>
      <c r="EJ27" s="13">
        <f>IF('Données projet'!$A$192&gt;35,EJ26+EI27-ER26,IF(A27&lt;'Données projet'!$A$192,$EG$205^A27,IF(A27='Données projet'!$A$192,'Données projet'!$B$192,EJ26+EI27-ER26)))</f>
        <v>246.00000000000003</v>
      </c>
      <c r="EK27" s="18">
        <f>EJ27*VLOOKUP('Données projet'!$B$15,Paramètres!$A$1:$I$89,3,0)*VLOOKUP('Données projet'!$B$15,Paramètres!$A$1:$I$89,5,0)</f>
        <v>222.58080000000001</v>
      </c>
      <c r="EL27" s="14">
        <f t="shared" si="45"/>
        <v>54.675428546153249</v>
      </c>
      <c r="EM27" s="22">
        <f t="shared" si="19"/>
        <v>482.8879313845502</v>
      </c>
      <c r="EN27" s="62">
        <f t="shared" si="20"/>
        <v>768.88793138455026</v>
      </c>
      <c r="EO27" s="62">
        <f ca="1">AVERAGE(OFFSET($EN$3,0,0,'Données projet'!$E$15+1,1))-AVERAGE(OFFSET($H$3,0,0,'Données projet'!$E$15+1,1))</f>
        <v>436.23918637269577</v>
      </c>
      <c r="EP27" s="62">
        <f t="shared" si="46"/>
        <v>611.43967996341894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1.2751913573962048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1.2751913573962048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13.8</v>
      </c>
      <c r="FE27" s="13">
        <f>IF('Données projet'!$A$218&gt;35,FE26+FD27-FM26,IF(A27&lt;'Données projet'!$A$218,$FB$205^A27,IF(A27='Données projet'!$A$218,'Données projet'!$B$218,FE26+FD27-FM26)))</f>
        <v>149.20000000000002</v>
      </c>
      <c r="FF27" s="18">
        <f>FE27*VLOOKUP('Données projet'!$B$16,Paramètres!$A$1:$I$89,3,0)*VLOOKUP('Données projet'!$B$16,Paramètres!$A$1:$I$89,5,0)</f>
        <v>130.34112000000005</v>
      </c>
      <c r="FG27" s="14">
        <f t="shared" si="47"/>
        <v>34.075170122989917</v>
      </c>
      <c r="FH27" s="22">
        <f t="shared" si="22"/>
        <v>286.35837196420749</v>
      </c>
      <c r="FI27" s="62">
        <f t="shared" si="23"/>
        <v>572.35837196420744</v>
      </c>
      <c r="FJ27" s="62">
        <f ca="1">AVERAGE(OFFSET($FI$3,0,0,'Données projet'!$E$16+1,1))-AVERAGE(OFFSET($H$3,0,0,'Données projet'!$E$16+1,1))</f>
        <v>321.23599968992932</v>
      </c>
      <c r="FK27" s="62">
        <f t="shared" si="48"/>
        <v>388.05195847800502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21.612857142857145</v>
      </c>
      <c r="N28" s="14">
        <f>IF('Données projet'!$A$36&gt;35,N27+M28-V27,IF(A28&lt;'Données projet'!$A$36,$K$205^A28,IF(A28='Données projet'!$A$36,'Données projet'!$B$36,N27+M28-V27)))</f>
        <v>217.0214285714286</v>
      </c>
      <c r="O28" s="14">
        <f>N28*VLOOKUP('Données projet'!$B$9,Paramètres!$A$1:$I$89,3,0)*VLOOKUP('Données projet'!$B$9,Paramètres!$A$1:$I$89,5,0)</f>
        <v>121.31497857142858</v>
      </c>
      <c r="P28" s="14">
        <f t="shared" si="33"/>
        <v>31.981501643962339</v>
      </c>
      <c r="Q28" s="22">
        <f t="shared" si="2"/>
        <v>266.99136970847246</v>
      </c>
      <c r="R28" s="62">
        <f t="shared" si="0"/>
        <v>554.21359193069475</v>
      </c>
      <c r="S28" s="62">
        <f ca="1">AVERAGE(OFFSET($R$3,0,0,'Données projet'!$E$9+1,1))-AVERAGE(OFFSET($H$3,0,0,'Données projet'!$E$9+1,1))</f>
        <v>389.06620927245814</v>
      </c>
      <c r="T28" s="62">
        <f t="shared" si="34"/>
        <v>356.08144160383193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11.740666216916592</v>
      </c>
      <c r="AB28" s="23">
        <f>EXP(-LN(2)/2)*AB27+(1-EXP(-LN(2)/2))/(LN(2)/2)*V28*Y28*VLOOKUP('Données projet'!$B$9,Paramètres!$A$1:$I$89,3,0)*0.475*44/12</f>
        <v>5.1092293789763614</v>
      </c>
      <c r="AC28" s="24">
        <f t="shared" si="3"/>
        <v>16.849895595892953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295</v>
      </c>
      <c r="AG28" s="13">
        <f>VLOOKUP(A28,'Données projet'!$A$61:$I$81,9,0)</f>
        <v>22</v>
      </c>
      <c r="AH28" s="13">
        <f t="array" ref="AH28">INDEX(AG:AG,MIN(IF(ISNUMBER(AG28:AG224),ROW(AG28:AG224),"")))</f>
        <v>22</v>
      </c>
      <c r="AI28" s="14">
        <f>IF('Données projet'!$A$62&gt;35,AI27+AH28-AQ27,IF(A28&lt;'Données projet'!$A$62,$AF$205^A28,IF(A28='Données projet'!$A$62,'Données projet'!$B$62,AI27+AH28-AQ27)))</f>
        <v>295</v>
      </c>
      <c r="AJ28" s="14">
        <f>AI28*VLOOKUP('Données projet'!$B$10,Paramètres!$A$1:$I$89,3,0)*VLOOKUP('Données projet'!$B$10,Paramètres!$A$1:$I$89,5,0)</f>
        <v>161.07</v>
      </c>
      <c r="AK28" s="14">
        <f t="shared" si="35"/>
        <v>41.083763193241431</v>
      </c>
      <c r="AL28" s="22">
        <f t="shared" si="4"/>
        <v>352.08447089489545</v>
      </c>
      <c r="AM28" s="62">
        <f t="shared" si="5"/>
        <v>639.30669311711767</v>
      </c>
      <c r="AN28" s="62">
        <f ca="1">AVERAGE(OFFSET($AM$3,0,0,'Données projet'!$E$10+1,1))-AVERAGE(OFFSET($H$3,0,0,'Données projet'!$E$10+1,1))</f>
        <v>293.73480285950245</v>
      </c>
      <c r="AO28" s="62">
        <f t="shared" si="36"/>
        <v>425.99823184414191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57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0.3</v>
      </c>
      <c r="AT28" s="17">
        <f>IF(ISNA(VLOOKUP(A28,'Données projet'!$A$61:$I$81,7,0)),0%,VLOOKUP(A28,'Données projet'!$A$61:$I$81,7,0))</f>
        <v>0.5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12.336834861500714</v>
      </c>
      <c r="AW28" s="23">
        <f>EXP(-LN(2)/2)*AW27+(1-EXP(-LN(2)/2))/(LN(2)/2)*AQ28*AT28*VLOOKUP('Données projet'!$B$10,Paramètres!$A$1:$I$89,3,0)*0.475*44/12</f>
        <v>25.41694183827493</v>
      </c>
      <c r="AX28" s="23">
        <f t="shared" si="6"/>
        <v>37.753776699775642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93.194400000000002</v>
      </c>
      <c r="BF28" s="14">
        <f t="shared" si="37"/>
        <v>25.33406653691528</v>
      </c>
      <c r="BG28" s="22">
        <f t="shared" si="7"/>
        <v>206.43707921846078</v>
      </c>
      <c r="BH28" s="62">
        <f t="shared" si="8"/>
        <v>493.65930144068301</v>
      </c>
      <c r="BI28" s="62">
        <f ca="1">AVERAGE(OFFSET($BH$3,0,0,'Données projet'!$E$11+1,1))-AVERAGE(OFFSET($H$3,0,0,'Données projet'!$E$11+1,1))</f>
        <v>438.70522838726322</v>
      </c>
      <c r="BJ28" s="62">
        <f t="shared" si="38"/>
        <v>278.21741231699929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103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103.00000000000001</v>
      </c>
      <c r="BZ28" s="14">
        <f>BY28*VLOOKUP('Données projet'!$B$12,Paramètres!$A$1:$I$89,3,0)*VLOOKUP('Données projet'!$B$12,Paramètres!$A$1:$I$89,5,0)</f>
        <v>99.621600000000015</v>
      </c>
      <c r="CA28" s="14">
        <f t="shared" si="39"/>
        <v>26.871829085032747</v>
      </c>
      <c r="CB28" s="22">
        <f t="shared" si="10"/>
        <v>220.30938898976538</v>
      </c>
      <c r="CC28" s="62">
        <f t="shared" si="11"/>
        <v>507.53161121198764</v>
      </c>
      <c r="CD28" s="62">
        <f ca="1">AVERAGE(OFFSET($CC$3,0,0,'Données projet'!$E$12+1,1))-AVERAGE(OFFSET($H$3,0,0,'Données projet'!$E$12+1,1))</f>
        <v>466.10838191274445</v>
      </c>
      <c r="CE28" s="62">
        <f t="shared" si="40"/>
        <v>294.45557293177131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165</v>
      </c>
      <c r="CR28" s="13">
        <f>VLOOKUP(A28,'Données projet'!$A$139:$I$159,9,0)</f>
        <v>16.8</v>
      </c>
      <c r="CS28" s="13">
        <f t="array" ref="CS28">INDEX(CR:CR,MIN(IF(ISNUMBER(CR28:CR224),ROW(CR28:CR224),"")))</f>
        <v>16.8</v>
      </c>
      <c r="CT28" s="13">
        <f>IF('Données projet'!$A$140&gt;35,CT27+CS28-DB27,IF(A28&lt;'Données projet'!$A$140,$CQ$205^A28,IF(A28='Données projet'!$A$140,'Données projet'!$B$140,CT27+CS28-DB27)))</f>
        <v>165.00000000000003</v>
      </c>
      <c r="CU28" s="18">
        <f>CT28*VLOOKUP('Données projet'!$B$13,Paramètres!$A$1:$I$89,3,0)*VLOOKUP('Données projet'!$B$13,Paramètres!$A$1:$I$89,5,0)</f>
        <v>120.97800000000002</v>
      </c>
      <c r="CV28" s="14">
        <f t="shared" si="41"/>
        <v>31.902993864447531</v>
      </c>
      <c r="CW28" s="22">
        <f t="shared" si="13"/>
        <v>266.26773098057953</v>
      </c>
      <c r="CX28" s="62">
        <f t="shared" si="14"/>
        <v>553.48995320280176</v>
      </c>
      <c r="CY28" s="62">
        <f ca="1">AVERAGE(OFFSET($CX$3,0,0,'Données projet'!$E$13+1,1))-AVERAGE(OFFSET($H$3,0,0,'Données projet'!$E$13+1,1))</f>
        <v>376.5422416541544</v>
      </c>
      <c r="CZ28" s="62">
        <f t="shared" si="42"/>
        <v>365.76175372075869</v>
      </c>
      <c r="DA28" s="16">
        <f>IF(ISNA(VLOOKUP(A28,'Données projet'!$A$139:$I$159,3,0)),0,VLOOKUP(A28,'Données projet'!$A$139:$I$159,3,0))</f>
        <v>4</v>
      </c>
      <c r="DB28" s="16">
        <f>IF(ISNA(VLOOKUP(A28,'Données projet'!$A$139:$I$159,4,0)),0,VLOOKUP(A28,'Données projet'!$A$139:$I$159,4,0))</f>
        <v>42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140</v>
      </c>
      <c r="DM28" s="13">
        <f>VLOOKUP(A28,'Données projet'!$A$165:$I$185,9,0)</f>
        <v>14.8</v>
      </c>
      <c r="DN28" s="13">
        <f t="array" ref="DN28">INDEX(DM:DM,MIN(IF(ISNUMBER(DM28:DM224),ROW(DM28:DM224),"")))</f>
        <v>14.8</v>
      </c>
      <c r="DO28" s="13">
        <f>IF('Données projet'!$A$166&gt;35,DO27+DN28-DW27,IF(A28&lt;'Données projet'!$A$166,$DL$205^A28,IF(A28='Données projet'!$A$166,'Données projet'!$B$166,DO27+DN28-DW27)))</f>
        <v>139.99999999999997</v>
      </c>
      <c r="DP28" s="18">
        <f>DO28*VLOOKUP('Données projet'!$B$14,Paramètres!$A$1:$I$89,3,0)*VLOOKUP('Données projet'!$B$14,Paramètres!$A$1:$I$89,5,0)</f>
        <v>111.38399999999999</v>
      </c>
      <c r="DQ28" s="14">
        <f t="shared" si="43"/>
        <v>29.656828101147433</v>
      </c>
      <c r="DR28" s="22">
        <f t="shared" si="16"/>
        <v>245.64610894283177</v>
      </c>
      <c r="DS28" s="62">
        <f t="shared" si="17"/>
        <v>532.86833116505397</v>
      </c>
      <c r="DT28" s="62">
        <f ca="1">AVERAGE(OFFSET($DS$3,0,0,'Données projet'!$E$14+1,1))-AVERAGE(OFFSET($H$3,0,0,'Données projet'!$E$14+1,1))</f>
        <v>352.5736659365665</v>
      </c>
      <c r="DU28" s="62">
        <f t="shared" si="44"/>
        <v>343.77208530767069</v>
      </c>
      <c r="DV28" s="16">
        <f>IF(ISNA(VLOOKUP(A28,'Données projet'!$A$165:$I$185,3,0)),0,VLOOKUP(A28,'Données projet'!$A$165:$I$185,3,0))</f>
        <v>4</v>
      </c>
      <c r="DW28" s="16">
        <f>IF(ISNA(VLOOKUP(A28,'Données projet'!$A$165:$I$185,4,0)),0,VLOOKUP(A28,'Données projet'!$A$165:$I$185,4,0))</f>
        <v>35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259</v>
      </c>
      <c r="EH28" s="13">
        <f>VLOOKUP(A28,'Données projet'!$A$191:$I$211,9,0)</f>
        <v>13</v>
      </c>
      <c r="EI28" s="13">
        <f t="array" ref="EI28">INDEX(EH:EH,MIN(IF(ISNUMBER(EH28:EH224),ROW(EH28:EH224),"")))</f>
        <v>13</v>
      </c>
      <c r="EJ28" s="13">
        <f>IF('Données projet'!$A$192&gt;35,EJ27+EI28-ER27,IF(A28&lt;'Données projet'!$A$192,$EG$205^A28,IF(A28='Données projet'!$A$192,'Données projet'!$B$192,EJ27+EI28-ER27)))</f>
        <v>259</v>
      </c>
      <c r="EK28" s="18">
        <f>EJ28*VLOOKUP('Données projet'!$B$15,Paramètres!$A$1:$I$89,3,0)*VLOOKUP('Données projet'!$B$15,Paramètres!$A$1:$I$89,5,0)</f>
        <v>234.3432</v>
      </c>
      <c r="EL28" s="14">
        <f t="shared" si="45"/>
        <v>57.220758006491664</v>
      </c>
      <c r="EM28" s="22">
        <f t="shared" si="19"/>
        <v>507.80722686130622</v>
      </c>
      <c r="EN28" s="62">
        <f t="shared" si="20"/>
        <v>795.02944908352845</v>
      </c>
      <c r="EO28" s="62">
        <f ca="1">AVERAGE(OFFSET($EN$3,0,0,'Données projet'!$E$15+1,1))-AVERAGE(OFFSET($H$3,0,0,'Données projet'!$E$15+1,1))</f>
        <v>436.23918637269577</v>
      </c>
      <c r="EP28" s="62">
        <f t="shared" si="46"/>
        <v>611.43967996341894</v>
      </c>
      <c r="EQ28" s="16">
        <f>IF(ISNA(VLOOKUP(A28,'Données projet'!$A$191:$I$211,3,0)),0,VLOOKUP(A28,'Données projet'!$A$191:$I$211,3,0))</f>
        <v>5</v>
      </c>
      <c r="ER28" s="16">
        <f>IF(ISNA(VLOOKUP(A28,'Données projet'!$A$191:$I$211,4,0)),0,VLOOKUP(A28,'Données projet'!$A$191:$I$211,4,0))</f>
        <v>18</v>
      </c>
      <c r="ES28" s="17">
        <f>IF(ISNA(VLOOKUP(A28,'Données projet'!$A$191:$I$211,5,0)),0%,VLOOKUP(A28,'Données projet'!$A$191:$I$211,5,0)*VLOOKUP('Données projet'!$B$15,Paramètres!$A$1:$I$89,7,0))</f>
        <v>0.09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2.8705575836978823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2.8705575836978823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163</v>
      </c>
      <c r="FC28" s="13">
        <f>VLOOKUP(A28,'Données projet'!$A$217:$I$237,9,0)</f>
        <v>13.8</v>
      </c>
      <c r="FD28" s="13">
        <f t="array" ref="FD28">INDEX(FC:FC,MIN(IF(ISNUMBER(FC28:FC224),ROW(FC28:FC224),"")))</f>
        <v>13.8</v>
      </c>
      <c r="FE28" s="13">
        <f>IF('Données projet'!$A$218&gt;35,FE27+FD28-FM27,IF(A28&lt;'Données projet'!$A$218,$FB$205^A28,IF(A28='Données projet'!$A$218,'Données projet'!$B$218,FE27+FD28-FM27)))</f>
        <v>163.00000000000003</v>
      </c>
      <c r="FF28" s="18">
        <f>FE28*VLOOKUP('Données projet'!$B$16,Paramètres!$A$1:$I$89,3,0)*VLOOKUP('Données projet'!$B$16,Paramètres!$A$1:$I$89,5,0)</f>
        <v>142.39680000000004</v>
      </c>
      <c r="FG28" s="14">
        <f t="shared" si="47"/>
        <v>36.845535084476985</v>
      </c>
      <c r="FH28" s="22">
        <f t="shared" si="22"/>
        <v>312.18040027213078</v>
      </c>
      <c r="FI28" s="62">
        <f t="shared" si="23"/>
        <v>599.40262249435295</v>
      </c>
      <c r="FJ28" s="62">
        <f ca="1">AVERAGE(OFFSET($FI$3,0,0,'Données projet'!$E$16+1,1))-AVERAGE(OFFSET($H$3,0,0,'Données projet'!$E$16+1,1))</f>
        <v>321.23599968992932</v>
      </c>
      <c r="FK28" s="62">
        <f t="shared" si="48"/>
        <v>388.05195847800502</v>
      </c>
      <c r="FL28" s="16">
        <f>IF(ISNA(VLOOKUP(A28,'Données projet'!$A$217:$I$237,3,0)),0,VLOOKUP(A28,'Données projet'!$A$217:$I$237,3,0))</f>
        <v>3</v>
      </c>
      <c r="FM28" s="16">
        <f>IF(ISNA(VLOOKUP(A28,'Données projet'!$A$217:$I$237,4,0)),0,VLOOKUP(A28,'Données projet'!$A$217:$I$237,4,0))</f>
        <v>44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21.612857142857145</v>
      </c>
      <c r="N29" s="14">
        <f>IF('Données projet'!$A$36&gt;35,N28+M29-V28,IF(A29&lt;'Données projet'!$A$36,$K$205^A29,IF(A29='Données projet'!$A$36,'Données projet'!$B$36,N28+M29-V28)))</f>
        <v>238.63428571428574</v>
      </c>
      <c r="O29" s="14">
        <f>N29*VLOOKUP('Données projet'!$B$9,Paramètres!$A$1:$I$89,3,0)*VLOOKUP('Données projet'!$B$9,Paramètres!$A$1:$I$89,5,0)</f>
        <v>133.39656571428571</v>
      </c>
      <c r="P29" s="14">
        <f t="shared" si="33"/>
        <v>34.780023938654864</v>
      </c>
      <c r="Q29" s="22">
        <f t="shared" si="2"/>
        <v>292.90756031220479</v>
      </c>
      <c r="R29" s="62">
        <f t="shared" si="0"/>
        <v>581.35200475664919</v>
      </c>
      <c r="S29" s="62">
        <f ca="1">AVERAGE(OFFSET($R$3,0,0,'Données projet'!$E$9+1,1))-AVERAGE(OFFSET($H$3,0,0,'Données projet'!$E$9+1,1))</f>
        <v>389.06620927245814</v>
      </c>
      <c r="T29" s="62">
        <f t="shared" si="34"/>
        <v>356.08144160383193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11.419617081800205</v>
      </c>
      <c r="AB29" s="23">
        <f>EXP(-LN(2)/2)*AB28+(1-EXP(-LN(2)/2))/(LN(2)/2)*V29*Y29*VLOOKUP('Données projet'!$B$9,Paramètres!$A$1:$I$89,3,0)*0.475*44/12</f>
        <v>3.6127707405117184</v>
      </c>
      <c r="AC29" s="24">
        <f t="shared" si="3"/>
        <v>15.032387822311923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17.8</v>
      </c>
      <c r="AI29" s="14">
        <f>IF('Données projet'!$A$62&gt;35,AI28+AH29-AQ28,IF(A29&lt;'Données projet'!$A$62,$AF$205^A29,IF(A29='Données projet'!$A$62,'Données projet'!$B$62,AI28+AH29-AQ28)))</f>
        <v>255.8</v>
      </c>
      <c r="AJ29" s="14">
        <f>AI29*VLOOKUP('Données projet'!$B$10,Paramètres!$A$1:$I$89,3,0)*VLOOKUP('Données projet'!$B$10,Paramètres!$A$1:$I$89,5,0)</f>
        <v>139.66680000000002</v>
      </c>
      <c r="AK29" s="14">
        <f t="shared" si="35"/>
        <v>36.22066347145411</v>
      </c>
      <c r="AL29" s="22">
        <f t="shared" si="4"/>
        <v>306.3373322127826</v>
      </c>
      <c r="AM29" s="62">
        <f t="shared" si="5"/>
        <v>594.78177665722706</v>
      </c>
      <c r="AN29" s="62">
        <f ca="1">AVERAGE(OFFSET($AM$3,0,0,'Données projet'!$E$10+1,1))-AVERAGE(OFFSET($H$3,0,0,'Données projet'!$E$10+1,1))</f>
        <v>293.73480285950245</v>
      </c>
      <c r="AO29" s="62">
        <f t="shared" si="36"/>
        <v>425.99823184414191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11.999483463447028</v>
      </c>
      <c r="AW29" s="23">
        <f>EXP(-LN(2)/2)*AW28+(1-EXP(-LN(2)/2))/(LN(2)/2)*AQ29*AT29*VLOOKUP('Données projet'!$B$10,Paramètres!$A$1:$I$89,3,0)*0.475*44/12</f>
        <v>17.972491930868276</v>
      </c>
      <c r="AX29" s="23">
        <f t="shared" si="6"/>
        <v>29.971975394315304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76.184160000000006</v>
      </c>
      <c r="BF29" s="14">
        <f t="shared" si="37"/>
        <v>21.201554232857223</v>
      </c>
      <c r="BG29" s="22">
        <f t="shared" si="7"/>
        <v>169.613452288893</v>
      </c>
      <c r="BH29" s="62">
        <f t="shared" si="8"/>
        <v>458.05789673333743</v>
      </c>
      <c r="BI29" s="62">
        <f ca="1">AVERAGE(OFFSET($BH$3,0,0,'Données projet'!$E$11+1,1))-AVERAGE(OFFSET($H$3,0,0,'Données projet'!$E$11+1,1))</f>
        <v>438.70522838726322</v>
      </c>
      <c r="BJ29" s="62">
        <f t="shared" si="38"/>
        <v>278.21741231699929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81.438240000000022</v>
      </c>
      <c r="CA29" s="14">
        <f t="shared" si="39"/>
        <v>22.488475778344696</v>
      </c>
      <c r="CB29" s="22">
        <f t="shared" si="10"/>
        <v>181.00569664728371</v>
      </c>
      <c r="CC29" s="62">
        <f t="shared" si="11"/>
        <v>469.45014109172814</v>
      </c>
      <c r="CD29" s="62">
        <f ca="1">AVERAGE(OFFSET($CC$3,0,0,'Données projet'!$E$12+1,1))-AVERAGE(OFFSET($H$3,0,0,'Données projet'!$E$12+1,1))</f>
        <v>466.10838191274445</v>
      </c>
      <c r="CE29" s="62">
        <f t="shared" si="40"/>
        <v>294.45557293177131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16.399999999999999</v>
      </c>
      <c r="CT29" s="13">
        <f>IF('Données projet'!$A$140&gt;35,CT28+CS29-DB28,IF(A29&lt;'Données projet'!$A$140,$CQ$205^A29,IF(A29='Données projet'!$A$140,'Données projet'!$B$140,CT28+CS29-DB28)))</f>
        <v>139.40000000000003</v>
      </c>
      <c r="CU29" s="18">
        <f>CT29*VLOOKUP('Données projet'!$B$13,Paramètres!$A$1:$I$89,3,0)*VLOOKUP('Données projet'!$B$13,Paramètres!$A$1:$I$89,5,0)</f>
        <v>102.20808000000002</v>
      </c>
      <c r="CV29" s="14">
        <f t="shared" si="41"/>
        <v>27.487371629246301</v>
      </c>
      <c r="CW29" s="22">
        <f t="shared" si="13"/>
        <v>225.88624492093732</v>
      </c>
      <c r="CX29" s="62">
        <f t="shared" si="14"/>
        <v>514.33068936538177</v>
      </c>
      <c r="CY29" s="62">
        <f ca="1">AVERAGE(OFFSET($CX$3,0,0,'Données projet'!$E$13+1,1))-AVERAGE(OFFSET($H$3,0,0,'Données projet'!$E$13+1,1))</f>
        <v>376.5422416541544</v>
      </c>
      <c r="CZ29" s="62">
        <f t="shared" si="42"/>
        <v>365.76175372075869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14.2</v>
      </c>
      <c r="DO29" s="13">
        <f>IF('Données projet'!$A$166&gt;35,DO28+DN29-DW28,IF(A29&lt;'Données projet'!$A$166,$DL$205^A29,IF(A29='Données projet'!$A$166,'Données projet'!$B$166,DO28+DN29-DW28)))</f>
        <v>119.19999999999996</v>
      </c>
      <c r="DP29" s="18">
        <f>DO29*VLOOKUP('Données projet'!$B$14,Paramètres!$A$1:$I$89,3,0)*VLOOKUP('Données projet'!$B$14,Paramètres!$A$1:$I$89,5,0)</f>
        <v>94.835519999999974</v>
      </c>
      <c r="DQ29" s="14">
        <f t="shared" si="43"/>
        <v>25.727860178949104</v>
      </c>
      <c r="DR29" s="22">
        <f t="shared" si="16"/>
        <v>209.98122047833627</v>
      </c>
      <c r="DS29" s="62">
        <f t="shared" si="17"/>
        <v>498.4256649227807</v>
      </c>
      <c r="DT29" s="62">
        <f ca="1">AVERAGE(OFFSET($DS$3,0,0,'Données projet'!$E$14+1,1))-AVERAGE(OFFSET($H$3,0,0,'Données projet'!$E$14+1,1))</f>
        <v>352.5736659365665</v>
      </c>
      <c r="DU29" s="62">
        <f t="shared" si="44"/>
        <v>343.77208530767069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10.6</v>
      </c>
      <c r="EJ29" s="13">
        <f>IF('Données projet'!$A$192&gt;35,EJ28+EI29-ER28,IF(A29&lt;'Données projet'!$A$192,$EG$205^A29,IF(A29='Données projet'!$A$192,'Données projet'!$B$192,EJ28+EI29-ER28)))</f>
        <v>251.60000000000002</v>
      </c>
      <c r="EK29" s="18">
        <f>EJ29*VLOOKUP('Données projet'!$B$15,Paramètres!$A$1:$I$89,3,0)*VLOOKUP('Données projet'!$B$15,Paramètres!$A$1:$I$89,5,0)</f>
        <v>227.64768000000001</v>
      </c>
      <c r="EL29" s="14">
        <f t="shared" si="45"/>
        <v>55.773751036838362</v>
      </c>
      <c r="EM29" s="22">
        <f t="shared" si="19"/>
        <v>493.62565905582687</v>
      </c>
      <c r="EN29" s="62">
        <f t="shared" si="20"/>
        <v>782.07010350027133</v>
      </c>
      <c r="EO29" s="62">
        <f ca="1">AVERAGE(OFFSET($EN$3,0,0,'Données projet'!$E$15+1,1))-AVERAGE(OFFSET($H$3,0,0,'Données projet'!$E$15+1,1))</f>
        <v>436.23918637269577</v>
      </c>
      <c r="EP29" s="62">
        <f t="shared" si="46"/>
        <v>611.43967996341894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2.8142677003488092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2.8142677003488092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13</v>
      </c>
      <c r="FE29" s="13">
        <f>IF('Données projet'!$A$218&gt;35,FE28+FD29-FM28,IF(A29&lt;'Données projet'!$A$218,$FB$205^A29,IF(A29='Données projet'!$A$218,'Données projet'!$B$218,FE28+FD29-FM28)))</f>
        <v>132.00000000000003</v>
      </c>
      <c r="FF29" s="18">
        <f>FE29*VLOOKUP('Données projet'!$B$16,Paramètres!$A$1:$I$89,3,0)*VLOOKUP('Données projet'!$B$16,Paramètres!$A$1:$I$89,5,0)</f>
        <v>115.31520000000003</v>
      </c>
      <c r="FG29" s="14">
        <f t="shared" si="47"/>
        <v>30.579827148797317</v>
      </c>
      <c r="FH29" s="22">
        <f t="shared" si="22"/>
        <v>254.10050561748869</v>
      </c>
      <c r="FI29" s="62">
        <f t="shared" si="23"/>
        <v>542.54495006193315</v>
      </c>
      <c r="FJ29" s="62">
        <f ca="1">AVERAGE(OFFSET($FI$3,0,0,'Données projet'!$E$16+1,1))-AVERAGE(OFFSET($H$3,0,0,'Données projet'!$E$16+1,1))</f>
        <v>321.23599968992932</v>
      </c>
      <c r="FK29" s="62">
        <f t="shared" si="48"/>
        <v>388.05195847800502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21.612857142857145</v>
      </c>
      <c r="N30" s="14">
        <f>IF('Données projet'!$A$36&gt;35,N29+M30-V29,IF(A30&lt;'Données projet'!$A$36,$K$205^A30,IF(A30='Données projet'!$A$36,'Données projet'!$B$36,N29+M30-V29)))</f>
        <v>260.24714285714288</v>
      </c>
      <c r="O30" s="14">
        <f>N30*VLOOKUP('Données projet'!$B$9,Paramètres!$A$1:$I$89,3,0)*VLOOKUP('Données projet'!$B$9,Paramètres!$A$1:$I$89,5,0)</f>
        <v>145.47815285714287</v>
      </c>
      <c r="P30" s="14">
        <f t="shared" si="33"/>
        <v>37.54915616665005</v>
      </c>
      <c r="Q30" s="22">
        <f t="shared" si="2"/>
        <v>318.77256321643932</v>
      </c>
      <c r="R30" s="62">
        <f t="shared" si="0"/>
        <v>608.43922988310601</v>
      </c>
      <c r="S30" s="62">
        <f ca="1">AVERAGE(OFFSET($R$3,0,0,'Données projet'!$E$9+1,1))-AVERAGE(OFFSET($H$3,0,0,'Données projet'!$E$9+1,1))</f>
        <v>389.06620927245814</v>
      </c>
      <c r="T30" s="62">
        <f t="shared" si="34"/>
        <v>356.08144160383193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11.107347052166816</v>
      </c>
      <c r="AB30" s="23">
        <f>EXP(-LN(2)/2)*AB29+(1-EXP(-LN(2)/2))/(LN(2)/2)*V30*Y30*VLOOKUP('Données projet'!$B$9,Paramètres!$A$1:$I$89,3,0)*0.475*44/12</f>
        <v>2.5546146894881812</v>
      </c>
      <c r="AC30" s="24">
        <f t="shared" si="3"/>
        <v>13.661961741654997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17.8</v>
      </c>
      <c r="AI30" s="14">
        <f>IF('Données projet'!$A$62&gt;35,AI29+AH30-AQ29,IF(A30&lt;'Données projet'!$A$62,$AF$205^A30,IF(A30='Données projet'!$A$62,'Données projet'!$B$62,AI29+AH30-AQ29)))</f>
        <v>273.60000000000002</v>
      </c>
      <c r="AJ30" s="14">
        <f>AI30*VLOOKUP('Données projet'!$B$10,Paramètres!$A$1:$I$89,3,0)*VLOOKUP('Données projet'!$B$10,Paramètres!$A$1:$I$89,5,0)</f>
        <v>149.38560000000001</v>
      </c>
      <c r="AK30" s="14">
        <f t="shared" si="35"/>
        <v>38.438927680599591</v>
      </c>
      <c r="AL30" s="22">
        <f t="shared" si="4"/>
        <v>327.12771904371101</v>
      </c>
      <c r="AM30" s="62">
        <f t="shared" si="5"/>
        <v>616.7943857103777</v>
      </c>
      <c r="AN30" s="62">
        <f ca="1">AVERAGE(OFFSET($AM$3,0,0,'Données projet'!$E$10+1,1))-AVERAGE(OFFSET($H$3,0,0,'Données projet'!$E$10+1,1))</f>
        <v>293.73480285950245</v>
      </c>
      <c r="AO30" s="62">
        <f t="shared" si="36"/>
        <v>425.99823184414191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11.671356957113659</v>
      </c>
      <c r="AW30" s="23">
        <f>EXP(-LN(2)/2)*AW29+(1-EXP(-LN(2)/2))/(LN(2)/2)*AQ30*AT30*VLOOKUP('Données projet'!$B$10,Paramètres!$A$1:$I$89,3,0)*0.475*44/12</f>
        <v>12.708470919137467</v>
      </c>
      <c r="AX30" s="23">
        <f t="shared" si="6"/>
        <v>24.379827876251127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84.508320000000026</v>
      </c>
      <c r="BF30" s="14">
        <f t="shared" si="37"/>
        <v>23.235950088324714</v>
      </c>
      <c r="BG30" s="22">
        <f t="shared" si="7"/>
        <v>187.65460373716556</v>
      </c>
      <c r="BH30" s="62">
        <f t="shared" si="8"/>
        <v>477.32127040383227</v>
      </c>
      <c r="BI30" s="62">
        <f ca="1">AVERAGE(OFFSET($BH$3,0,0,'Données projet'!$E$11+1,1))-AVERAGE(OFFSET($H$3,0,0,'Données projet'!$E$11+1,1))</f>
        <v>438.70522838726322</v>
      </c>
      <c r="BJ30" s="62">
        <f t="shared" si="38"/>
        <v>278.21741231699929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90.336480000000023</v>
      </c>
      <c r="CA30" s="14">
        <f t="shared" si="39"/>
        <v>24.646358234355564</v>
      </c>
      <c r="CB30" s="22">
        <f t="shared" si="10"/>
        <v>200.26177659150264</v>
      </c>
      <c r="CC30" s="62">
        <f t="shared" si="11"/>
        <v>489.9284432581693</v>
      </c>
      <c r="CD30" s="62">
        <f ca="1">AVERAGE(OFFSET($CC$3,0,0,'Données projet'!$E$12+1,1))-AVERAGE(OFFSET($H$3,0,0,'Données projet'!$E$12+1,1))</f>
        <v>466.10838191274445</v>
      </c>
      <c r="CE30" s="62">
        <f t="shared" si="40"/>
        <v>294.45557293177131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16.399999999999999</v>
      </c>
      <c r="CT30" s="13">
        <f>IF('Données projet'!$A$140&gt;35,CT29+CS30-DB29,IF(A30&lt;'Données projet'!$A$140,$CQ$205^A30,IF(A30='Données projet'!$A$140,'Données projet'!$B$140,CT29+CS30-DB29)))</f>
        <v>155.80000000000004</v>
      </c>
      <c r="CU30" s="18">
        <f>CT30*VLOOKUP('Données projet'!$B$13,Paramètres!$A$1:$I$89,3,0)*VLOOKUP('Données projet'!$B$13,Paramètres!$A$1:$I$89,5,0)</f>
        <v>114.23256000000002</v>
      </c>
      <c r="CV30" s="14">
        <f t="shared" si="41"/>
        <v>30.326006869580301</v>
      </c>
      <c r="CW30" s="22">
        <f t="shared" si="13"/>
        <v>251.77283729785236</v>
      </c>
      <c r="CX30" s="62">
        <f t="shared" si="14"/>
        <v>541.43950396451908</v>
      </c>
      <c r="CY30" s="62">
        <f ca="1">AVERAGE(OFFSET($CX$3,0,0,'Données projet'!$E$13+1,1))-AVERAGE(OFFSET($H$3,0,0,'Données projet'!$E$13+1,1))</f>
        <v>376.5422416541544</v>
      </c>
      <c r="CZ30" s="62">
        <f t="shared" si="42"/>
        <v>365.76175372075869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14.2</v>
      </c>
      <c r="DO30" s="13">
        <f>IF('Données projet'!$A$166&gt;35,DO29+DN30-DW29,IF(A30&lt;'Données projet'!$A$166,$DL$205^A30,IF(A30='Données projet'!$A$166,'Données projet'!$B$166,DO29+DN30-DW29)))</f>
        <v>133.39999999999995</v>
      </c>
      <c r="DP30" s="18">
        <f>DO30*VLOOKUP('Données projet'!$B$14,Paramètres!$A$1:$I$89,3,0)*VLOOKUP('Données projet'!$B$14,Paramètres!$A$1:$I$89,5,0)</f>
        <v>106.13303999999997</v>
      </c>
      <c r="DQ30" s="14">
        <f t="shared" si="43"/>
        <v>28.418009728368016</v>
      </c>
      <c r="DR30" s="22">
        <f t="shared" si="16"/>
        <v>234.34307827690756</v>
      </c>
      <c r="DS30" s="62">
        <f t="shared" si="17"/>
        <v>524.00974494357422</v>
      </c>
      <c r="DT30" s="62">
        <f ca="1">AVERAGE(OFFSET($DS$3,0,0,'Données projet'!$E$14+1,1))-AVERAGE(OFFSET($H$3,0,0,'Données projet'!$E$14+1,1))</f>
        <v>352.5736659365665</v>
      </c>
      <c r="DU30" s="62">
        <f t="shared" si="44"/>
        <v>343.77208530767069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10.6</v>
      </c>
      <c r="EJ30" s="13">
        <f>IF('Données projet'!$A$192&gt;35,EJ29+EI30-ER29,IF(A30&lt;'Données projet'!$A$192,$EG$205^A30,IF(A30='Données projet'!$A$192,'Données projet'!$B$192,EJ29+EI30-ER29)))</f>
        <v>262.20000000000005</v>
      </c>
      <c r="EK30" s="18">
        <f>EJ30*VLOOKUP('Données projet'!$B$15,Paramètres!$A$1:$I$89,3,0)*VLOOKUP('Données projet'!$B$15,Paramètres!$A$1:$I$89,5,0)</f>
        <v>237.23856000000004</v>
      </c>
      <c r="EL30" s="14">
        <f t="shared" si="45"/>
        <v>57.84499363660688</v>
      </c>
      <c r="EM30" s="22">
        <f t="shared" si="19"/>
        <v>513.93718925042367</v>
      </c>
      <c r="EN30" s="62">
        <f t="shared" si="20"/>
        <v>803.60385591709041</v>
      </c>
      <c r="EO30" s="62">
        <f ca="1">AVERAGE(OFFSET($EN$3,0,0,'Données projet'!$E$15+1,1))-AVERAGE(OFFSET($H$3,0,0,'Données projet'!$E$15+1,1))</f>
        <v>436.23918637269577</v>
      </c>
      <c r="EP30" s="62">
        <f t="shared" si="46"/>
        <v>611.43967996341894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2.7590816272787726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2.7590816272787726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13</v>
      </c>
      <c r="FE30" s="13">
        <f>IF('Données projet'!$A$218&gt;35,FE29+FD30-FM29,IF(A30&lt;'Données projet'!$A$218,$FB$205^A30,IF(A30='Données projet'!$A$218,'Données projet'!$B$218,FE29+FD30-FM29)))</f>
        <v>145.00000000000003</v>
      </c>
      <c r="FF30" s="18">
        <f>FE30*VLOOKUP('Données projet'!$B$16,Paramètres!$A$1:$I$89,3,0)*VLOOKUP('Données projet'!$B$16,Paramètres!$A$1:$I$89,5,0)</f>
        <v>126.67200000000003</v>
      </c>
      <c r="FG30" s="14">
        <f t="shared" si="47"/>
        <v>33.226199426361347</v>
      </c>
      <c r="FH30" s="22">
        <f t="shared" si="22"/>
        <v>278.48936400091276</v>
      </c>
      <c r="FI30" s="62">
        <f t="shared" si="23"/>
        <v>568.15603066757944</v>
      </c>
      <c r="FJ30" s="62">
        <f ca="1">AVERAGE(OFFSET($FI$3,0,0,'Données projet'!$E$16+1,1))-AVERAGE(OFFSET($H$3,0,0,'Données projet'!$E$16+1,1))</f>
        <v>321.23599968992932</v>
      </c>
      <c r="FK30" s="62">
        <f t="shared" si="48"/>
        <v>388.05195847800502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>
        <f>VLOOKUP(A31,'Données projet'!$A$35:$I$55,2,0)</f>
        <v>281.86</v>
      </c>
      <c r="L31" s="13">
        <f>VLOOKUP(A31,'Données projet'!$A$35:$I$55,9,0)</f>
        <v>21.612857142857145</v>
      </c>
      <c r="M31" s="13">
        <f t="array" ref="M31">INDEX(L:L,MIN(IF(ISNUMBER(L31:L227),ROW(L31:L227),"")))</f>
        <v>21.612857142857145</v>
      </c>
      <c r="N31" s="14">
        <f>IF('Données projet'!$A$36&gt;35,N30+M31-V30,IF(A31&lt;'Données projet'!$A$36,$K$205^A31,IF(A31='Données projet'!$A$36,'Données projet'!$B$36,N30+M31-V30)))</f>
        <v>281.86</v>
      </c>
      <c r="O31" s="14">
        <f>N31*VLOOKUP('Données projet'!$B$9,Paramètres!$A$1:$I$89,3,0)*VLOOKUP('Données projet'!$B$9,Paramètres!$A$1:$I$89,5,0)</f>
        <v>157.55974000000001</v>
      </c>
      <c r="P31" s="14">
        <f t="shared" si="33"/>
        <v>40.291616590408985</v>
      </c>
      <c r="Q31" s="22">
        <f t="shared" si="2"/>
        <v>344.59111272829563</v>
      </c>
      <c r="R31" s="62">
        <f t="shared" si="0"/>
        <v>635.48000161718448</v>
      </c>
      <c r="S31" s="62">
        <f ca="1">AVERAGE(OFFSET($R$3,0,0,'Données projet'!$E$9+1,1))-AVERAGE(OFFSET($H$3,0,0,'Données projet'!$E$9+1,1))</f>
        <v>389.06620927245814</v>
      </c>
      <c r="T31" s="62">
        <f t="shared" si="34"/>
        <v>356.08144160383193</v>
      </c>
      <c r="U31" s="16">
        <f>IF(ISNA(VLOOKUP(A31,'Données projet'!$A$35:$I$55,3,0)),0,VLOOKUP(A31,'Données projet'!$A$35:$I$55,3,0))</f>
        <v>3</v>
      </c>
      <c r="V31" s="16">
        <f>IF(ISNA(VLOOKUP(A31,'Données projet'!$A$35:$I$55,4,0)),0,VLOOKUP(A31,'Données projet'!$A$35:$I$55,4,0))</f>
        <v>67.61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0.44000000000000006</v>
      </c>
      <c r="Y31" s="17">
        <f>IF(ISNA(VLOOKUP(A31,'Données projet'!$A$35:$I$55,7,0)),0%,VLOOKUP(A31,'Données projet'!$A$35:$I$55,7,0))</f>
        <v>0.2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32.776669839490538</v>
      </c>
      <c r="AB31" s="23">
        <f>EXP(-LN(2)/2)*AB30+(1-EXP(-LN(2)/2))/(LN(2)/2)*V31*Y31*VLOOKUP('Données projet'!$B$9,Paramètres!$A$1:$I$89,3,0)*0.475*44/12</f>
        <v>10.364700596334316</v>
      </c>
      <c r="AC31" s="24">
        <f t="shared" si="3"/>
        <v>43.141370435824854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17.8</v>
      </c>
      <c r="AI31" s="14">
        <f>IF('Données projet'!$A$62&gt;35,AI30+AH31-AQ30,IF(A31&lt;'Données projet'!$A$62,$AF$205^A31,IF(A31='Données projet'!$A$62,'Données projet'!$B$62,AI30+AH31-AQ30)))</f>
        <v>291.40000000000003</v>
      </c>
      <c r="AJ31" s="14">
        <f>AI31*VLOOKUP('Données projet'!$B$10,Paramètres!$A$1:$I$89,3,0)*VLOOKUP('Données projet'!$B$10,Paramètres!$A$1:$I$89,5,0)</f>
        <v>159.1044</v>
      </c>
      <c r="AK31" s="14">
        <f t="shared" si="35"/>
        <v>40.640444381186896</v>
      </c>
      <c r="AL31" s="22">
        <f t="shared" si="4"/>
        <v>347.88893729723378</v>
      </c>
      <c r="AM31" s="62">
        <f t="shared" si="5"/>
        <v>638.77782618612264</v>
      </c>
      <c r="AN31" s="62">
        <f ca="1">AVERAGE(OFFSET($AM$3,0,0,'Données projet'!$E$10+1,1))-AVERAGE(OFFSET($H$3,0,0,'Données projet'!$E$10+1,1))</f>
        <v>293.73480285950245</v>
      </c>
      <c r="AO31" s="62">
        <f t="shared" si="36"/>
        <v>425.99823184414191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11.352203087351398</v>
      </c>
      <c r="AW31" s="23">
        <f>EXP(-LN(2)/2)*AW30+(1-EXP(-LN(2)/2))/(LN(2)/2)*AQ31*AT31*VLOOKUP('Données projet'!$B$10,Paramètres!$A$1:$I$89,3,0)*0.475*44/12</f>
        <v>8.98624596543414</v>
      </c>
      <c r="AX31" s="23">
        <f t="shared" si="6"/>
        <v>20.338449052785538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92.832480000000018</v>
      </c>
      <c r="BF31" s="14">
        <f t="shared" si="37"/>
        <v>25.247114117480137</v>
      </c>
      <c r="BG31" s="22">
        <f t="shared" si="7"/>
        <v>205.65529308794461</v>
      </c>
      <c r="BH31" s="62">
        <f t="shared" si="8"/>
        <v>496.54418197683344</v>
      </c>
      <c r="BI31" s="62">
        <f ca="1">AVERAGE(OFFSET($BH$3,0,0,'Données projet'!$E$11+1,1))-AVERAGE(OFFSET($H$3,0,0,'Données projet'!$E$11+1,1))</f>
        <v>438.70522838726322</v>
      </c>
      <c r="BJ31" s="62">
        <f t="shared" si="38"/>
        <v>278.21741231699929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99.234720000000024</v>
      </c>
      <c r="CA31" s="14">
        <f t="shared" si="39"/>
        <v>26.779598706219044</v>
      </c>
      <c r="CB31" s="22">
        <f t="shared" si="10"/>
        <v>219.47493841333153</v>
      </c>
      <c r="CC31" s="62">
        <f t="shared" si="11"/>
        <v>510.36382730222039</v>
      </c>
      <c r="CD31" s="62">
        <f ca="1">AVERAGE(OFFSET($CC$3,0,0,'Données projet'!$E$12+1,1))-AVERAGE(OFFSET($H$3,0,0,'Données projet'!$E$12+1,1))</f>
        <v>466.10838191274445</v>
      </c>
      <c r="CE31" s="62">
        <f t="shared" si="40"/>
        <v>294.45557293177131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16.399999999999999</v>
      </c>
      <c r="CT31" s="13">
        <f>IF('Données projet'!$A$140&gt;35,CT30+CS31-DB30,IF(A31&lt;'Données projet'!$A$140,$CQ$205^A31,IF(A31='Données projet'!$A$140,'Données projet'!$B$140,CT30+CS31-DB30)))</f>
        <v>172.20000000000005</v>
      </c>
      <c r="CU31" s="18">
        <f>CT31*VLOOKUP('Données projet'!$B$13,Paramètres!$A$1:$I$89,3,0)*VLOOKUP('Données projet'!$B$13,Paramètres!$A$1:$I$89,5,0)</f>
        <v>126.25704000000002</v>
      </c>
      <c r="CV31" s="14">
        <f t="shared" si="41"/>
        <v>33.130006114881255</v>
      </c>
      <c r="CW31" s="22">
        <f t="shared" si="13"/>
        <v>277.59910531675155</v>
      </c>
      <c r="CX31" s="62">
        <f t="shared" si="14"/>
        <v>568.48799420564046</v>
      </c>
      <c r="CY31" s="62">
        <f ca="1">AVERAGE(OFFSET($CX$3,0,0,'Données projet'!$E$13+1,1))-AVERAGE(OFFSET($H$3,0,0,'Données projet'!$E$13+1,1))</f>
        <v>376.5422416541544</v>
      </c>
      <c r="CZ31" s="62">
        <f t="shared" si="42"/>
        <v>365.76175372075869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14.2</v>
      </c>
      <c r="DO31" s="13">
        <f>IF('Données projet'!$A$166&gt;35,DO30+DN31-DW30,IF(A31&lt;'Données projet'!$A$166,$DL$205^A31,IF(A31='Données projet'!$A$166,'Données projet'!$B$166,DO30+DN31-DW30)))</f>
        <v>147.59999999999994</v>
      </c>
      <c r="DP31" s="18">
        <f>DO31*VLOOKUP('Données projet'!$B$14,Paramètres!$A$1:$I$89,3,0)*VLOOKUP('Données projet'!$B$14,Paramètres!$A$1:$I$89,5,0)</f>
        <v>117.43055999999996</v>
      </c>
      <c r="DQ31" s="14">
        <f t="shared" si="43"/>
        <v>31.074966780724086</v>
      </c>
      <c r="DR31" s="22">
        <f t="shared" si="16"/>
        <v>258.64712580976101</v>
      </c>
      <c r="DS31" s="62">
        <f t="shared" si="17"/>
        <v>549.53601469864986</v>
      </c>
      <c r="DT31" s="62">
        <f ca="1">AVERAGE(OFFSET($DS$3,0,0,'Données projet'!$E$14+1,1))-AVERAGE(OFFSET($H$3,0,0,'Données projet'!$E$14+1,1))</f>
        <v>352.5736659365665</v>
      </c>
      <c r="DU31" s="62">
        <f t="shared" si="44"/>
        <v>343.77208530767069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10.6</v>
      </c>
      <c r="EJ31" s="13">
        <f>IF('Données projet'!$A$192&gt;35,EJ30+EI31-ER30,IF(A31&lt;'Données projet'!$A$192,$EG$205^A31,IF(A31='Données projet'!$A$192,'Données projet'!$B$192,EJ30+EI31-ER30)))</f>
        <v>272.80000000000007</v>
      </c>
      <c r="EK31" s="18">
        <f>EJ31*VLOOKUP('Données projet'!$B$15,Paramètres!$A$1:$I$89,3,0)*VLOOKUP('Données projet'!$B$15,Paramètres!$A$1:$I$89,5,0)</f>
        <v>246.82944000000003</v>
      </c>
      <c r="EL31" s="14">
        <f t="shared" si="45"/>
        <v>59.906509645447485</v>
      </c>
      <c r="EM31" s="22">
        <f t="shared" si="19"/>
        <v>534.23177896582104</v>
      </c>
      <c r="EN31" s="62">
        <f t="shared" si="20"/>
        <v>825.12066785470984</v>
      </c>
      <c r="EO31" s="62">
        <f ca="1">AVERAGE(OFFSET($EN$3,0,0,'Données projet'!$E$15+1,1))-AVERAGE(OFFSET($H$3,0,0,'Données projet'!$E$15+1,1))</f>
        <v>436.23918637269577</v>
      </c>
      <c r="EP31" s="62">
        <f t="shared" si="46"/>
        <v>611.43967996341894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2.7049777194414584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2.7049777194414584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13</v>
      </c>
      <c r="FE31" s="13">
        <f>IF('Données projet'!$A$218&gt;35,FE30+FD31-FM30,IF(A31&lt;'Données projet'!$A$218,$FB$205^A31,IF(A31='Données projet'!$A$218,'Données projet'!$B$218,FE30+FD31-FM30)))</f>
        <v>158.00000000000003</v>
      </c>
      <c r="FF31" s="18">
        <f>FE31*VLOOKUP('Données projet'!$B$16,Paramètres!$A$1:$I$89,3,0)*VLOOKUP('Données projet'!$B$16,Paramètres!$A$1:$I$89,5,0)</f>
        <v>138.02880000000005</v>
      </c>
      <c r="FG31" s="14">
        <f t="shared" si="47"/>
        <v>35.845059256813073</v>
      </c>
      <c r="FH31" s="22">
        <f t="shared" si="22"/>
        <v>302.83030487228285</v>
      </c>
      <c r="FI31" s="62">
        <f t="shared" si="23"/>
        <v>593.71919376117171</v>
      </c>
      <c r="FJ31" s="62">
        <f ca="1">AVERAGE(OFFSET($FI$3,0,0,'Données projet'!$E$16+1,1))-AVERAGE(OFFSET($H$3,0,0,'Données projet'!$E$16+1,1))</f>
        <v>321.23599968992932</v>
      </c>
      <c r="FK31" s="62">
        <f t="shared" si="48"/>
        <v>388.05195847800502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23.267142857142858</v>
      </c>
      <c r="N32" s="14">
        <f>IF('Données projet'!$A$36&gt;35,N31+M32-V31,IF(A32&lt;'Données projet'!$A$36,$K$205^A32,IF(A32='Données projet'!$A$36,'Données projet'!$B$36,N31+M32-V31)))</f>
        <v>237.51714285714286</v>
      </c>
      <c r="O32" s="14">
        <f>N32*VLOOKUP('Données projet'!$B$9,Paramètres!$A$1:$I$89,3,0)*VLOOKUP('Données projet'!$B$9,Paramètres!$A$1:$I$89,5,0)</f>
        <v>132.77208285714286</v>
      </c>
      <c r="P32" s="14">
        <f t="shared" si="33"/>
        <v>34.636117583630444</v>
      </c>
      <c r="Q32" s="22">
        <f t="shared" si="2"/>
        <v>291.5692824343468</v>
      </c>
      <c r="R32" s="62">
        <f t="shared" si="0"/>
        <v>583.68039354545795</v>
      </c>
      <c r="S32" s="62">
        <f ca="1">AVERAGE(OFFSET($R$3,0,0,'Données projet'!$E$9+1,1))-AVERAGE(OFFSET($H$3,0,0,'Données projet'!$E$9+1,1))</f>
        <v>389.06620927245814</v>
      </c>
      <c r="T32" s="62">
        <f t="shared" si="34"/>
        <v>356.08144160383193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31.880390079079515</v>
      </c>
      <c r="AB32" s="23">
        <f>EXP(-LN(2)/2)*AB31+(1-EXP(-LN(2)/2))/(LN(2)/2)*V32*Y32*VLOOKUP('Données projet'!$B$9,Paramètres!$A$1:$I$89,3,0)*0.475*44/12</f>
        <v>7.3289500766362483</v>
      </c>
      <c r="AC32" s="24">
        <f t="shared" si="3"/>
        <v>39.209340155715765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17.8</v>
      </c>
      <c r="AI32" s="14">
        <f>IF('Données projet'!$A$62&gt;35,AI31+AH32-AQ31,IF(A32&lt;'Données projet'!$A$62,$AF$205^A32,IF(A32='Données projet'!$A$62,'Données projet'!$B$62,AI31+AH32-AQ31)))</f>
        <v>309.20000000000005</v>
      </c>
      <c r="AJ32" s="14">
        <f>AI32*VLOOKUP('Données projet'!$B$10,Paramètres!$A$1:$I$89,3,0)*VLOOKUP('Données projet'!$B$10,Paramètres!$A$1:$I$89,5,0)</f>
        <v>168.82320000000001</v>
      </c>
      <c r="AK32" s="14">
        <f t="shared" si="35"/>
        <v>42.826353072849329</v>
      </c>
      <c r="AL32" s="22">
        <f t="shared" si="4"/>
        <v>368.62297160187927</v>
      </c>
      <c r="AM32" s="62">
        <f t="shared" si="5"/>
        <v>660.73408271299036</v>
      </c>
      <c r="AN32" s="62">
        <f ca="1">AVERAGE(OFFSET($AM$3,0,0,'Données projet'!$E$10+1,1))-AVERAGE(OFFSET($H$3,0,0,'Données projet'!$E$10+1,1))</f>
        <v>293.73480285950245</v>
      </c>
      <c r="AO32" s="62">
        <f t="shared" si="36"/>
        <v>425.99823184414191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11.04177649694136</v>
      </c>
      <c r="AW32" s="23">
        <f>EXP(-LN(2)/2)*AW31+(1-EXP(-LN(2)/2))/(LN(2)/2)*AQ32*AT32*VLOOKUP('Données projet'!$B$10,Paramètres!$A$1:$I$89,3,0)*0.475*44/12</f>
        <v>6.3542354595687343</v>
      </c>
      <c r="AX32" s="23">
        <f t="shared" si="6"/>
        <v>17.396011956510094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101.15664000000001</v>
      </c>
      <c r="BF32" s="14">
        <f t="shared" si="37"/>
        <v>27.237366379381644</v>
      </c>
      <c r="BG32" s="22">
        <f t="shared" si="7"/>
        <v>223.61956111075639</v>
      </c>
      <c r="BH32" s="62">
        <f t="shared" si="8"/>
        <v>515.73067222186751</v>
      </c>
      <c r="BI32" s="62">
        <f ca="1">AVERAGE(OFFSET($BH$3,0,0,'Données projet'!$E$11+1,1))-AVERAGE(OFFSET($H$3,0,0,'Données projet'!$E$11+1,1))</f>
        <v>438.70522838726322</v>
      </c>
      <c r="BJ32" s="62">
        <f t="shared" si="38"/>
        <v>278.21741231699929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108.13296000000003</v>
      </c>
      <c r="CA32" s="14">
        <f t="shared" si="39"/>
        <v>28.890658079177882</v>
      </c>
      <c r="CB32" s="22">
        <f t="shared" si="10"/>
        <v>238.64946815456821</v>
      </c>
      <c r="CC32" s="62">
        <f t="shared" si="11"/>
        <v>530.76057926567933</v>
      </c>
      <c r="CD32" s="62">
        <f ca="1">AVERAGE(OFFSET($CC$3,0,0,'Données projet'!$E$12+1,1))-AVERAGE(OFFSET($H$3,0,0,'Données projet'!$E$12+1,1))</f>
        <v>466.10838191274445</v>
      </c>
      <c r="CE32" s="62">
        <f t="shared" si="40"/>
        <v>294.45557293177131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16.399999999999999</v>
      </c>
      <c r="CT32" s="13">
        <f>IF('Données projet'!$A$140&gt;35,CT31+CS32-DB31,IF(A32&lt;'Données projet'!$A$140,$CQ$205^A32,IF(A32='Données projet'!$A$140,'Données projet'!$B$140,CT31+CS32-DB31)))</f>
        <v>188.60000000000005</v>
      </c>
      <c r="CU32" s="18">
        <f>CT32*VLOOKUP('Données projet'!$B$13,Paramètres!$A$1:$I$89,3,0)*VLOOKUP('Données projet'!$B$13,Paramètres!$A$1:$I$89,5,0)</f>
        <v>138.28152000000003</v>
      </c>
      <c r="CV32" s="14">
        <f t="shared" si="41"/>
        <v>35.903043322174675</v>
      </c>
      <c r="CW32" s="22">
        <f t="shared" si="13"/>
        <v>303.37144778612094</v>
      </c>
      <c r="CX32" s="62">
        <f t="shared" si="14"/>
        <v>595.48255889723214</v>
      </c>
      <c r="CY32" s="62">
        <f ca="1">AVERAGE(OFFSET($CX$3,0,0,'Données projet'!$E$13+1,1))-AVERAGE(OFFSET($H$3,0,0,'Données projet'!$E$13+1,1))</f>
        <v>376.5422416541544</v>
      </c>
      <c r="CZ32" s="62">
        <f t="shared" si="42"/>
        <v>365.76175372075869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14.2</v>
      </c>
      <c r="DO32" s="13">
        <f>IF('Données projet'!$A$166&gt;35,DO31+DN32-DW31,IF(A32&lt;'Données projet'!$A$166,$DL$205^A32,IF(A32='Données projet'!$A$166,'Données projet'!$B$166,DO31+DN32-DW31)))</f>
        <v>161.79999999999993</v>
      </c>
      <c r="DP32" s="18">
        <f>DO32*VLOOKUP('Données projet'!$B$14,Paramètres!$A$1:$I$89,3,0)*VLOOKUP('Données projet'!$B$14,Paramètres!$A$1:$I$89,5,0)</f>
        <v>128.72807999999995</v>
      </c>
      <c r="DQ32" s="14">
        <f t="shared" si="43"/>
        <v>33.702287995285367</v>
      </c>
      <c r="DR32" s="22">
        <f t="shared" si="16"/>
        <v>282.89955759178855</v>
      </c>
      <c r="DS32" s="62">
        <f t="shared" si="17"/>
        <v>575.01066870289969</v>
      </c>
      <c r="DT32" s="62">
        <f ca="1">AVERAGE(OFFSET($DS$3,0,0,'Données projet'!$E$14+1,1))-AVERAGE(OFFSET($H$3,0,0,'Données projet'!$E$14+1,1))</f>
        <v>352.5736659365665</v>
      </c>
      <c r="DU32" s="62">
        <f t="shared" si="44"/>
        <v>343.77208530767069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10.6</v>
      </c>
      <c r="EJ32" s="13">
        <f>IF('Données projet'!$A$192&gt;35,EJ31+EI32-ER31,IF(A32&lt;'Données projet'!$A$192,$EG$205^A32,IF(A32='Données projet'!$A$192,'Données projet'!$B$192,EJ31+EI32-ER31)))</f>
        <v>283.40000000000009</v>
      </c>
      <c r="EK32" s="18">
        <f>EJ32*VLOOKUP('Données projet'!$B$15,Paramètres!$A$1:$I$89,3,0)*VLOOKUP('Données projet'!$B$15,Paramètres!$A$1:$I$89,5,0)</f>
        <v>256.42032000000006</v>
      </c>
      <c r="EL32" s="14">
        <f t="shared" si="45"/>
        <v>61.958720258016918</v>
      </c>
      <c r="EM32" s="22">
        <f t="shared" si="19"/>
        <v>554.51016178271277</v>
      </c>
      <c r="EN32" s="62">
        <f t="shared" si="20"/>
        <v>846.62127289382397</v>
      </c>
      <c r="EO32" s="62">
        <f ca="1">AVERAGE(OFFSET($EN$3,0,0,'Données projet'!$E$15+1,1))-AVERAGE(OFFSET($H$3,0,0,'Données projet'!$E$15+1,1))</f>
        <v>436.23918637269577</v>
      </c>
      <c r="EP32" s="62">
        <f t="shared" si="46"/>
        <v>611.43967996341894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2.6519347562367086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2.6519347562367086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13</v>
      </c>
      <c r="FE32" s="13">
        <f>IF('Données projet'!$A$218&gt;35,FE31+FD32-FM31,IF(A32&lt;'Données projet'!$A$218,$FB$205^A32,IF(A32='Données projet'!$A$218,'Données projet'!$B$218,FE31+FD32-FM31)))</f>
        <v>171.00000000000003</v>
      </c>
      <c r="FF32" s="18">
        <f>FE32*VLOOKUP('Données projet'!$B$16,Paramètres!$A$1:$I$89,3,0)*VLOOKUP('Données projet'!$B$16,Paramètres!$A$1:$I$89,5,0)</f>
        <v>149.38560000000004</v>
      </c>
      <c r="FG32" s="14">
        <f t="shared" si="47"/>
        <v>38.438927680599591</v>
      </c>
      <c r="FH32" s="22">
        <f t="shared" si="22"/>
        <v>327.12771904371101</v>
      </c>
      <c r="FI32" s="62">
        <f t="shared" si="23"/>
        <v>619.23883015482215</v>
      </c>
      <c r="FJ32" s="62">
        <f ca="1">AVERAGE(OFFSET($FI$3,0,0,'Données projet'!$E$16+1,1))-AVERAGE(OFFSET($H$3,0,0,'Données projet'!$E$16+1,1))</f>
        <v>321.23599968992932</v>
      </c>
      <c r="FK32" s="62">
        <f t="shared" si="48"/>
        <v>388.05195847800502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23.267142857142858</v>
      </c>
      <c r="N33" s="14">
        <f>IF('Données projet'!$A$36&gt;35,N32+M33-V32,IF(A33&lt;'Données projet'!$A$36,$K$205^A33,IF(A33='Données projet'!$A$36,'Données projet'!$B$36,N32+M33-V32)))</f>
        <v>260.78428571428572</v>
      </c>
      <c r="O33" s="14">
        <f>N33*VLOOKUP('Données projet'!$B$9,Paramètres!$A$1:$I$89,3,0)*VLOOKUP('Données projet'!$B$9,Paramètres!$A$1:$I$89,5,0)</f>
        <v>145.7784157142857</v>
      </c>
      <c r="P33" s="14">
        <f t="shared" si="33"/>
        <v>37.617627311837914</v>
      </c>
      <c r="Q33" s="22">
        <f t="shared" si="2"/>
        <v>319.4147749371653</v>
      </c>
      <c r="R33" s="62">
        <f t="shared" si="0"/>
        <v>612.74810827049862</v>
      </c>
      <c r="S33" s="62">
        <f ca="1">AVERAGE(OFFSET($R$3,0,0,'Données projet'!$E$9+1,1))-AVERAGE(OFFSET($H$3,0,0,'Données projet'!$E$9+1,1))</f>
        <v>389.06620927245814</v>
      </c>
      <c r="T33" s="62">
        <f t="shared" si="34"/>
        <v>356.08144160383193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31.008619135850235</v>
      </c>
      <c r="AB33" s="23">
        <f>EXP(-LN(2)/2)*AB32+(1-EXP(-LN(2)/2))/(LN(2)/2)*V33*Y33*VLOOKUP('Données projet'!$B$9,Paramètres!$A$1:$I$89,3,0)*0.475*44/12</f>
        <v>5.182350298167159</v>
      </c>
      <c r="AC33" s="24">
        <f t="shared" si="3"/>
        <v>36.190969434017397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327</v>
      </c>
      <c r="AG33" s="13">
        <f>VLOOKUP(A33,'Données projet'!$A$61:$I$81,9,0)</f>
        <v>17.8</v>
      </c>
      <c r="AH33" s="13">
        <f t="array" ref="AH33">INDEX(AG:AG,MIN(IF(ISNUMBER(AG33:AG229),ROW(AG33:AG229),"")))</f>
        <v>17.8</v>
      </c>
      <c r="AI33" s="14">
        <f>IF('Données projet'!$A$62&gt;35,AI32+AH33-AQ32,IF(A33&lt;'Données projet'!$A$62,$AF$205^A33,IF(A33='Données projet'!$A$62,'Données projet'!$B$62,AI32+AH33-AQ32)))</f>
        <v>327.00000000000006</v>
      </c>
      <c r="AJ33" s="14">
        <f>AI33*VLOOKUP('Données projet'!$B$10,Paramètres!$A$1:$I$89,3,0)*VLOOKUP('Données projet'!$B$10,Paramètres!$A$1:$I$89,5,0)</f>
        <v>178.54200000000006</v>
      </c>
      <c r="AK33" s="14">
        <f t="shared" si="35"/>
        <v>44.997654647354175</v>
      </c>
      <c r="AL33" s="22">
        <f t="shared" si="4"/>
        <v>389.33156517747528</v>
      </c>
      <c r="AM33" s="62">
        <f t="shared" si="5"/>
        <v>682.6648985108086</v>
      </c>
      <c r="AN33" s="62">
        <f ca="1">AVERAGE(OFFSET($AM$3,0,0,'Données projet'!$E$10+1,1))-AVERAGE(OFFSET($H$3,0,0,'Données projet'!$E$10+1,1))</f>
        <v>293.73480285950245</v>
      </c>
      <c r="AO33" s="62">
        <f t="shared" si="36"/>
        <v>425.99823184414191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48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0.3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21.128752105550259</v>
      </c>
      <c r="AW33" s="23">
        <f>EXP(-LN(2)/2)*AW32+(1-EXP(-LN(2)/2))/(LN(2)/2)*AQ33*AT33*VLOOKUP('Données projet'!$B$10,Paramètres!$A$1:$I$89,3,0)*0.475*44/12</f>
        <v>19.329895009503879</v>
      </c>
      <c r="AX33" s="23">
        <f t="shared" si="6"/>
        <v>40.458647115054134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109.48080000000002</v>
      </c>
      <c r="BF33" s="14">
        <f t="shared" si="37"/>
        <v>29.208623339903898</v>
      </c>
      <c r="BG33" s="22">
        <f t="shared" si="7"/>
        <v>241.55074565033269</v>
      </c>
      <c r="BH33" s="62">
        <f t="shared" si="8"/>
        <v>534.88407898366597</v>
      </c>
      <c r="BI33" s="62">
        <f ca="1">AVERAGE(OFFSET($BH$3,0,0,'Données projet'!$E$11+1,1))-AVERAGE(OFFSET($H$3,0,0,'Données projet'!$E$11+1,1))</f>
        <v>438.70522838726322</v>
      </c>
      <c r="BJ33" s="62">
        <f t="shared" si="38"/>
        <v>278.21741231699929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117.03120000000003</v>
      </c>
      <c r="CA33" s="14">
        <f t="shared" si="39"/>
        <v>30.981569147428555</v>
      </c>
      <c r="CB33" s="22">
        <f t="shared" si="10"/>
        <v>257.78890626510474</v>
      </c>
      <c r="CC33" s="62">
        <f t="shared" si="11"/>
        <v>551.122239598438</v>
      </c>
      <c r="CD33" s="62">
        <f ca="1">AVERAGE(OFFSET($CC$3,0,0,'Données projet'!$E$12+1,1))-AVERAGE(OFFSET($H$3,0,0,'Données projet'!$E$12+1,1))</f>
        <v>466.10838191274445</v>
      </c>
      <c r="CE33" s="62">
        <f t="shared" si="40"/>
        <v>294.45557293177131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205</v>
      </c>
      <c r="CR33" s="13">
        <f>VLOOKUP(A33,'Données projet'!$A$139:$I$159,9,0)</f>
        <v>16.399999999999999</v>
      </c>
      <c r="CS33" s="13">
        <f t="array" ref="CS33">INDEX(CR:CR,MIN(IF(ISNUMBER(CR33:CR229),ROW(CR33:CR229),"")))</f>
        <v>16.399999999999999</v>
      </c>
      <c r="CT33" s="13">
        <f>IF('Données projet'!$A$140&gt;35,CT32+CS33-DB32,IF(A33&lt;'Données projet'!$A$140,$CQ$205^A33,IF(A33='Données projet'!$A$140,'Données projet'!$B$140,CT32+CS33-DB32)))</f>
        <v>205.00000000000006</v>
      </c>
      <c r="CU33" s="18">
        <f>CT33*VLOOKUP('Données projet'!$B$13,Paramètres!$A$1:$I$89,3,0)*VLOOKUP('Données projet'!$B$13,Paramètres!$A$1:$I$89,5,0)</f>
        <v>150.30600000000004</v>
      </c>
      <c r="CV33" s="14">
        <f t="shared" si="41"/>
        <v>38.648116968856677</v>
      </c>
      <c r="CW33" s="22">
        <f t="shared" si="13"/>
        <v>329.09508705409212</v>
      </c>
      <c r="CX33" s="62">
        <f t="shared" si="14"/>
        <v>622.42842038742538</v>
      </c>
      <c r="CY33" s="62">
        <f ca="1">AVERAGE(OFFSET($CX$3,0,0,'Données projet'!$E$13+1,1))-AVERAGE(OFFSET($H$3,0,0,'Données projet'!$E$13+1,1))</f>
        <v>376.5422416541544</v>
      </c>
      <c r="CZ33" s="62">
        <f t="shared" si="42"/>
        <v>365.76175372075869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42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176</v>
      </c>
      <c r="DM33" s="13">
        <f>VLOOKUP(A33,'Données projet'!$A$165:$I$185,9,0)</f>
        <v>14.2</v>
      </c>
      <c r="DN33" s="13">
        <f t="array" ref="DN33">INDEX(DM:DM,MIN(IF(ISNUMBER(DM33:DM229),ROW(DM33:DM229),"")))</f>
        <v>14.2</v>
      </c>
      <c r="DO33" s="13">
        <f>IF('Données projet'!$A$166&gt;35,DO32+DN33-DW32,IF(A33&lt;'Données projet'!$A$166,$DL$205^A33,IF(A33='Données projet'!$A$166,'Données projet'!$B$166,DO32+DN33-DW32)))</f>
        <v>175.99999999999991</v>
      </c>
      <c r="DP33" s="18">
        <f>DO33*VLOOKUP('Données projet'!$B$14,Paramètres!$A$1:$I$89,3,0)*VLOOKUP('Données projet'!$B$14,Paramètres!$A$1:$I$89,5,0)</f>
        <v>140.02559999999994</v>
      </c>
      <c r="DQ33" s="14">
        <f t="shared" si="43"/>
        <v>36.302870033112463</v>
      </c>
      <c r="DR33" s="22">
        <f t="shared" si="16"/>
        <v>307.10541864100406</v>
      </c>
      <c r="DS33" s="62">
        <f t="shared" si="17"/>
        <v>600.43875197433738</v>
      </c>
      <c r="DT33" s="62">
        <f ca="1">AVERAGE(OFFSET($DS$3,0,0,'Données projet'!$E$14+1,1))-AVERAGE(OFFSET($H$3,0,0,'Données projet'!$E$14+1,1))</f>
        <v>352.5736659365665</v>
      </c>
      <c r="DU33" s="62">
        <f t="shared" si="44"/>
        <v>343.77208530767069</v>
      </c>
      <c r="DV33" s="16">
        <f>IF(ISNA(VLOOKUP(A33,'Données projet'!$A$165:$I$185,3,0)),0,VLOOKUP(A33,'Données projet'!$A$165:$I$185,3,0))</f>
        <v>5</v>
      </c>
      <c r="DW33" s="16">
        <f>IF(ISNA(VLOOKUP(A33,'Données projet'!$A$165:$I$185,4,0)),0,VLOOKUP(A33,'Données projet'!$A$165:$I$185,4,0))</f>
        <v>35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294</v>
      </c>
      <c r="EH33" s="13">
        <f>VLOOKUP(A33,'Données projet'!$A$191:$I$211,9,0)</f>
        <v>10.6</v>
      </c>
      <c r="EI33" s="13">
        <f t="array" ref="EI33">INDEX(EH:EH,MIN(IF(ISNUMBER(EH33:EH229),ROW(EH33:EH229),"")))</f>
        <v>10.6</v>
      </c>
      <c r="EJ33" s="13">
        <f>IF('Données projet'!$A$192&gt;35,EJ32+EI33-ER32,IF(A33&lt;'Données projet'!$A$192,$EG$205^A33,IF(A33='Données projet'!$A$192,'Données projet'!$B$192,EJ32+EI33-ER32)))</f>
        <v>294.00000000000011</v>
      </c>
      <c r="EK33" s="18">
        <f>EJ33*VLOOKUP('Données projet'!$B$15,Paramètres!$A$1:$I$89,3,0)*VLOOKUP('Données projet'!$B$15,Paramètres!$A$1:$I$89,5,0)</f>
        <v>266.01120000000009</v>
      </c>
      <c r="EL33" s="14">
        <f t="shared" si="45"/>
        <v>64.002013376125717</v>
      </c>
      <c r="EM33" s="22">
        <f t="shared" si="19"/>
        <v>574.77301329675242</v>
      </c>
      <c r="EN33" s="62">
        <f t="shared" si="20"/>
        <v>868.10634663008568</v>
      </c>
      <c r="EO33" s="62">
        <f ca="1">AVERAGE(OFFSET($EN$3,0,0,'Données projet'!$E$15+1,1))-AVERAGE(OFFSET($H$3,0,0,'Données projet'!$E$15+1,1))</f>
        <v>436.23918637269577</v>
      </c>
      <c r="EP33" s="62">
        <f t="shared" si="46"/>
        <v>611.43967996341894</v>
      </c>
      <c r="EQ33" s="16">
        <f>IF(ISNA(VLOOKUP(A33,'Données projet'!$A$191:$I$211,3,0)),0,VLOOKUP(A33,'Données projet'!$A$191:$I$211,3,0))</f>
        <v>6</v>
      </c>
      <c r="ER33" s="16">
        <f>IF(ISNA(VLOOKUP(A33,'Données projet'!$A$191:$I$211,4,0)),0,VLOOKUP(A33,'Données projet'!$A$191:$I$211,4,0))</f>
        <v>14</v>
      </c>
      <c r="ES33" s="17">
        <f>IF(ISNA(VLOOKUP(A33,'Données projet'!$A$191:$I$211,5,0)),0%,VLOOKUP(A33,'Données projet'!$A$191:$I$211,5,0)*VLOOKUP('Données projet'!$B$15,Paramètres!$A$1:$I$89,7,0))</f>
        <v>0.15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4.7004140919303588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4.7004140919303588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184</v>
      </c>
      <c r="FC33" s="13">
        <f>VLOOKUP(A33,'Données projet'!$A$217:$I$237,9,0)</f>
        <v>13</v>
      </c>
      <c r="FD33" s="13">
        <f t="array" ref="FD33">INDEX(FC:FC,MIN(IF(ISNUMBER(FC33:FC229),ROW(FC33:FC229),"")))</f>
        <v>13</v>
      </c>
      <c r="FE33" s="13">
        <f>IF('Données projet'!$A$218&gt;35,FE32+FD33-FM32,IF(A33&lt;'Données projet'!$A$218,$FB$205^A33,IF(A33='Données projet'!$A$218,'Données projet'!$B$218,FE32+FD33-FM32)))</f>
        <v>184.00000000000003</v>
      </c>
      <c r="FF33" s="18">
        <f>FE33*VLOOKUP('Données projet'!$B$16,Paramètres!$A$1:$I$89,3,0)*VLOOKUP('Données projet'!$B$16,Paramètres!$A$1:$I$89,5,0)</f>
        <v>160.74240000000003</v>
      </c>
      <c r="FG33" s="14">
        <f t="shared" si="47"/>
        <v>41.009920657227809</v>
      </c>
      <c r="FH33" s="22">
        <f t="shared" si="22"/>
        <v>351.38529181133845</v>
      </c>
      <c r="FI33" s="62">
        <f t="shared" si="23"/>
        <v>644.71862514467171</v>
      </c>
      <c r="FJ33" s="62">
        <f ca="1">AVERAGE(OFFSET($FI$3,0,0,'Données projet'!$E$16+1,1))-AVERAGE(OFFSET($H$3,0,0,'Données projet'!$E$16+1,1))</f>
        <v>321.23599968992932</v>
      </c>
      <c r="FK33" s="62">
        <f t="shared" si="48"/>
        <v>388.05195847800502</v>
      </c>
      <c r="FL33" s="16">
        <f>IF(ISNA(VLOOKUP(A33,'Données projet'!$A$217:$I$237,3,0)),0,VLOOKUP(A33,'Données projet'!$A$217:$I$237,3,0))</f>
        <v>4</v>
      </c>
      <c r="FM33" s="16">
        <f>IF(ISNA(VLOOKUP(A33,'Données projet'!$A$217:$I$237,4,0)),0,VLOOKUP(A33,'Données projet'!$A$217:$I$237,4,0))</f>
        <v>44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23.267142857142858</v>
      </c>
      <c r="N34" s="14">
        <f>IF('Données projet'!$A$36&gt;35,N33+M34-V33,IF(A34&lt;'Données projet'!$A$36,$K$205^A34,IF(A34='Données projet'!$A$36,'Données projet'!$B$36,N33+M34-V33)))</f>
        <v>284.05142857142857</v>
      </c>
      <c r="O34" s="14">
        <f>N34*VLOOKUP('Données projet'!$B$9,Paramètres!$A$1:$I$89,3,0)*VLOOKUP('Données projet'!$B$9,Paramètres!$A$1:$I$89,5,0)</f>
        <v>158.78474857142857</v>
      </c>
      <c r="P34" s="14">
        <f t="shared" si="33"/>
        <v>40.568290544193985</v>
      </c>
      <c r="Q34" s="22">
        <f t="shared" si="2"/>
        <v>347.20654312637589</v>
      </c>
      <c r="R34" s="62">
        <f t="shared" si="0"/>
        <v>640.53987645970915</v>
      </c>
      <c r="S34" s="62">
        <f ca="1">AVERAGE(OFFSET($R$3,0,0,'Données projet'!$E$9+1,1))-AVERAGE(OFFSET($H$3,0,0,'Données projet'!$E$9+1,1))</f>
        <v>389.06620927245814</v>
      </c>
      <c r="T34" s="62">
        <f t="shared" si="34"/>
        <v>356.08144160383193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30.160686814908001</v>
      </c>
      <c r="AB34" s="23">
        <f>EXP(-LN(2)/2)*AB33+(1-EXP(-LN(2)/2))/(LN(2)/2)*V34*Y34*VLOOKUP('Données projet'!$B$9,Paramètres!$A$1:$I$89,3,0)*0.475*44/12</f>
        <v>3.664475038318125</v>
      </c>
      <c r="AC34" s="24">
        <f t="shared" si="3"/>
        <v>33.825161853226128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13.6</v>
      </c>
      <c r="AI34" s="14">
        <f>IF('Données projet'!$A$62&gt;35,AI33+AH34-AQ33,IF(A34&lt;'Données projet'!$A$62,$AF$205^A34,IF(A34='Données projet'!$A$62,'Données projet'!$B$62,AI33+AH34-AQ33)))</f>
        <v>292.60000000000008</v>
      </c>
      <c r="AJ34" s="14">
        <f>AI34*VLOOKUP('Données projet'!$B$10,Paramètres!$A$1:$I$89,3,0)*VLOOKUP('Données projet'!$B$10,Paramètres!$A$1:$I$89,5,0)</f>
        <v>159.75960000000003</v>
      </c>
      <c r="AK34" s="14">
        <f t="shared" si="35"/>
        <v>40.788287771458215</v>
      </c>
      <c r="AL34" s="22">
        <f t="shared" si="4"/>
        <v>349.28757120195638</v>
      </c>
      <c r="AM34" s="62">
        <f t="shared" si="5"/>
        <v>642.6209045352897</v>
      </c>
      <c r="AN34" s="62">
        <f ca="1">AVERAGE(OFFSET($AM$3,0,0,'Données projet'!$E$10+1,1))-AVERAGE(OFFSET($H$3,0,0,'Données projet'!$E$10+1,1))</f>
        <v>293.73480285950245</v>
      </c>
      <c r="AO34" s="62">
        <f t="shared" si="36"/>
        <v>425.99823184414191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20.550985268111205</v>
      </c>
      <c r="AW34" s="23">
        <f>EXP(-LN(2)/2)*AW33+(1-EXP(-LN(2)/2))/(LN(2)/2)*AQ34*AT34*VLOOKUP('Données projet'!$B$10,Paramètres!$A$1:$I$89,3,0)*0.475*44/12</f>
        <v>13.668299840844197</v>
      </c>
      <c r="AX34" s="23">
        <f t="shared" si="6"/>
        <v>34.219285108955404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93.91824000000004</v>
      </c>
      <c r="BF34" s="14">
        <f t="shared" si="37"/>
        <v>25.507853654186022</v>
      </c>
      <c r="BG34" s="22">
        <f t="shared" si="7"/>
        <v>208.00044644770739</v>
      </c>
      <c r="BH34" s="62">
        <f t="shared" si="8"/>
        <v>501.33377978104068</v>
      </c>
      <c r="BI34" s="62">
        <f ca="1">AVERAGE(OFFSET($BH$3,0,0,'Données projet'!$E$11+1,1))-AVERAGE(OFFSET($H$3,0,0,'Données projet'!$E$11+1,1))</f>
        <v>438.70522838726322</v>
      </c>
      <c r="BJ34" s="62">
        <f t="shared" si="38"/>
        <v>278.21741231699929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103.80000000000004</v>
      </c>
      <c r="BZ34" s="14">
        <f>BY34*VLOOKUP('Données projet'!$B$12,Paramètres!$A$1:$I$89,3,0)*VLOOKUP('Données projet'!$B$12,Paramètres!$A$1:$I$89,5,0)</f>
        <v>100.39536000000004</v>
      </c>
      <c r="CA34" s="14">
        <f t="shared" si="39"/>
        <v>27.056164975430569</v>
      </c>
      <c r="CB34" s="22">
        <f t="shared" si="10"/>
        <v>221.97807266554162</v>
      </c>
      <c r="CC34" s="62">
        <f t="shared" si="11"/>
        <v>515.31140599887499</v>
      </c>
      <c r="CD34" s="62">
        <f ca="1">AVERAGE(OFFSET($CC$3,0,0,'Données projet'!$E$12+1,1))-AVERAGE(OFFSET($H$3,0,0,'Données projet'!$E$12+1,1))</f>
        <v>466.10838191274445</v>
      </c>
      <c r="CE34" s="62">
        <f t="shared" si="40"/>
        <v>294.45557293177131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15.2</v>
      </c>
      <c r="CT34" s="13">
        <f>IF('Données projet'!$A$140&gt;35,CT33+CS34-DB33,IF(A34&lt;'Données projet'!$A$140,$CQ$205^A34,IF(A34='Données projet'!$A$140,'Données projet'!$B$140,CT33+CS34-DB33)))</f>
        <v>178.20000000000005</v>
      </c>
      <c r="CU34" s="18">
        <f>CT34*VLOOKUP('Données projet'!$B$13,Paramètres!$A$1:$I$89,3,0)*VLOOKUP('Données projet'!$B$13,Paramètres!$A$1:$I$89,5,0)</f>
        <v>130.65624000000003</v>
      </c>
      <c r="CV34" s="14">
        <f t="shared" si="41"/>
        <v>34.147952661921146</v>
      </c>
      <c r="CW34" s="22">
        <f t="shared" si="13"/>
        <v>287.03396888617937</v>
      </c>
      <c r="CX34" s="62">
        <f t="shared" si="14"/>
        <v>580.36730221951268</v>
      </c>
      <c r="CY34" s="62">
        <f ca="1">AVERAGE(OFFSET($CX$3,0,0,'Données projet'!$E$13+1,1))-AVERAGE(OFFSET($H$3,0,0,'Données projet'!$E$13+1,1))</f>
        <v>376.5422416541544</v>
      </c>
      <c r="CZ34" s="62">
        <f t="shared" si="42"/>
        <v>365.76175372075869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13</v>
      </c>
      <c r="DO34" s="13">
        <f>IF('Données projet'!$A$166&gt;35,DO33+DN34-DW33,IF(A34&lt;'Données projet'!$A$166,$DL$205^A34,IF(A34='Données projet'!$A$166,'Données projet'!$B$166,DO33+DN34-DW33)))</f>
        <v>153.99999999999991</v>
      </c>
      <c r="DP34" s="18">
        <f>DO34*VLOOKUP('Données projet'!$B$14,Paramètres!$A$1:$I$89,3,0)*VLOOKUP('Données projet'!$B$14,Paramètres!$A$1:$I$89,5,0)</f>
        <v>122.52239999999995</v>
      </c>
      <c r="DQ34" s="14">
        <f t="shared" si="43"/>
        <v>32.26259352430629</v>
      </c>
      <c r="DR34" s="22">
        <f t="shared" si="16"/>
        <v>269.58386372149999</v>
      </c>
      <c r="DS34" s="62">
        <f t="shared" si="17"/>
        <v>562.91719705483331</v>
      </c>
      <c r="DT34" s="62">
        <f ca="1">AVERAGE(OFFSET($DS$3,0,0,'Données projet'!$E$14+1,1))-AVERAGE(OFFSET($H$3,0,0,'Données projet'!$E$14+1,1))</f>
        <v>352.5736659365665</v>
      </c>
      <c r="DU34" s="62">
        <f t="shared" si="44"/>
        <v>343.77208530767069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8.6</v>
      </c>
      <c r="EJ34" s="13">
        <f>IF('Données projet'!$A$192&gt;35,EJ33+EI34-ER33,IF(A34&lt;'Données projet'!$A$192,$EG$205^A34,IF(A34='Données projet'!$A$192,'Données projet'!$B$192,EJ33+EI34-ER33)))</f>
        <v>288.60000000000014</v>
      </c>
      <c r="EK34" s="18">
        <f>EJ34*VLOOKUP('Données projet'!$B$15,Paramètres!$A$1:$I$89,3,0)*VLOOKUP('Données projet'!$B$15,Paramètres!$A$1:$I$89,5,0)</f>
        <v>261.12528000000009</v>
      </c>
      <c r="EL34" s="14">
        <f t="shared" si="45"/>
        <v>62.962181856353716</v>
      </c>
      <c r="EM34" s="22">
        <f t="shared" si="19"/>
        <v>564.45232939981622</v>
      </c>
      <c r="EN34" s="62">
        <f t="shared" si="20"/>
        <v>857.78566273314959</v>
      </c>
      <c r="EO34" s="62">
        <f ca="1">AVERAGE(OFFSET($EN$3,0,0,'Données projet'!$E$15+1,1))-AVERAGE(OFFSET($H$3,0,0,'Données projet'!$E$15+1,1))</f>
        <v>436.23918637269577</v>
      </c>
      <c r="EP34" s="62">
        <f t="shared" si="46"/>
        <v>611.43967996341894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4.6082418385571104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4.6082418385571104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12.2</v>
      </c>
      <c r="FE34" s="13">
        <f>IF('Données projet'!$A$218&gt;35,FE33+FD34-FM33,IF(A34&lt;'Données projet'!$A$218,$FB$205^A34,IF(A34='Données projet'!$A$218,'Données projet'!$B$218,FE33+FD34-FM33)))</f>
        <v>152.20000000000002</v>
      </c>
      <c r="FF34" s="18">
        <f>FE34*VLOOKUP('Données projet'!$B$16,Paramètres!$A$1:$I$89,3,0)*VLOOKUP('Données projet'!$B$16,Paramètres!$A$1:$I$89,5,0)</f>
        <v>132.96192000000002</v>
      </c>
      <c r="FG34" s="14">
        <f t="shared" si="47"/>
        <v>34.679872132599144</v>
      </c>
      <c r="FH34" s="22">
        <f t="shared" si="22"/>
        <v>291.97612129761018</v>
      </c>
      <c r="FI34" s="62">
        <f t="shared" si="23"/>
        <v>585.30945463094349</v>
      </c>
      <c r="FJ34" s="62">
        <f ca="1">AVERAGE(OFFSET($FI$3,0,0,'Données projet'!$E$16+1,1))-AVERAGE(OFFSET($H$3,0,0,'Données projet'!$E$16+1,1))</f>
        <v>321.23599968992932</v>
      </c>
      <c r="FK34" s="62">
        <f t="shared" si="48"/>
        <v>388.05195847800502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23.267142857142858</v>
      </c>
      <c r="N35" s="14">
        <f>IF('Données projet'!$A$36&gt;35,N34+M35-V34,IF(A35&lt;'Données projet'!$A$36,$K$205^A35,IF(A35='Données projet'!$A$36,'Données projet'!$B$36,N34+M35-V34)))</f>
        <v>307.31857142857143</v>
      </c>
      <c r="O35" s="14">
        <f>N35*VLOOKUP('Données projet'!$B$9,Paramètres!$A$1:$I$89,3,0)*VLOOKUP('Données projet'!$B$9,Paramètres!$A$1:$I$89,5,0)</f>
        <v>171.79108142857143</v>
      </c>
      <c r="P35" s="14">
        <f t="shared" si="33"/>
        <v>43.490921229423932</v>
      </c>
      <c r="Q35" s="22">
        <f t="shared" ref="Q35:Q66" si="53">(O35+P35)*0.475*44/12</f>
        <v>374.94948796267522</v>
      </c>
      <c r="R35" s="62">
        <f t="shared" si="0"/>
        <v>668.28282129600848</v>
      </c>
      <c r="S35" s="62">
        <f ca="1">AVERAGE(OFFSET($R$3,0,0,'Données projet'!$E$9+1,1))-AVERAGE(OFFSET($H$3,0,0,'Données projet'!$E$9+1,1))</f>
        <v>389.06620927245814</v>
      </c>
      <c r="T35" s="62">
        <f t="shared" si="34"/>
        <v>356.08144160383193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29.335941247872753</v>
      </c>
      <c r="AB35" s="23">
        <f>EXP(-LN(2)/2)*AB34+(1-EXP(-LN(2)/2))/(LN(2)/2)*V35*Y35*VLOOKUP('Données projet'!$B$9,Paramètres!$A$1:$I$89,3,0)*0.475*44/12</f>
        <v>2.5911751490835799</v>
      </c>
      <c r="AC35" s="24">
        <f t="shared" si="3"/>
        <v>31.927116396956333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13.6</v>
      </c>
      <c r="AI35" s="14">
        <f>IF('Données projet'!$A$62&gt;35,AI34+AH35-AQ34,IF(A35&lt;'Données projet'!$A$62,$AF$205^A35,IF(A35='Données projet'!$A$62,'Données projet'!$B$62,AI34+AH35-AQ34)))</f>
        <v>306.2000000000001</v>
      </c>
      <c r="AJ35" s="14">
        <f>AI35*VLOOKUP('Données projet'!$B$10,Paramètres!$A$1:$I$89,3,0)*VLOOKUP('Données projet'!$B$10,Paramètres!$A$1:$I$89,5,0)</f>
        <v>167.18520000000007</v>
      </c>
      <c r="AK35" s="14">
        <f t="shared" si="35"/>
        <v>42.458990736132044</v>
      </c>
      <c r="AL35" s="22">
        <f t="shared" si="4"/>
        <v>365.13029886543012</v>
      </c>
      <c r="AM35" s="62">
        <f t="shared" si="5"/>
        <v>658.46363219876343</v>
      </c>
      <c r="AN35" s="62">
        <f ca="1">AVERAGE(OFFSET($AM$3,0,0,'Données projet'!$E$10+1,1))-AVERAGE(OFFSET($H$3,0,0,'Données projet'!$E$10+1,1))</f>
        <v>293.73480285950245</v>
      </c>
      <c r="AO35" s="62">
        <f t="shared" si="36"/>
        <v>425.99823184414191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19.989017495225358</v>
      </c>
      <c r="AW35" s="23">
        <f>EXP(-LN(2)/2)*AW34+(1-EXP(-LN(2)/2))/(LN(2)/2)*AQ35*AT35*VLOOKUP('Données projet'!$B$10,Paramètres!$A$1:$I$89,3,0)*0.475*44/12</f>
        <v>9.6649475047519413</v>
      </c>
      <c r="AX35" s="23">
        <f t="shared" si="6"/>
        <v>29.653964999977298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103.69008000000004</v>
      </c>
      <c r="BF35" s="14">
        <f t="shared" si="37"/>
        <v>27.83924565319537</v>
      </c>
      <c r="BG35" s="22">
        <f t="shared" si="7"/>
        <v>229.08024217931529</v>
      </c>
      <c r="BH35" s="62">
        <f t="shared" si="8"/>
        <v>522.41357551264855</v>
      </c>
      <c r="BI35" s="62">
        <f ca="1">AVERAGE(OFFSET($BH$3,0,0,'Données projet'!$E$11+1,1))-AVERAGE(OFFSET($H$3,0,0,'Données projet'!$E$11+1,1))</f>
        <v>438.70522838726322</v>
      </c>
      <c r="BJ35" s="62">
        <f t="shared" si="38"/>
        <v>278.21741231699929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114.60000000000004</v>
      </c>
      <c r="BZ35" s="14">
        <f>BY35*VLOOKUP('Données projet'!$B$12,Paramètres!$A$1:$I$89,3,0)*VLOOKUP('Données projet'!$B$12,Paramètres!$A$1:$I$89,5,0)</f>
        <v>110.84112000000003</v>
      </c>
      <c r="CA35" s="14">
        <f t="shared" si="39"/>
        <v>29.529071061640771</v>
      </c>
      <c r="CB35" s="22">
        <f t="shared" si="10"/>
        <v>244.47808276569106</v>
      </c>
      <c r="CC35" s="62">
        <f t="shared" si="11"/>
        <v>537.81141609902443</v>
      </c>
      <c r="CD35" s="62">
        <f ca="1">AVERAGE(OFFSET($CC$3,0,0,'Données projet'!$E$12+1,1))-AVERAGE(OFFSET($H$3,0,0,'Données projet'!$E$12+1,1))</f>
        <v>466.10838191274445</v>
      </c>
      <c r="CE35" s="62">
        <f t="shared" si="40"/>
        <v>294.45557293177131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15.2</v>
      </c>
      <c r="CT35" s="13">
        <f>IF('Données projet'!$A$140&gt;35,CT34+CS35-DB34,IF(A35&lt;'Données projet'!$A$140,$CQ$205^A35,IF(A35='Données projet'!$A$140,'Données projet'!$B$140,CT34+CS35-DB34)))</f>
        <v>193.40000000000003</v>
      </c>
      <c r="CU35" s="18">
        <f>CT35*VLOOKUP('Données projet'!$B$13,Paramètres!$A$1:$I$89,3,0)*VLOOKUP('Données projet'!$B$13,Paramètres!$A$1:$I$89,5,0)</f>
        <v>141.80088000000003</v>
      </c>
      <c r="CV35" s="14">
        <f t="shared" si="41"/>
        <v>36.709254421801973</v>
      </c>
      <c r="CW35" s="22">
        <f t="shared" si="13"/>
        <v>310.90515078463847</v>
      </c>
      <c r="CX35" s="62">
        <f t="shared" si="14"/>
        <v>604.23848411797178</v>
      </c>
      <c r="CY35" s="62">
        <f ca="1">AVERAGE(OFFSET($CX$3,0,0,'Données projet'!$E$13+1,1))-AVERAGE(OFFSET($H$3,0,0,'Données projet'!$E$13+1,1))</f>
        <v>376.5422416541544</v>
      </c>
      <c r="CZ35" s="62">
        <f t="shared" si="42"/>
        <v>365.76175372075869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13</v>
      </c>
      <c r="DO35" s="13">
        <f>IF('Données projet'!$A$166&gt;35,DO34+DN35-DW34,IF(A35&lt;'Données projet'!$A$166,$DL$205^A35,IF(A35='Données projet'!$A$166,'Données projet'!$B$166,DO34+DN35-DW34)))</f>
        <v>166.99999999999991</v>
      </c>
      <c r="DP35" s="18">
        <f>DO35*VLOOKUP('Données projet'!$B$14,Paramètres!$A$1:$I$89,3,0)*VLOOKUP('Données projet'!$B$14,Paramètres!$A$1:$I$89,5,0)</f>
        <v>132.86519999999993</v>
      </c>
      <c r="DQ35" s="14">
        <f t="shared" si="43"/>
        <v>34.657580565743032</v>
      </c>
      <c r="DR35" s="22">
        <f t="shared" si="16"/>
        <v>291.76884281866893</v>
      </c>
      <c r="DS35" s="62">
        <f t="shared" si="17"/>
        <v>585.10217615200224</v>
      </c>
      <c r="DT35" s="62">
        <f ca="1">AVERAGE(OFFSET($DS$3,0,0,'Données projet'!$E$14+1,1))-AVERAGE(OFFSET($H$3,0,0,'Données projet'!$E$14+1,1))</f>
        <v>352.5736659365665</v>
      </c>
      <c r="DU35" s="62">
        <f t="shared" si="44"/>
        <v>343.77208530767069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8.6</v>
      </c>
      <c r="EJ35" s="13">
        <f>IF('Données projet'!$A$192&gt;35,EJ34+EI35-ER34,IF(A35&lt;'Données projet'!$A$192,$EG$205^A35,IF(A35='Données projet'!$A$192,'Données projet'!$B$192,EJ34+EI35-ER34)))</f>
        <v>297.20000000000016</v>
      </c>
      <c r="EK35" s="18">
        <f>EJ35*VLOOKUP('Données projet'!$B$15,Paramètres!$A$1:$I$89,3,0)*VLOOKUP('Données projet'!$B$15,Paramètres!$A$1:$I$89,5,0)</f>
        <v>268.90656000000013</v>
      </c>
      <c r="EL35" s="14">
        <f t="shared" si="45"/>
        <v>64.617158945843826</v>
      </c>
      <c r="EM35" s="22">
        <f t="shared" si="19"/>
        <v>580.88714383067816</v>
      </c>
      <c r="EN35" s="62">
        <f t="shared" si="20"/>
        <v>874.22047716401153</v>
      </c>
      <c r="EO35" s="62">
        <f ca="1">AVERAGE(OFFSET($EN$3,0,0,'Données projet'!$E$15+1,1))-AVERAGE(OFFSET($H$3,0,0,'Données projet'!$E$15+1,1))</f>
        <v>436.23918637269577</v>
      </c>
      <c r="EP35" s="62">
        <f t="shared" si="46"/>
        <v>611.43967996341894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4.5178770268529886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4.5178770268529886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12.2</v>
      </c>
      <c r="FE35" s="13">
        <f>IF('Données projet'!$A$218&gt;35,FE34+FD35-FM34,IF(A35&lt;'Données projet'!$A$218,$FB$205^A35,IF(A35='Données projet'!$A$218,'Données projet'!$B$218,FE34+FD35-FM34)))</f>
        <v>164.4</v>
      </c>
      <c r="FF35" s="18">
        <f>FE35*VLOOKUP('Données projet'!$B$16,Paramètres!$A$1:$I$89,3,0)*VLOOKUP('Données projet'!$B$16,Paramètres!$A$1:$I$89,5,0)</f>
        <v>143.61984000000001</v>
      </c>
      <c r="FG35" s="14">
        <f t="shared" si="47"/>
        <v>37.125023974706046</v>
      </c>
      <c r="FH35" s="22">
        <f t="shared" si="22"/>
        <v>314.79730475594641</v>
      </c>
      <c r="FI35" s="62">
        <f t="shared" si="23"/>
        <v>608.13063808927973</v>
      </c>
      <c r="FJ35" s="62">
        <f ca="1">AVERAGE(OFFSET($FI$3,0,0,'Données projet'!$E$16+1,1))-AVERAGE(OFFSET($H$3,0,0,'Données projet'!$E$16+1,1))</f>
        <v>321.23599968992932</v>
      </c>
      <c r="FK35" s="62">
        <f t="shared" si="48"/>
        <v>388.05195847800502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23.267142857142858</v>
      </c>
      <c r="N36" s="14">
        <f>IF('Données projet'!$A$36&gt;35,N35+M36-V35,IF(A36&lt;'Données projet'!$A$36,$K$205^A36,IF(A36='Données projet'!$A$36,'Données projet'!$B$36,N35+M36-V35)))</f>
        <v>330.58571428571429</v>
      </c>
      <c r="O36" s="14">
        <f>N36*VLOOKUP('Données projet'!$B$9,Paramètres!$A$1:$I$89,3,0)*VLOOKUP('Données projet'!$B$9,Paramètres!$A$1:$I$89,5,0)</f>
        <v>184.7974142857143</v>
      </c>
      <c r="P36" s="14">
        <f t="shared" si="33"/>
        <v>46.387883037381307</v>
      </c>
      <c r="Q36" s="22">
        <f t="shared" si="53"/>
        <v>402.64772617105814</v>
      </c>
      <c r="R36" s="62">
        <f t="shared" si="0"/>
        <v>695.9810595043914</v>
      </c>
      <c r="S36" s="62">
        <f ca="1">AVERAGE(OFFSET($R$3,0,0,'Données projet'!$E$9+1,1))-AVERAGE(OFFSET($H$3,0,0,'Données projet'!$E$9+1,1))</f>
        <v>389.06620927245814</v>
      </c>
      <c r="T36" s="62">
        <f t="shared" si="34"/>
        <v>356.08144160383193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28.533748391739572</v>
      </c>
      <c r="AB36" s="23">
        <f>EXP(-LN(2)/2)*AB35+(1-EXP(-LN(2)/2))/(LN(2)/2)*V36*Y36*VLOOKUP('Données projet'!$B$9,Paramètres!$A$1:$I$89,3,0)*0.475*44/12</f>
        <v>1.8322375191590627</v>
      </c>
      <c r="AC36" s="24">
        <f t="shared" si="3"/>
        <v>30.365985910898633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13.6</v>
      </c>
      <c r="AI36" s="14">
        <f>IF('Données projet'!$A$62&gt;35,AI35+AH36-AQ35,IF(A36&lt;'Données projet'!$A$62,$AF$205^A36,IF(A36='Données projet'!$A$62,'Données projet'!$B$62,AI35+AH36-AQ35)))</f>
        <v>319.80000000000013</v>
      </c>
      <c r="AJ36" s="14">
        <f>AI36*VLOOKUP('Données projet'!$B$10,Paramètres!$A$1:$I$89,3,0)*VLOOKUP('Données projet'!$B$10,Paramètres!$A$1:$I$89,5,0)</f>
        <v>174.6108000000001</v>
      </c>
      <c r="AK36" s="14">
        <f t="shared" si="35"/>
        <v>44.121075539920255</v>
      </c>
      <c r="AL36" s="22">
        <f t="shared" si="4"/>
        <v>380.95801656536122</v>
      </c>
      <c r="AM36" s="62">
        <f t="shared" si="5"/>
        <v>674.29134989869453</v>
      </c>
      <c r="AN36" s="62">
        <f ca="1">AVERAGE(OFFSET($AM$3,0,0,'Données projet'!$E$10+1,1))-AVERAGE(OFFSET($H$3,0,0,'Données projet'!$E$10+1,1))</f>
        <v>293.73480285950245</v>
      </c>
      <c r="AO36" s="62">
        <f t="shared" si="36"/>
        <v>425.99823184414191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19.442416760641677</v>
      </c>
      <c r="AW36" s="23">
        <f>EXP(-LN(2)/2)*AW35+(1-EXP(-LN(2)/2))/(LN(2)/2)*AQ36*AT36*VLOOKUP('Données projet'!$B$10,Paramètres!$A$1:$I$89,3,0)*0.475*44/12</f>
        <v>6.8341499204221003</v>
      </c>
      <c r="AX36" s="23">
        <f t="shared" si="6"/>
        <v>26.276566681063777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113.46192000000002</v>
      </c>
      <c r="BF36" s="14">
        <f t="shared" si="37"/>
        <v>30.145163126535493</v>
      </c>
      <c r="BG36" s="22">
        <f t="shared" si="7"/>
        <v>250.11566977871598</v>
      </c>
      <c r="BH36" s="62">
        <f t="shared" si="8"/>
        <v>543.44900311204924</v>
      </c>
      <c r="BI36" s="62">
        <f ca="1">AVERAGE(OFFSET($BH$3,0,0,'Données projet'!$E$11+1,1))-AVERAGE(OFFSET($H$3,0,0,'Données projet'!$E$11+1,1))</f>
        <v>438.70522838726322</v>
      </c>
      <c r="BJ36" s="62">
        <f t="shared" si="38"/>
        <v>278.21741231699929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125.40000000000003</v>
      </c>
      <c r="BZ36" s="14">
        <f>BY36*VLOOKUP('Données projet'!$B$12,Paramètres!$A$1:$I$89,3,0)*VLOOKUP('Données projet'!$B$12,Paramètres!$A$1:$I$89,5,0)</f>
        <v>121.28688000000004</v>
      </c>
      <c r="CA36" s="14">
        <f t="shared" si="39"/>
        <v>31.974956333849104</v>
      </c>
      <c r="CB36" s="22">
        <f t="shared" si="10"/>
        <v>266.93103161478729</v>
      </c>
      <c r="CC36" s="62">
        <f t="shared" si="11"/>
        <v>560.2643649481206</v>
      </c>
      <c r="CD36" s="62">
        <f ca="1">AVERAGE(OFFSET($CC$3,0,0,'Données projet'!$E$12+1,1))-AVERAGE(OFFSET($H$3,0,0,'Données projet'!$E$12+1,1))</f>
        <v>466.10838191274445</v>
      </c>
      <c r="CE36" s="62">
        <f t="shared" si="40"/>
        <v>294.45557293177131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15.2</v>
      </c>
      <c r="CT36" s="13">
        <f>IF('Données projet'!$A$140&gt;35,CT35+CS36-DB35,IF(A36&lt;'Données projet'!$A$140,$CQ$205^A36,IF(A36='Données projet'!$A$140,'Données projet'!$B$140,CT35+CS36-DB35)))</f>
        <v>208.60000000000002</v>
      </c>
      <c r="CU36" s="18">
        <f>CT36*VLOOKUP('Données projet'!$B$13,Paramètres!$A$1:$I$89,3,0)*VLOOKUP('Données projet'!$B$13,Paramètres!$A$1:$I$89,5,0)</f>
        <v>152.94552000000002</v>
      </c>
      <c r="CV36" s="14">
        <f t="shared" si="41"/>
        <v>39.247206134585156</v>
      </c>
      <c r="CW36" s="22">
        <f t="shared" si="13"/>
        <v>334.73566468440248</v>
      </c>
      <c r="CX36" s="62">
        <f t="shared" si="14"/>
        <v>628.06899801773579</v>
      </c>
      <c r="CY36" s="62">
        <f ca="1">AVERAGE(OFFSET($CX$3,0,0,'Données projet'!$E$13+1,1))-AVERAGE(OFFSET($H$3,0,0,'Données projet'!$E$13+1,1))</f>
        <v>376.5422416541544</v>
      </c>
      <c r="CZ36" s="62">
        <f t="shared" si="42"/>
        <v>365.76175372075869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13</v>
      </c>
      <c r="DO36" s="13">
        <f>IF('Données projet'!$A$166&gt;35,DO35+DN36-DW35,IF(A36&lt;'Données projet'!$A$166,$DL$205^A36,IF(A36='Données projet'!$A$166,'Données projet'!$B$166,DO35+DN36-DW35)))</f>
        <v>179.99999999999991</v>
      </c>
      <c r="DP36" s="18">
        <f>DO36*VLOOKUP('Données projet'!$B$14,Paramètres!$A$1:$I$89,3,0)*VLOOKUP('Données projet'!$B$14,Paramètres!$A$1:$I$89,5,0)</f>
        <v>143.20799999999994</v>
      </c>
      <c r="DQ36" s="14">
        <f t="shared" si="43"/>
        <v>37.030941422835802</v>
      </c>
      <c r="DR36" s="22">
        <f t="shared" si="16"/>
        <v>313.9161563114389</v>
      </c>
      <c r="DS36" s="62">
        <f t="shared" si="17"/>
        <v>607.24948964477221</v>
      </c>
      <c r="DT36" s="62">
        <f ca="1">AVERAGE(OFFSET($DS$3,0,0,'Données projet'!$E$14+1,1))-AVERAGE(OFFSET($H$3,0,0,'Données projet'!$E$14+1,1))</f>
        <v>352.5736659365665</v>
      </c>
      <c r="DU36" s="62">
        <f t="shared" si="44"/>
        <v>343.77208530767069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8.6</v>
      </c>
      <c r="EJ36" s="13">
        <f>IF('Données projet'!$A$192&gt;35,EJ35+EI36-ER35,IF(A36&lt;'Données projet'!$A$192,$EG$205^A36,IF(A36='Données projet'!$A$192,'Données projet'!$B$192,EJ35+EI36-ER35)))</f>
        <v>305.80000000000018</v>
      </c>
      <c r="EK36" s="18">
        <f>EJ36*VLOOKUP('Données projet'!$B$15,Paramètres!$A$1:$I$89,3,0)*VLOOKUP('Données projet'!$B$15,Paramètres!$A$1:$I$89,5,0)</f>
        <v>276.68784000000016</v>
      </c>
      <c r="EL36" s="14">
        <f t="shared" si="45"/>
        <v>66.266570237082931</v>
      </c>
      <c r="EM36" s="22">
        <f t="shared" si="19"/>
        <v>597.31226449625308</v>
      </c>
      <c r="EN36" s="62">
        <f t="shared" si="20"/>
        <v>890.64559782958645</v>
      </c>
      <c r="EO36" s="62">
        <f ca="1">AVERAGE(OFFSET($EN$3,0,0,'Données projet'!$E$15+1,1))-AVERAGE(OFFSET($H$3,0,0,'Données projet'!$E$15+1,1))</f>
        <v>436.23918637269577</v>
      </c>
      <c r="EP36" s="62">
        <f t="shared" si="46"/>
        <v>611.43967996341894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4.4292842139892921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4.4292842139892921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12.2</v>
      </c>
      <c r="FE36" s="13">
        <f>IF('Données projet'!$A$218&gt;35,FE35+FD36-FM35,IF(A36&lt;'Données projet'!$A$218,$FB$205^A36,IF(A36='Données projet'!$A$218,'Données projet'!$B$218,FE35+FD36-FM35)))</f>
        <v>176.6</v>
      </c>
      <c r="FF36" s="18">
        <f>FE36*VLOOKUP('Données projet'!$B$16,Paramètres!$A$1:$I$89,3,0)*VLOOKUP('Données projet'!$B$16,Paramètres!$A$1:$I$89,5,0)</f>
        <v>154.27776</v>
      </c>
      <c r="FG36" s="14">
        <f t="shared" si="47"/>
        <v>39.549125277353333</v>
      </c>
      <c r="FH36" s="22">
        <f t="shared" si="22"/>
        <v>337.58182519139035</v>
      </c>
      <c r="FI36" s="62">
        <f t="shared" si="23"/>
        <v>630.91515852472367</v>
      </c>
      <c r="FJ36" s="62">
        <f ca="1">AVERAGE(OFFSET($FI$3,0,0,'Données projet'!$E$16+1,1))-AVERAGE(OFFSET($H$3,0,0,'Données projet'!$E$16+1,1))</f>
        <v>321.23599968992932</v>
      </c>
      <c r="FK36" s="62">
        <f t="shared" si="48"/>
        <v>388.05195847800502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23.267142857142858</v>
      </c>
      <c r="N37" s="14">
        <f>IF('Données projet'!$A$36&gt;35,N36+M37-V36,IF(A37&lt;'Données projet'!$A$36,$K$205^A37,IF(A37='Données projet'!$A$36,'Données projet'!$B$36,N36+M37-V36)))</f>
        <v>353.85285714285715</v>
      </c>
      <c r="O37" s="14">
        <f>N37*VLOOKUP('Données projet'!$B$9,Paramètres!$A$1:$I$89,3,0)*VLOOKUP('Données projet'!$B$9,Paramètres!$A$1:$I$89,5,0)</f>
        <v>197.80374714285716</v>
      </c>
      <c r="P37" s="14">
        <f t="shared" si="33"/>
        <v>49.26118807441209</v>
      </c>
      <c r="Q37" s="22">
        <f t="shared" si="53"/>
        <v>430.30476217007725</v>
      </c>
      <c r="R37" s="62">
        <f t="shared" si="0"/>
        <v>723.63809550341057</v>
      </c>
      <c r="S37" s="62">
        <f ca="1">AVERAGE(OFFSET($R$3,0,0,'Données projet'!$E$9+1,1))-AVERAGE(OFFSET($H$3,0,0,'Données projet'!$E$9+1,1))</f>
        <v>389.06620927245814</v>
      </c>
      <c r="T37" s="62">
        <f t="shared" si="34"/>
        <v>356.08144160383193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27.753491541442841</v>
      </c>
      <c r="AB37" s="23">
        <f>EXP(-LN(2)/2)*AB36+(1-EXP(-LN(2)/2))/(LN(2)/2)*V37*Y37*VLOOKUP('Données projet'!$B$9,Paramètres!$A$1:$I$89,3,0)*0.475*44/12</f>
        <v>1.2955875745417902</v>
      </c>
      <c r="AC37" s="24">
        <f t="shared" si="3"/>
        <v>29.049079115984632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13.6</v>
      </c>
      <c r="AI37" s="14">
        <f>IF('Données projet'!$A$62&gt;35,AI36+AH37-AQ36,IF(A37&lt;'Données projet'!$A$62,$AF$205^A37,IF(A37='Données projet'!$A$62,'Données projet'!$B$62,AI36+AH37-AQ36)))</f>
        <v>333.40000000000015</v>
      </c>
      <c r="AJ37" s="14">
        <f>AI37*VLOOKUP('Données projet'!$B$10,Paramètres!$A$1:$I$89,3,0)*VLOOKUP('Données projet'!$B$10,Paramètres!$A$1:$I$89,5,0)</f>
        <v>182.03640000000007</v>
      </c>
      <c r="AK37" s="14">
        <f t="shared" si="35"/>
        <v>45.774950584579294</v>
      </c>
      <c r="AL37" s="22">
        <f t="shared" si="4"/>
        <v>396.77143560147573</v>
      </c>
      <c r="AM37" s="62">
        <f t="shared" si="5"/>
        <v>690.10476893480904</v>
      </c>
      <c r="AN37" s="62">
        <f ca="1">AVERAGE(OFFSET($AM$3,0,0,'Données projet'!$E$10+1,1))-AVERAGE(OFFSET($H$3,0,0,'Données projet'!$E$10+1,1))</f>
        <v>293.73480285950245</v>
      </c>
      <c r="AO37" s="62">
        <f t="shared" si="36"/>
        <v>425.99823184414191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18.910762851889668</v>
      </c>
      <c r="AW37" s="23">
        <f>EXP(-LN(2)/2)*AW36+(1-EXP(-LN(2)/2))/(LN(2)/2)*AQ37*AT37*VLOOKUP('Données projet'!$B$10,Paramètres!$A$1:$I$89,3,0)*0.475*44/12</f>
        <v>4.8324737523759715</v>
      </c>
      <c r="AX37" s="23">
        <f t="shared" si="6"/>
        <v>23.74323660426564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123.23376000000005</v>
      </c>
      <c r="BF37" s="14">
        <f t="shared" si="37"/>
        <v>32.428049504876491</v>
      </c>
      <c r="BG37" s="22">
        <f t="shared" si="7"/>
        <v>271.11098488765998</v>
      </c>
      <c r="BH37" s="62">
        <f t="shared" si="8"/>
        <v>564.4443182209933</v>
      </c>
      <c r="BI37" s="62">
        <f ca="1">AVERAGE(OFFSET($BH$3,0,0,'Données projet'!$E$11+1,1))-AVERAGE(OFFSET($H$3,0,0,'Données projet'!$E$11+1,1))</f>
        <v>438.70522838726322</v>
      </c>
      <c r="BJ37" s="62">
        <f t="shared" si="38"/>
        <v>278.21741231699929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136.20000000000005</v>
      </c>
      <c r="BZ37" s="14">
        <f>BY37*VLOOKUP('Données projet'!$B$12,Paramètres!$A$1:$I$89,3,0)*VLOOKUP('Données projet'!$B$12,Paramètres!$A$1:$I$89,5,0)</f>
        <v>131.73264000000006</v>
      </c>
      <c r="CA37" s="14">
        <f t="shared" si="39"/>
        <v>34.396412537492502</v>
      </c>
      <c r="CB37" s="22">
        <f t="shared" si="10"/>
        <v>289.3414331694662</v>
      </c>
      <c r="CC37" s="62">
        <f t="shared" si="11"/>
        <v>582.67476650279946</v>
      </c>
      <c r="CD37" s="62">
        <f ca="1">AVERAGE(OFFSET($CC$3,0,0,'Données projet'!$E$12+1,1))-AVERAGE(OFFSET($H$3,0,0,'Données projet'!$E$12+1,1))</f>
        <v>466.10838191274445</v>
      </c>
      <c r="CE37" s="62">
        <f t="shared" si="40"/>
        <v>294.45557293177131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15.2</v>
      </c>
      <c r="CT37" s="13">
        <f>IF('Données projet'!$A$140&gt;35,CT36+CS37-DB36,IF(A37&lt;'Données projet'!$A$140,$CQ$205^A37,IF(A37='Données projet'!$A$140,'Données projet'!$B$140,CT36+CS37-DB36)))</f>
        <v>223.8</v>
      </c>
      <c r="CU37" s="18">
        <f>CT37*VLOOKUP('Données projet'!$B$13,Paramètres!$A$1:$I$89,3,0)*VLOOKUP('Données projet'!$B$13,Paramètres!$A$1:$I$89,5,0)</f>
        <v>164.09016</v>
      </c>
      <c r="CV37" s="14">
        <f t="shared" si="41"/>
        <v>41.763702733606458</v>
      </c>
      <c r="CW37" s="22">
        <f t="shared" si="13"/>
        <v>358.52881092769786</v>
      </c>
      <c r="CX37" s="62">
        <f t="shared" si="14"/>
        <v>651.86214426103118</v>
      </c>
      <c r="CY37" s="62">
        <f ca="1">AVERAGE(OFFSET($CX$3,0,0,'Données projet'!$E$13+1,1))-AVERAGE(OFFSET($H$3,0,0,'Données projet'!$E$13+1,1))</f>
        <v>376.5422416541544</v>
      </c>
      <c r="CZ37" s="62">
        <f t="shared" si="42"/>
        <v>365.76175372075869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13</v>
      </c>
      <c r="DO37" s="13">
        <f>IF('Données projet'!$A$166&gt;35,DO36+DN37-DW36,IF(A37&lt;'Données projet'!$A$166,$DL$205^A37,IF(A37='Données projet'!$A$166,'Données projet'!$B$166,DO36+DN37-DW36)))</f>
        <v>192.99999999999991</v>
      </c>
      <c r="DP37" s="18">
        <f>DO37*VLOOKUP('Données projet'!$B$14,Paramètres!$A$1:$I$89,3,0)*VLOOKUP('Données projet'!$B$14,Paramètres!$A$1:$I$89,5,0)</f>
        <v>153.55079999999995</v>
      </c>
      <c r="DQ37" s="14">
        <f t="shared" si="43"/>
        <v>39.384415616157526</v>
      </c>
      <c r="DR37" s="22">
        <f t="shared" si="16"/>
        <v>336.02883386480761</v>
      </c>
      <c r="DS37" s="62">
        <f t="shared" si="17"/>
        <v>629.36216719814092</v>
      </c>
      <c r="DT37" s="62">
        <f ca="1">AVERAGE(OFFSET($DS$3,0,0,'Données projet'!$E$14+1,1))-AVERAGE(OFFSET($H$3,0,0,'Données projet'!$E$14+1,1))</f>
        <v>352.5736659365665</v>
      </c>
      <c r="DU37" s="62">
        <f t="shared" si="44"/>
        <v>343.77208530767069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8.6</v>
      </c>
      <c r="EJ37" s="13">
        <f>IF('Données projet'!$A$192&gt;35,EJ36+EI37-ER36,IF(A37&lt;'Données projet'!$A$192,$EG$205^A37,IF(A37='Données projet'!$A$192,'Données projet'!$B$192,EJ36+EI37-ER36)))</f>
        <v>314.4000000000002</v>
      </c>
      <c r="EK37" s="18">
        <f>EJ37*VLOOKUP('Données projet'!$B$15,Paramètres!$A$1:$I$89,3,0)*VLOOKUP('Données projet'!$B$15,Paramètres!$A$1:$I$89,5,0)</f>
        <v>284.4691200000002</v>
      </c>
      <c r="EL37" s="14">
        <f t="shared" si="45"/>
        <v>67.910590237379097</v>
      </c>
      <c r="EM37" s="22">
        <f t="shared" si="19"/>
        <v>613.72799533010232</v>
      </c>
      <c r="EN37" s="62">
        <f t="shared" si="20"/>
        <v>907.06132866343569</v>
      </c>
      <c r="EO37" s="62">
        <f ca="1">AVERAGE(OFFSET($EN$3,0,0,'Données projet'!$E$15+1,1))-AVERAGE(OFFSET($H$3,0,0,'Données projet'!$E$15+1,1))</f>
        <v>436.23918637269577</v>
      </c>
      <c r="EP37" s="62">
        <f t="shared" si="46"/>
        <v>611.43967996341894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4.3424286521495716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4.3424286521495716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12.2</v>
      </c>
      <c r="FE37" s="13">
        <f>IF('Données projet'!$A$218&gt;35,FE36+FD37-FM36,IF(A37&lt;'Données projet'!$A$218,$FB$205^A37,IF(A37='Données projet'!$A$218,'Données projet'!$B$218,FE36+FD37-FM36)))</f>
        <v>188.79999999999998</v>
      </c>
      <c r="FF37" s="18">
        <f>FE37*VLOOKUP('Données projet'!$B$16,Paramètres!$A$1:$I$89,3,0)*VLOOKUP('Données projet'!$B$16,Paramètres!$A$1:$I$89,5,0)</f>
        <v>164.93567999999999</v>
      </c>
      <c r="FG37" s="14">
        <f t="shared" si="47"/>
        <v>41.953795695589498</v>
      </c>
      <c r="FH37" s="22">
        <f t="shared" si="22"/>
        <v>360.33250350315166</v>
      </c>
      <c r="FI37" s="62">
        <f t="shared" si="23"/>
        <v>653.66583683648491</v>
      </c>
      <c r="FJ37" s="62">
        <f ca="1">AVERAGE(OFFSET($FI$3,0,0,'Données projet'!$E$16+1,1))-AVERAGE(OFFSET($H$3,0,0,'Données projet'!$E$16+1,1))</f>
        <v>321.23599968992932</v>
      </c>
      <c r="FK37" s="62">
        <f t="shared" si="48"/>
        <v>388.05195847800502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377.12</v>
      </c>
      <c r="L38" s="13">
        <f>VLOOKUP(A38,'Données projet'!$A$35:$I$55,9,0)</f>
        <v>23.267142857142858</v>
      </c>
      <c r="M38" s="13">
        <f t="array" ref="M38">INDEX(L:L,MIN(IF(ISNUMBER(L38:L234),ROW(L38:L234),"")))</f>
        <v>23.267142857142858</v>
      </c>
      <c r="N38" s="14">
        <f>IF('Données projet'!$A$36&gt;35,N37+M38-V37,IF(A38&lt;'Données projet'!$A$36,$K$205^A38,IF(A38='Données projet'!$A$36,'Données projet'!$B$36,N37+M38-V37)))</f>
        <v>377.12</v>
      </c>
      <c r="O38" s="14">
        <f>N38*VLOOKUP('Données projet'!$B$9,Paramètres!$A$1:$I$89,3,0)*VLOOKUP('Données projet'!$B$9,Paramètres!$A$1:$I$89,5,0)</f>
        <v>210.81008</v>
      </c>
      <c r="P38" s="14">
        <f t="shared" si="33"/>
        <v>52.112568873523912</v>
      </c>
      <c r="Q38" s="22">
        <f t="shared" si="53"/>
        <v>457.92361345472085</v>
      </c>
      <c r="R38" s="62">
        <f t="shared" si="0"/>
        <v>751.25694678805417</v>
      </c>
      <c r="S38" s="62">
        <f ca="1">AVERAGE(OFFSET($R$3,0,0,'Données projet'!$E$9+1,1))-AVERAGE(OFFSET($H$3,0,0,'Données projet'!$E$9+1,1))</f>
        <v>389.06620927245814</v>
      </c>
      <c r="T38" s="62">
        <f t="shared" si="34"/>
        <v>356.08144160383193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86.68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26.994570855749398</v>
      </c>
      <c r="AB38" s="23">
        <f>EXP(-LN(2)/2)*AB37+(1-EXP(-LN(2)/2))/(LN(2)/2)*V38*Y38*VLOOKUP('Données projet'!$B$9,Paramètres!$A$1:$I$89,3,0)*0.475*44/12</f>
        <v>0.91611875957953148</v>
      </c>
      <c r="AC38" s="24">
        <f t="shared" si="3"/>
        <v>27.910689615328931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347</v>
      </c>
      <c r="AG38" s="13">
        <f>VLOOKUP(A38,'Données projet'!$A$61:$I$81,9,0)</f>
        <v>13.6</v>
      </c>
      <c r="AH38" s="13">
        <f t="array" ref="AH38">INDEX(AG:AG,MIN(IF(ISNUMBER(AG38:AG234),ROW(AG38:AG234),"")))</f>
        <v>13.6</v>
      </c>
      <c r="AI38" s="14">
        <f>IF('Données projet'!$A$62&gt;35,AI37+AH38-AQ37,IF(A38&lt;'Données projet'!$A$62,$AF$205^A38,IF(A38='Données projet'!$A$62,'Données projet'!$B$62,AI37+AH38-AQ37)))</f>
        <v>347.00000000000017</v>
      </c>
      <c r="AJ38" s="14">
        <f>AI38*VLOOKUP('Données projet'!$B$10,Paramètres!$A$1:$I$89,3,0)*VLOOKUP('Données projet'!$B$10,Paramètres!$A$1:$I$89,5,0)</f>
        <v>189.4620000000001</v>
      </c>
      <c r="AK38" s="14">
        <f t="shared" si="35"/>
        <v>47.420989067433958</v>
      </c>
      <c r="AL38" s="22">
        <f t="shared" si="4"/>
        <v>412.57120595911425</v>
      </c>
      <c r="AM38" s="62">
        <f t="shared" si="5"/>
        <v>705.90453929244757</v>
      </c>
      <c r="AN38" s="62">
        <f ca="1">AVERAGE(OFFSET($AM$3,0,0,'Données projet'!$E$10+1,1))-AVERAGE(OFFSET($H$3,0,0,'Données projet'!$E$10+1,1))</f>
        <v>293.73480285950245</v>
      </c>
      <c r="AO38" s="62">
        <f t="shared" si="36"/>
        <v>425.99823184414191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38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18.393647047230949</v>
      </c>
      <c r="AW38" s="23">
        <f>EXP(-LN(2)/2)*AW37+(1-EXP(-LN(2)/2))/(LN(2)/2)*AQ38*AT38*VLOOKUP('Données projet'!$B$10,Paramètres!$A$1:$I$89,3,0)*0.475*44/12</f>
        <v>3.4170749602110506</v>
      </c>
      <c r="AX38" s="23">
        <f t="shared" si="6"/>
        <v>21.810722007441999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133.00560000000004</v>
      </c>
      <c r="BF38" s="14">
        <f t="shared" si="37"/>
        <v>34.689938673073549</v>
      </c>
      <c r="BG38" s="22">
        <f t="shared" si="7"/>
        <v>292.06972985560316</v>
      </c>
      <c r="BH38" s="62">
        <f t="shared" si="8"/>
        <v>585.40306318893647</v>
      </c>
      <c r="BI38" s="62">
        <f ca="1">AVERAGE(OFFSET($BH$3,0,0,'Données projet'!$E$11+1,1))-AVERAGE(OFFSET($H$3,0,0,'Données projet'!$E$11+1,1))</f>
        <v>438.70522838726322</v>
      </c>
      <c r="BJ38" s="62">
        <f t="shared" si="38"/>
        <v>278.21741231699929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147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147.00000000000006</v>
      </c>
      <c r="BZ38" s="14">
        <f>BY38*VLOOKUP('Données projet'!$B$12,Paramètres!$A$1:$I$89,3,0)*VLOOKUP('Données projet'!$B$12,Paramètres!$A$1:$I$89,5,0)</f>
        <v>142.17840000000004</v>
      </c>
      <c r="CA38" s="14">
        <f t="shared" si="39"/>
        <v>36.795597013009356</v>
      </c>
      <c r="CB38" s="22">
        <f t="shared" si="10"/>
        <v>311.71304479765803</v>
      </c>
      <c r="CC38" s="62">
        <f t="shared" si="11"/>
        <v>605.04637813099134</v>
      </c>
      <c r="CD38" s="62">
        <f ca="1">AVERAGE(OFFSET($CC$3,0,0,'Données projet'!$E$12+1,1))-AVERAGE(OFFSET($H$3,0,0,'Données projet'!$E$12+1,1))</f>
        <v>466.10838191274445</v>
      </c>
      <c r="CE38" s="62">
        <f t="shared" si="40"/>
        <v>294.45557293177131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239</v>
      </c>
      <c r="CR38" s="13">
        <f>VLOOKUP(A38,'Données projet'!$A$139:$I$159,9,0)</f>
        <v>15.2</v>
      </c>
      <c r="CS38" s="13">
        <f t="array" ref="CS38">INDEX(CR:CR,MIN(IF(ISNUMBER(CR38:CR234),ROW(CR38:CR234),"")))</f>
        <v>15.2</v>
      </c>
      <c r="CT38" s="13">
        <f>IF('Données projet'!$A$140&gt;35,CT37+CS38-DB37,IF(A38&lt;'Données projet'!$A$140,$CQ$205^A38,IF(A38='Données projet'!$A$140,'Données projet'!$B$140,CT37+CS38-DB37)))</f>
        <v>239</v>
      </c>
      <c r="CU38" s="18">
        <f>CT38*VLOOKUP('Données projet'!$B$13,Paramètres!$A$1:$I$89,3,0)*VLOOKUP('Données projet'!$B$13,Paramètres!$A$1:$I$89,5,0)</f>
        <v>175.23480000000001</v>
      </c>
      <c r="CV38" s="14">
        <f t="shared" si="41"/>
        <v>44.260367185241513</v>
      </c>
      <c r="CW38" s="22">
        <f t="shared" si="13"/>
        <v>382.28741618096228</v>
      </c>
      <c r="CX38" s="62">
        <f t="shared" si="14"/>
        <v>675.62074951429554</v>
      </c>
      <c r="CY38" s="62">
        <f ca="1">AVERAGE(OFFSET($CX$3,0,0,'Données projet'!$E$13+1,1))-AVERAGE(OFFSET($H$3,0,0,'Données projet'!$E$13+1,1))</f>
        <v>376.5422416541544</v>
      </c>
      <c r="CZ38" s="62">
        <f t="shared" si="42"/>
        <v>365.76175372075869</v>
      </c>
      <c r="DA38" s="16">
        <f>IF(ISNA(VLOOKUP(A38,'Données projet'!$A$139:$I$159,3,0)),0,VLOOKUP(A38,'Données projet'!$A$139:$I$159,3,0))</f>
        <v>6</v>
      </c>
      <c r="DB38" s="16">
        <f>IF(ISNA(VLOOKUP(A38,'Données projet'!$A$139:$I$159,4,0)),0,VLOOKUP(A38,'Données projet'!$A$139:$I$159,4,0))</f>
        <v>42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206</v>
      </c>
      <c r="DM38" s="13">
        <f>VLOOKUP(A38,'Données projet'!$A$165:$I$185,9,0)</f>
        <v>13</v>
      </c>
      <c r="DN38" s="13">
        <f t="array" ref="DN38">INDEX(DM:DM,MIN(IF(ISNUMBER(DM38:DM234),ROW(DM38:DM234),"")))</f>
        <v>13</v>
      </c>
      <c r="DO38" s="13">
        <f>IF('Données projet'!$A$166&gt;35,DO37+DN38-DW37,IF(A38&lt;'Données projet'!$A$166,$DL$205^A38,IF(A38='Données projet'!$A$166,'Données projet'!$B$166,DO37+DN38-DW37)))</f>
        <v>205.99999999999991</v>
      </c>
      <c r="DP38" s="18">
        <f>DO38*VLOOKUP('Données projet'!$B$14,Paramètres!$A$1:$I$89,3,0)*VLOOKUP('Données projet'!$B$14,Paramètres!$A$1:$I$89,5,0)</f>
        <v>163.89359999999994</v>
      </c>
      <c r="DQ38" s="14">
        <f t="shared" si="43"/>
        <v>41.71949506642347</v>
      </c>
      <c r="DR38" s="22">
        <f t="shared" si="16"/>
        <v>358.10947390735402</v>
      </c>
      <c r="DS38" s="62">
        <f t="shared" si="17"/>
        <v>651.44280724068733</v>
      </c>
      <c r="DT38" s="62">
        <f ca="1">AVERAGE(OFFSET($DS$3,0,0,'Données projet'!$E$14+1,1))-AVERAGE(OFFSET($H$3,0,0,'Données projet'!$E$14+1,1))</f>
        <v>352.5736659365665</v>
      </c>
      <c r="DU38" s="62">
        <f t="shared" si="44"/>
        <v>343.77208530767069</v>
      </c>
      <c r="DV38" s="16">
        <f>IF(ISNA(VLOOKUP(A38,'Données projet'!$A$165:$I$185,3,0)),0,VLOOKUP(A38,'Données projet'!$A$165:$I$185,3,0))</f>
        <v>6</v>
      </c>
      <c r="DW38" s="16">
        <f>IF(ISNA(VLOOKUP(A38,'Données projet'!$A$165:$I$185,4,0)),0,VLOOKUP(A38,'Données projet'!$A$165:$I$185,4,0))</f>
        <v>35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323</v>
      </c>
      <c r="EH38" s="13">
        <f>VLOOKUP(A38,'Données projet'!$A$191:$I$211,9,0)</f>
        <v>8.6</v>
      </c>
      <c r="EI38" s="13">
        <f t="array" ref="EI38">INDEX(EH:EH,MIN(IF(ISNUMBER(EH38:EH234),ROW(EH38:EH234),"")))</f>
        <v>8.6</v>
      </c>
      <c r="EJ38" s="13">
        <f>IF('Données projet'!$A$192&gt;35,EJ37+EI38-ER37,IF(A38&lt;'Données projet'!$A$192,$EG$205^A38,IF(A38='Données projet'!$A$192,'Données projet'!$B$192,EJ37+EI38-ER37)))</f>
        <v>323.00000000000023</v>
      </c>
      <c r="EK38" s="18">
        <f>EJ38*VLOOKUP('Données projet'!$B$15,Paramètres!$A$1:$I$89,3,0)*VLOOKUP('Données projet'!$B$15,Paramètres!$A$1:$I$89,5,0)</f>
        <v>292.25040000000018</v>
      </c>
      <c r="EL38" s="14">
        <f t="shared" si="45"/>
        <v>69.549383363839993</v>
      </c>
      <c r="EM38" s="22">
        <f t="shared" si="19"/>
        <v>630.13462269202159</v>
      </c>
      <c r="EN38" s="62">
        <f t="shared" si="20"/>
        <v>923.46795602535485</v>
      </c>
      <c r="EO38" s="62">
        <f ca="1">AVERAGE(OFFSET($EN$3,0,0,'Données projet'!$E$15+1,1))-AVERAGE(OFFSET($H$3,0,0,'Données projet'!$E$15+1,1))</f>
        <v>436.23918637269577</v>
      </c>
      <c r="EP38" s="62">
        <f t="shared" si="46"/>
        <v>611.43967996341894</v>
      </c>
      <c r="EQ38" s="16">
        <f>IF(ISNA(VLOOKUP(A38,'Données projet'!$A$191:$I$211,3,0)),0,VLOOKUP(A38,'Données projet'!$A$191:$I$211,3,0))</f>
        <v>7</v>
      </c>
      <c r="ER38" s="16">
        <f>IF(ISNA(VLOOKUP(A38,'Données projet'!$A$191:$I$211,4,0)),0,VLOOKUP(A38,'Données projet'!$A$191:$I$211,4,0))</f>
        <v>11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4.2572762749008666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4.2572762749008666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201</v>
      </c>
      <c r="FC38" s="13">
        <f>VLOOKUP(A38,'Données projet'!$A$217:$I$237,9,0)</f>
        <v>12.2</v>
      </c>
      <c r="FD38" s="13">
        <f t="array" ref="FD38">INDEX(FC:FC,MIN(IF(ISNUMBER(FC38:FC234),ROW(FC38:FC234),"")))</f>
        <v>12.2</v>
      </c>
      <c r="FE38" s="13">
        <f>IF('Données projet'!$A$218&gt;35,FE37+FD38-FM37,IF(A38&lt;'Données projet'!$A$218,$FB$205^A38,IF(A38='Données projet'!$A$218,'Données projet'!$B$218,FE37+FD38-FM37)))</f>
        <v>200.99999999999997</v>
      </c>
      <c r="FF38" s="18">
        <f>FE38*VLOOKUP('Données projet'!$B$16,Paramètres!$A$1:$I$89,3,0)*VLOOKUP('Données projet'!$B$16,Paramètres!$A$1:$I$89,5,0)</f>
        <v>175.59359999999998</v>
      </c>
      <c r="FG38" s="14">
        <f t="shared" si="47"/>
        <v>44.340433728638573</v>
      </c>
      <c r="FH38" s="22">
        <f t="shared" si="22"/>
        <v>383.05177541071208</v>
      </c>
      <c r="FI38" s="62">
        <f t="shared" si="23"/>
        <v>676.3851087440454</v>
      </c>
      <c r="FJ38" s="62">
        <f ca="1">AVERAGE(OFFSET($FI$3,0,0,'Données projet'!$E$16+1,1))-AVERAGE(OFFSET($H$3,0,0,'Données projet'!$E$16+1,1))</f>
        <v>321.23599968992932</v>
      </c>
      <c r="FK38" s="62">
        <f t="shared" si="48"/>
        <v>388.05195847800502</v>
      </c>
      <c r="FL38" s="16">
        <f>IF(ISNA(VLOOKUP(A38,'Données projet'!$A$217:$I$237,3,0)),0,VLOOKUP(A38,'Données projet'!$A$217:$I$237,3,0))</f>
        <v>5</v>
      </c>
      <c r="FM38" s="16">
        <f>IF(ISNA(VLOOKUP(A38,'Données projet'!$A$217:$I$237,4,0)),0,VLOOKUP(A38,'Données projet'!$A$217:$I$237,4,0))</f>
        <v>42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22.82714285714286</v>
      </c>
      <c r="N39" s="14">
        <f>IF('Données projet'!$A$36&gt;35,N38+M39-V38,IF(A39&lt;'Données projet'!$A$36,$K$205^A39,IF(A39='Données projet'!$A$36,'Données projet'!$B$36,N38+M39-V38)))</f>
        <v>313.26714285714286</v>
      </c>
      <c r="O39" s="14">
        <f>N39*VLOOKUP('Données projet'!$B$9,Paramètres!$A$1:$I$89,3,0)*VLOOKUP('Données projet'!$B$9,Paramètres!$A$1:$I$89,5,0)</f>
        <v>175.11633285714288</v>
      </c>
      <c r="P39" s="14">
        <f t="shared" si="33"/>
        <v>44.233926946721667</v>
      </c>
      <c r="Q39" s="22">
        <f t="shared" si="53"/>
        <v>382.03503582506414</v>
      </c>
      <c r="R39" s="62">
        <f t="shared" si="0"/>
        <v>675.3683691583974</v>
      </c>
      <c r="S39" s="62">
        <f ca="1">AVERAGE(OFFSET($R$3,0,0,'Données projet'!$E$9+1,1))-AVERAGE(OFFSET($H$3,0,0,'Données projet'!$E$9+1,1))</f>
        <v>389.06620927245814</v>
      </c>
      <c r="T39" s="62">
        <f t="shared" si="34"/>
        <v>356.08144160383193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26.256402896116146</v>
      </c>
      <c r="AB39" s="23">
        <f>EXP(-LN(2)/2)*AB38+(1-EXP(-LN(2)/2))/(LN(2)/2)*V39*Y39*VLOOKUP('Données projet'!$B$9,Paramètres!$A$1:$I$89,3,0)*0.475*44/12</f>
        <v>0.6477937872708952</v>
      </c>
      <c r="AC39" s="24">
        <f t="shared" si="3"/>
        <v>26.904196683387042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10.199999999999999</v>
      </c>
      <c r="AI39" s="14">
        <f>IF('Données projet'!$A$62&gt;35,AI38+AH39-AQ38,IF(A39&lt;'Données projet'!$A$62,$AF$205^A39,IF(A39='Données projet'!$A$62,'Données projet'!$B$62,AI38+AH39-AQ38)))</f>
        <v>319.20000000000016</v>
      </c>
      <c r="AJ39" s="14">
        <f>AI39*VLOOKUP('Données projet'!$B$10,Paramètres!$A$1:$I$89,3,0)*VLOOKUP('Données projet'!$B$10,Paramètres!$A$1:$I$89,5,0)</f>
        <v>174.28320000000008</v>
      </c>
      <c r="AK39" s="14">
        <f t="shared" si="35"/>
        <v>44.047924241116156</v>
      </c>
      <c r="AL39" s="22">
        <f t="shared" si="4"/>
        <v>380.26004138661079</v>
      </c>
      <c r="AM39" s="62">
        <f t="shared" si="5"/>
        <v>673.59337471994411</v>
      </c>
      <c r="AN39" s="62">
        <f ca="1">AVERAGE(OFFSET($AM$3,0,0,'Données projet'!$E$10+1,1))-AVERAGE(OFFSET($H$3,0,0,'Données projet'!$E$10+1,1))</f>
        <v>293.73480285950245</v>
      </c>
      <c r="AO39" s="62">
        <f t="shared" si="36"/>
        <v>425.99823184414191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17.890671801444562</v>
      </c>
      <c r="AW39" s="23">
        <f>EXP(-LN(2)/2)*AW38+(1-EXP(-LN(2)/2))/(LN(2)/2)*AQ39*AT39*VLOOKUP('Données projet'!$B$10,Paramètres!$A$1:$I$89,3,0)*0.475*44/12</f>
        <v>2.4162368761879862</v>
      </c>
      <c r="AX39" s="23">
        <f t="shared" si="6"/>
        <v>20.306908677632549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117.80496000000004</v>
      </c>
      <c r="BF39" s="14">
        <f t="shared" si="37"/>
        <v>31.162493487829593</v>
      </c>
      <c r="BG39" s="22">
        <f t="shared" si="7"/>
        <v>259.45164815796994</v>
      </c>
      <c r="BH39" s="62">
        <f t="shared" si="8"/>
        <v>552.78498149130326</v>
      </c>
      <c r="BI39" s="62">
        <f ca="1">AVERAGE(OFFSET($BH$3,0,0,'Données projet'!$E$11+1,1))-AVERAGE(OFFSET($H$3,0,0,'Données projet'!$E$11+1,1))</f>
        <v>438.70522838726322</v>
      </c>
      <c r="BJ39" s="62">
        <f t="shared" si="38"/>
        <v>278.21741231699929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130.20000000000005</v>
      </c>
      <c r="BZ39" s="14">
        <f>BY39*VLOOKUP('Données projet'!$B$12,Paramètres!$A$1:$I$89,3,0)*VLOOKUP('Données projet'!$B$12,Paramètres!$A$1:$I$89,5,0)</f>
        <v>125.92944000000006</v>
      </c>
      <c r="CA39" s="14">
        <f t="shared" si="39"/>
        <v>33.054038034052077</v>
      </c>
      <c r="CB39" s="22">
        <f t="shared" si="10"/>
        <v>276.89622424264081</v>
      </c>
      <c r="CC39" s="62">
        <f t="shared" si="11"/>
        <v>570.22955757597413</v>
      </c>
      <c r="CD39" s="62">
        <f ca="1">AVERAGE(OFFSET($CC$3,0,0,'Données projet'!$E$12+1,1))-AVERAGE(OFFSET($H$3,0,0,'Données projet'!$E$12+1,1))</f>
        <v>466.10838191274445</v>
      </c>
      <c r="CE39" s="62">
        <f t="shared" si="40"/>
        <v>294.45557293177131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13.2</v>
      </c>
      <c r="CT39" s="13">
        <f>IF('Données projet'!$A$140&gt;35,CT38+CS39-DB38,IF(A39&lt;'Données projet'!$A$140,$CQ$205^A39,IF(A39='Données projet'!$A$140,'Données projet'!$B$140,CT38+CS39-DB38)))</f>
        <v>210.2</v>
      </c>
      <c r="CU39" s="18">
        <f>CT39*VLOOKUP('Données projet'!$B$13,Paramètres!$A$1:$I$89,3,0)*VLOOKUP('Données projet'!$B$13,Paramètres!$A$1:$I$89,5,0)</f>
        <v>154.11863999999997</v>
      </c>
      <c r="CV39" s="14">
        <f t="shared" si="41"/>
        <v>39.513080685376593</v>
      </c>
      <c r="CW39" s="22">
        <f t="shared" si="13"/>
        <v>337.24191352703082</v>
      </c>
      <c r="CX39" s="62">
        <f t="shared" si="14"/>
        <v>630.57524686036413</v>
      </c>
      <c r="CY39" s="62">
        <f ca="1">AVERAGE(OFFSET($CX$3,0,0,'Données projet'!$E$13+1,1))-AVERAGE(OFFSET($H$3,0,0,'Données projet'!$E$13+1,1))</f>
        <v>376.5422416541544</v>
      </c>
      <c r="CZ39" s="62">
        <f t="shared" si="42"/>
        <v>365.76175372075869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11.4</v>
      </c>
      <c r="DO39" s="13">
        <f>IF('Données projet'!$A$166&gt;35,DO38+DN39-DW38,IF(A39&lt;'Données projet'!$A$166,$DL$205^A39,IF(A39='Données projet'!$A$166,'Données projet'!$B$166,DO38+DN39-DW38)))</f>
        <v>182.39999999999992</v>
      </c>
      <c r="DP39" s="18">
        <f>DO39*VLOOKUP('Données projet'!$B$14,Paramètres!$A$1:$I$89,3,0)*VLOOKUP('Données projet'!$B$14,Paramètres!$A$1:$I$89,5,0)</f>
        <v>145.11743999999993</v>
      </c>
      <c r="DQ39" s="14">
        <f t="shared" si="43"/>
        <v>37.466878406916173</v>
      </c>
      <c r="DR39" s="22">
        <f t="shared" si="16"/>
        <v>318.00102122537891</v>
      </c>
      <c r="DS39" s="62">
        <f t="shared" si="17"/>
        <v>611.33435455871222</v>
      </c>
      <c r="DT39" s="62">
        <f ca="1">AVERAGE(OFFSET($DS$3,0,0,'Données projet'!$E$14+1,1))-AVERAGE(OFFSET($H$3,0,0,'Données projet'!$E$14+1,1))</f>
        <v>352.5736659365665</v>
      </c>
      <c r="DU39" s="62">
        <f t="shared" si="44"/>
        <v>343.77208530767069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7.6</v>
      </c>
      <c r="EJ39" s="13">
        <f>IF('Données projet'!$A$192&gt;35,EJ38+EI39-ER38,IF(A39&lt;'Données projet'!$A$192,$EG$205^A39,IF(A39='Données projet'!$A$192,'Données projet'!$B$192,EJ38+EI39-ER38)))</f>
        <v>319.60000000000025</v>
      </c>
      <c r="EK39" s="18">
        <f>EJ39*VLOOKUP('Données projet'!$B$15,Paramètres!$A$1:$I$89,3,0)*VLOOKUP('Données projet'!$B$15,Paramètres!$A$1:$I$89,5,0)</f>
        <v>289.17408000000023</v>
      </c>
      <c r="EL39" s="14">
        <f t="shared" si="45"/>
        <v>68.902103026957732</v>
      </c>
      <c r="EM39" s="22">
        <f t="shared" si="19"/>
        <v>623.64935210528506</v>
      </c>
      <c r="EN39" s="62">
        <f t="shared" si="20"/>
        <v>916.98268543861832</v>
      </c>
      <c r="EO39" s="62">
        <f ca="1">AVERAGE(OFFSET($EN$3,0,0,'Données projet'!$E$15+1,1))-AVERAGE(OFFSET($H$3,0,0,'Données projet'!$E$15+1,1))</f>
        <v>436.23918637269577</v>
      </c>
      <c r="EP39" s="62">
        <f t="shared" si="46"/>
        <v>611.43967996341894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4.1737936838321872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4.1737936838321872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10.8</v>
      </c>
      <c r="FE39" s="13">
        <f>IF('Données projet'!$A$218&gt;35,FE38+FD39-FM38,IF(A39&lt;'Données projet'!$A$218,$FB$205^A39,IF(A39='Données projet'!$A$218,'Données projet'!$B$218,FE38+FD39-FM38)))</f>
        <v>169.79999999999998</v>
      </c>
      <c r="FF39" s="18">
        <f>FE39*VLOOKUP('Données projet'!$B$16,Paramètres!$A$1:$I$89,3,0)*VLOOKUP('Données projet'!$B$16,Paramètres!$A$1:$I$89,5,0)</f>
        <v>148.33727999999999</v>
      </c>
      <c r="FG39" s="14">
        <f t="shared" si="47"/>
        <v>38.200481752654802</v>
      </c>
      <c r="FH39" s="22">
        <f t="shared" si="22"/>
        <v>324.88660171920714</v>
      </c>
      <c r="FI39" s="62">
        <f t="shared" si="23"/>
        <v>618.21993505254045</v>
      </c>
      <c r="FJ39" s="62">
        <f ca="1">AVERAGE(OFFSET($FI$3,0,0,'Données projet'!$E$16+1,1))-AVERAGE(OFFSET($H$3,0,0,'Données projet'!$E$16+1,1))</f>
        <v>321.23599968992932</v>
      </c>
      <c r="FK39" s="62">
        <f t="shared" si="48"/>
        <v>388.05195847800502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22.82714285714286</v>
      </c>
      <c r="N40" s="14">
        <f>IF('Données projet'!$A$36&gt;35,N39+M40-V39,IF(A40&lt;'Données projet'!$A$36,$K$205^A40,IF(A40='Données projet'!$A$36,'Données projet'!$B$36,N39+M40-V39)))</f>
        <v>336.09428571428572</v>
      </c>
      <c r="O40" s="14">
        <f>N40*VLOOKUP('Données projet'!$B$9,Paramètres!$A$1:$I$89,3,0)*VLOOKUP('Données projet'!$B$9,Paramètres!$A$1:$I$89,5,0)</f>
        <v>187.87670571428572</v>
      </c>
      <c r="P40" s="14">
        <f t="shared" si="33"/>
        <v>47.070216037627915</v>
      </c>
      <c r="Q40" s="22">
        <f t="shared" si="53"/>
        <v>409.19922205124954</v>
      </c>
      <c r="R40" s="62">
        <f t="shared" si="0"/>
        <v>702.53255538458279</v>
      </c>
      <c r="S40" s="62">
        <f ca="1">AVERAGE(OFFSET($R$3,0,0,'Données projet'!$E$9+1,1))-AVERAGE(OFFSET($H$3,0,0,'Données projet'!$E$9+1,1))</f>
        <v>389.06620927245814</v>
      </c>
      <c r="T40" s="62">
        <f t="shared" si="34"/>
        <v>356.08144160383193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25.538420178157633</v>
      </c>
      <c r="AB40" s="23">
        <f>EXP(-LN(2)/2)*AB39+(1-EXP(-LN(2)/2))/(LN(2)/2)*V40*Y40*VLOOKUP('Données projet'!$B$9,Paramètres!$A$1:$I$89,3,0)*0.475*44/12</f>
        <v>0.45805937978976585</v>
      </c>
      <c r="AC40" s="24">
        <f t="shared" si="3"/>
        <v>25.996479557947399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10.199999999999999</v>
      </c>
      <c r="AI40" s="14">
        <f>IF('Données projet'!$A$62&gt;35,AI39+AH40-AQ39,IF(A40&lt;'Données projet'!$A$62,$AF$205^A40,IF(A40='Données projet'!$A$62,'Données projet'!$B$62,AI39+AH40-AQ39)))</f>
        <v>329.40000000000015</v>
      </c>
      <c r="AJ40" s="14">
        <f>AI40*VLOOKUP('Données projet'!$B$10,Paramètres!$A$1:$I$89,3,0)*VLOOKUP('Données projet'!$B$10,Paramètres!$A$1:$I$89,5,0)</f>
        <v>179.8524000000001</v>
      </c>
      <c r="AK40" s="14">
        <f t="shared" si="35"/>
        <v>45.289346318280131</v>
      </c>
      <c r="AL40" s="22">
        <f t="shared" si="4"/>
        <v>392.12187483767138</v>
      </c>
      <c r="AM40" s="62">
        <f t="shared" si="5"/>
        <v>685.45520817100464</v>
      </c>
      <c r="AN40" s="62">
        <f ca="1">AVERAGE(OFFSET($AM$3,0,0,'Données projet'!$E$10+1,1))-AVERAGE(OFFSET($H$3,0,0,'Données projet'!$E$10+1,1))</f>
        <v>293.73480285950245</v>
      </c>
      <c r="AO40" s="62">
        <f t="shared" si="36"/>
        <v>425.99823184414191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17.40145044020452</v>
      </c>
      <c r="AW40" s="23">
        <f>EXP(-LN(2)/2)*AW39+(1-EXP(-LN(2)/2))/(LN(2)/2)*AQ40*AT40*VLOOKUP('Données projet'!$B$10,Paramètres!$A$1:$I$89,3,0)*0.475*44/12</f>
        <v>1.7085374801055255</v>
      </c>
      <c r="AX40" s="23">
        <f t="shared" si="6"/>
        <v>19.109987920310047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127.93872000000003</v>
      </c>
      <c r="BF40" s="14">
        <f t="shared" si="37"/>
        <v>33.519615889545641</v>
      </c>
      <c r="BG40" s="22">
        <f t="shared" si="7"/>
        <v>281.20660167429202</v>
      </c>
      <c r="BH40" s="62">
        <f t="shared" si="8"/>
        <v>574.53993500762533</v>
      </c>
      <c r="BI40" s="62">
        <f ca="1">AVERAGE(OFFSET($BH$3,0,0,'Données projet'!$E$11+1,1))-AVERAGE(OFFSET($H$3,0,0,'Données projet'!$E$11+1,1))</f>
        <v>438.70522838726322</v>
      </c>
      <c r="BJ40" s="62">
        <f t="shared" si="38"/>
        <v>278.21741231699929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141.40000000000003</v>
      </c>
      <c r="BZ40" s="14">
        <f>BY40*VLOOKUP('Données projet'!$B$12,Paramètres!$A$1:$I$89,3,0)*VLOOKUP('Données projet'!$B$12,Paramètres!$A$1:$I$89,5,0)</f>
        <v>136.76208000000003</v>
      </c>
      <c r="CA40" s="14">
        <f t="shared" si="39"/>
        <v>35.554236342883392</v>
      </c>
      <c r="CB40" s="22">
        <f t="shared" si="10"/>
        <v>300.11758429718861</v>
      </c>
      <c r="CC40" s="62">
        <f t="shared" si="11"/>
        <v>593.45091763052187</v>
      </c>
      <c r="CD40" s="62">
        <f ca="1">AVERAGE(OFFSET($CC$3,0,0,'Données projet'!$E$12+1,1))-AVERAGE(OFFSET($H$3,0,0,'Données projet'!$E$12+1,1))</f>
        <v>466.10838191274445</v>
      </c>
      <c r="CE40" s="62">
        <f t="shared" si="40"/>
        <v>294.45557293177131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13.2</v>
      </c>
      <c r="CT40" s="13">
        <f>IF('Données projet'!$A$140&gt;35,CT39+CS40-DB39,IF(A40&lt;'Données projet'!$A$140,$CQ$205^A40,IF(A40='Données projet'!$A$140,'Données projet'!$B$140,CT39+CS40-DB39)))</f>
        <v>223.39999999999998</v>
      </c>
      <c r="CU40" s="18">
        <f>CT40*VLOOKUP('Données projet'!$B$13,Paramètres!$A$1:$I$89,3,0)*VLOOKUP('Données projet'!$B$13,Paramètres!$A$1:$I$89,5,0)</f>
        <v>163.79687999999999</v>
      </c>
      <c r="CV40" s="14">
        <f t="shared" si="41"/>
        <v>41.697739822198329</v>
      </c>
      <c r="CW40" s="22">
        <f t="shared" si="13"/>
        <v>357.90312952366207</v>
      </c>
      <c r="CX40" s="62">
        <f t="shared" si="14"/>
        <v>651.23646285699533</v>
      </c>
      <c r="CY40" s="62">
        <f ca="1">AVERAGE(OFFSET($CX$3,0,0,'Données projet'!$E$13+1,1))-AVERAGE(OFFSET($H$3,0,0,'Données projet'!$E$13+1,1))</f>
        <v>376.5422416541544</v>
      </c>
      <c r="CZ40" s="62">
        <f t="shared" si="42"/>
        <v>365.76175372075869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11.4</v>
      </c>
      <c r="DO40" s="13">
        <f>IF('Données projet'!$A$166&gt;35,DO39+DN40-DW39,IF(A40&lt;'Données projet'!$A$166,$DL$205^A40,IF(A40='Données projet'!$A$166,'Données projet'!$B$166,DO39+DN40-DW39)))</f>
        <v>193.79999999999993</v>
      </c>
      <c r="DP40" s="18">
        <f>DO40*VLOOKUP('Données projet'!$B$14,Paramètres!$A$1:$I$89,3,0)*VLOOKUP('Données projet'!$B$14,Paramètres!$A$1:$I$89,5,0)</f>
        <v>154.18727999999996</v>
      </c>
      <c r="DQ40" s="14">
        <f t="shared" si="43"/>
        <v>39.528629863903078</v>
      </c>
      <c r="DR40" s="22">
        <f t="shared" si="16"/>
        <v>337.38854301296448</v>
      </c>
      <c r="DS40" s="62">
        <f t="shared" si="17"/>
        <v>630.72187634629779</v>
      </c>
      <c r="DT40" s="62">
        <f ca="1">AVERAGE(OFFSET($DS$3,0,0,'Données projet'!$E$14+1,1))-AVERAGE(OFFSET($H$3,0,0,'Données projet'!$E$14+1,1))</f>
        <v>352.5736659365665</v>
      </c>
      <c r="DU40" s="62">
        <f t="shared" si="44"/>
        <v>343.77208530767069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7.6</v>
      </c>
      <c r="EJ40" s="13">
        <f>IF('Données projet'!$A$192&gt;35,EJ39+EI40-ER39,IF(A40&lt;'Données projet'!$A$192,$EG$205^A40,IF(A40='Données projet'!$A$192,'Données projet'!$B$192,EJ39+EI40-ER39)))</f>
        <v>327.20000000000027</v>
      </c>
      <c r="EK40" s="18">
        <f>EJ40*VLOOKUP('Données projet'!$B$15,Paramètres!$A$1:$I$89,3,0)*VLOOKUP('Données projet'!$B$15,Paramètres!$A$1:$I$89,5,0)</f>
        <v>296.05056000000025</v>
      </c>
      <c r="EL40" s="14">
        <f t="shared" si="45"/>
        <v>70.347871650924077</v>
      </c>
      <c r="EM40" s="22">
        <f t="shared" si="19"/>
        <v>638.1439351253598</v>
      </c>
      <c r="EN40" s="62">
        <f t="shared" si="20"/>
        <v>931.47726845869306</v>
      </c>
      <c r="EO40" s="62">
        <f ca="1">AVERAGE(OFFSET($EN$3,0,0,'Données projet'!$E$15+1,1))-AVERAGE(OFFSET($H$3,0,0,'Données projet'!$E$15+1,1))</f>
        <v>436.23918637269577</v>
      </c>
      <c r="EP40" s="62">
        <f t="shared" si="46"/>
        <v>611.43967996341894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4.091948135455012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4.091948135455012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10.8</v>
      </c>
      <c r="FE40" s="13">
        <f>IF('Données projet'!$A$218&gt;35,FE39+FD40-FM39,IF(A40&lt;'Données projet'!$A$218,$FB$205^A40,IF(A40='Données projet'!$A$218,'Données projet'!$B$218,FE39+FD40-FM39)))</f>
        <v>180.6</v>
      </c>
      <c r="FF40" s="18">
        <f>FE40*VLOOKUP('Données projet'!$B$16,Paramètres!$A$1:$I$89,3,0)*VLOOKUP('Données projet'!$B$16,Paramètres!$A$1:$I$89,5,0)</f>
        <v>157.77216000000001</v>
      </c>
      <c r="FG40" s="14">
        <f t="shared" si="47"/>
        <v>40.339610539653599</v>
      </c>
      <c r="FH40" s="22">
        <f t="shared" si="22"/>
        <v>345.04466702323003</v>
      </c>
      <c r="FI40" s="62">
        <f t="shared" si="23"/>
        <v>638.37800035656335</v>
      </c>
      <c r="FJ40" s="62">
        <f ca="1">AVERAGE(OFFSET($FI$3,0,0,'Données projet'!$E$16+1,1))-AVERAGE(OFFSET($H$3,0,0,'Données projet'!$E$16+1,1))</f>
        <v>321.23599968992932</v>
      </c>
      <c r="FK40" s="62">
        <f t="shared" si="48"/>
        <v>388.05195847800502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22.82714285714286</v>
      </c>
      <c r="N41" s="14">
        <f>IF('Données projet'!$A$36&gt;35,N40+M41-V40,IF(A41&lt;'Données projet'!$A$36,$K$205^A41,IF(A41='Données projet'!$A$36,'Données projet'!$B$36,N40+M41-V40)))</f>
        <v>358.92142857142858</v>
      </c>
      <c r="O41" s="14">
        <f>N41*VLOOKUP('Données projet'!$B$9,Paramètres!$A$1:$I$89,3,0)*VLOOKUP('Données projet'!$B$9,Paramètres!$A$1:$I$89,5,0)</f>
        <v>200.63707857142856</v>
      </c>
      <c r="P41" s="14">
        <f t="shared" si="33"/>
        <v>49.884152387105956</v>
      </c>
      <c r="Q41" s="22">
        <f t="shared" si="53"/>
        <v>436.32447725278098</v>
      </c>
      <c r="R41" s="62">
        <f t="shared" si="0"/>
        <v>729.65781058611424</v>
      </c>
      <c r="S41" s="62">
        <f ca="1">AVERAGE(OFFSET($R$3,0,0,'Données projet'!$E$9+1,1))-AVERAGE(OFFSET($H$3,0,0,'Données projet'!$E$9+1,1))</f>
        <v>389.06620927245814</v>
      </c>
      <c r="T41" s="62">
        <f t="shared" si="34"/>
        <v>356.08144160383193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24.840070735378763</v>
      </c>
      <c r="AB41" s="23">
        <f>EXP(-LN(2)/2)*AB40+(1-EXP(-LN(2)/2))/(LN(2)/2)*V41*Y41*VLOOKUP('Données projet'!$B$9,Paramètres!$A$1:$I$89,3,0)*0.475*44/12</f>
        <v>0.32389689363544766</v>
      </c>
      <c r="AC41" s="24">
        <f t="shared" si="3"/>
        <v>25.163967629014209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10.199999999999999</v>
      </c>
      <c r="AI41" s="14">
        <f>IF('Données projet'!$A$62&gt;35,AI40+AH41-AQ40,IF(A41&lt;'Données projet'!$A$62,$AF$205^A41,IF(A41='Données projet'!$A$62,'Données projet'!$B$62,AI40+AH41-AQ40)))</f>
        <v>339.60000000000014</v>
      </c>
      <c r="AJ41" s="14">
        <f>AI41*VLOOKUP('Données projet'!$B$10,Paramètres!$A$1:$I$89,3,0)*VLOOKUP('Données projet'!$B$10,Paramètres!$A$1:$I$89,5,0)</f>
        <v>185.4216000000001</v>
      </c>
      <c r="AK41" s="14">
        <f t="shared" si="35"/>
        <v>46.526301148997497</v>
      </c>
      <c r="AL41" s="22">
        <f t="shared" si="4"/>
        <v>403.97592783450415</v>
      </c>
      <c r="AM41" s="62">
        <f t="shared" si="5"/>
        <v>697.30926116783746</v>
      </c>
      <c r="AN41" s="62">
        <f ca="1">AVERAGE(OFFSET($AM$3,0,0,'Données projet'!$E$10+1,1))-AVERAGE(OFFSET($H$3,0,0,'Données projet'!$E$10+1,1))</f>
        <v>293.73480285950245</v>
      </c>
      <c r="AO41" s="62">
        <f t="shared" si="36"/>
        <v>425.99823184414191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16.925606862814622</v>
      </c>
      <c r="AW41" s="23">
        <f>EXP(-LN(2)/2)*AW40+(1-EXP(-LN(2)/2))/(LN(2)/2)*AQ41*AT41*VLOOKUP('Données projet'!$B$10,Paramètres!$A$1:$I$89,3,0)*0.475*44/12</f>
        <v>1.2081184380939931</v>
      </c>
      <c r="AX41" s="23">
        <f t="shared" si="6"/>
        <v>18.133725300908615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138.07248000000001</v>
      </c>
      <c r="BF41" s="14">
        <f t="shared" si="37"/>
        <v>35.85508207677799</v>
      </c>
      <c r="BG41" s="22">
        <f t="shared" si="7"/>
        <v>302.9238372837217</v>
      </c>
      <c r="BH41" s="62">
        <f t="shared" si="8"/>
        <v>596.25717061705495</v>
      </c>
      <c r="BI41" s="62">
        <f ca="1">AVERAGE(OFFSET($BH$3,0,0,'Données projet'!$E$11+1,1))-AVERAGE(OFFSET($H$3,0,0,'Données projet'!$E$11+1,1))</f>
        <v>438.70522838726322</v>
      </c>
      <c r="BJ41" s="62">
        <f t="shared" si="38"/>
        <v>278.21741231699929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152.60000000000002</v>
      </c>
      <c r="BZ41" s="14">
        <f>BY41*VLOOKUP('Données projet'!$B$12,Paramètres!$A$1:$I$89,3,0)*VLOOKUP('Données projet'!$B$12,Paramètres!$A$1:$I$89,5,0)</f>
        <v>147.59472000000002</v>
      </c>
      <c r="CA41" s="14">
        <f t="shared" si="39"/>
        <v>38.031463918082679</v>
      </c>
      <c r="CB41" s="22">
        <f t="shared" si="10"/>
        <v>323.29893699066071</v>
      </c>
      <c r="CC41" s="62">
        <f t="shared" si="11"/>
        <v>616.63227032399402</v>
      </c>
      <c r="CD41" s="62">
        <f ca="1">AVERAGE(OFFSET($CC$3,0,0,'Données projet'!$E$12+1,1))-AVERAGE(OFFSET($H$3,0,0,'Données projet'!$E$12+1,1))</f>
        <v>466.10838191274445</v>
      </c>
      <c r="CE41" s="62">
        <f t="shared" si="40"/>
        <v>294.45557293177131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13.2</v>
      </c>
      <c r="CT41" s="13">
        <f>IF('Données projet'!$A$140&gt;35,CT40+CS41-DB40,IF(A41&lt;'Données projet'!$A$140,$CQ$205^A41,IF(A41='Données projet'!$A$140,'Données projet'!$B$140,CT40+CS41-DB40)))</f>
        <v>236.59999999999997</v>
      </c>
      <c r="CU41" s="18">
        <f>CT41*VLOOKUP('Données projet'!$B$13,Paramètres!$A$1:$I$89,3,0)*VLOOKUP('Données projet'!$B$13,Paramètres!$A$1:$I$89,5,0)</f>
        <v>173.47511999999998</v>
      </c>
      <c r="CV41" s="14">
        <f t="shared" si="41"/>
        <v>43.867415861334891</v>
      </c>
      <c r="CW41" s="22">
        <f t="shared" si="13"/>
        <v>378.53824995849158</v>
      </c>
      <c r="CX41" s="62">
        <f t="shared" si="14"/>
        <v>671.87158329182489</v>
      </c>
      <c r="CY41" s="62">
        <f ca="1">AVERAGE(OFFSET($CX$3,0,0,'Données projet'!$E$13+1,1))-AVERAGE(OFFSET($H$3,0,0,'Données projet'!$E$13+1,1))</f>
        <v>376.5422416541544</v>
      </c>
      <c r="CZ41" s="62">
        <f t="shared" si="42"/>
        <v>365.76175372075869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11.4</v>
      </c>
      <c r="DO41" s="13">
        <f>IF('Données projet'!$A$166&gt;35,DO40+DN41-DW40,IF(A41&lt;'Données projet'!$A$166,$DL$205^A41,IF(A41='Données projet'!$A$166,'Données projet'!$B$166,DO40+DN41-DW40)))</f>
        <v>205.19999999999993</v>
      </c>
      <c r="DP41" s="18">
        <f>DO41*VLOOKUP('Données projet'!$B$14,Paramètres!$A$1:$I$89,3,0)*VLOOKUP('Données projet'!$B$14,Paramètres!$A$1:$I$89,5,0)</f>
        <v>163.25711999999996</v>
      </c>
      <c r="DQ41" s="14">
        <f t="shared" si="43"/>
        <v>41.576304038313033</v>
      </c>
      <c r="DR41" s="22">
        <f t="shared" si="16"/>
        <v>356.7515468667284</v>
      </c>
      <c r="DS41" s="62">
        <f t="shared" si="17"/>
        <v>650.08488020006166</v>
      </c>
      <c r="DT41" s="62">
        <f ca="1">AVERAGE(OFFSET($DS$3,0,0,'Données projet'!$E$14+1,1))-AVERAGE(OFFSET($H$3,0,0,'Données projet'!$E$14+1,1))</f>
        <v>352.5736659365665</v>
      </c>
      <c r="DU41" s="62">
        <f t="shared" si="44"/>
        <v>343.77208530767069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7.6</v>
      </c>
      <c r="EJ41" s="13">
        <f>IF('Données projet'!$A$192&gt;35,EJ40+EI41-ER40,IF(A41&lt;'Données projet'!$A$192,$EG$205^A41,IF(A41='Données projet'!$A$192,'Données projet'!$B$192,EJ40+EI41-ER40)))</f>
        <v>334.8000000000003</v>
      </c>
      <c r="EK41" s="18">
        <f>EJ41*VLOOKUP('Données projet'!$B$15,Paramètres!$A$1:$I$89,3,0)*VLOOKUP('Données projet'!$B$15,Paramètres!$A$1:$I$89,5,0)</f>
        <v>302.92704000000026</v>
      </c>
      <c r="EL41" s="14">
        <f t="shared" si="45"/>
        <v>71.789736305653022</v>
      </c>
      <c r="EM41" s="22">
        <f t="shared" si="19"/>
        <v>652.63171873234603</v>
      </c>
      <c r="EN41" s="62">
        <f t="shared" si="20"/>
        <v>945.9650520656794</v>
      </c>
      <c r="EO41" s="62">
        <f ca="1">AVERAGE(OFFSET($EN$3,0,0,'Données projet'!$E$15+1,1))-AVERAGE(OFFSET($H$3,0,0,'Données projet'!$E$15+1,1))</f>
        <v>436.23918637269577</v>
      </c>
      <c r="EP41" s="62">
        <f t="shared" si="46"/>
        <v>611.43967996341894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4.0117075283606578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4.0117075283606578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10.8</v>
      </c>
      <c r="FE41" s="13">
        <f>IF('Données projet'!$A$218&gt;35,FE40+FD41-FM40,IF(A41&lt;'Données projet'!$A$218,$FB$205^A41,IF(A41='Données projet'!$A$218,'Données projet'!$B$218,FE40+FD41-FM40)))</f>
        <v>191.4</v>
      </c>
      <c r="FF41" s="18">
        <f>FE41*VLOOKUP('Données projet'!$B$16,Paramètres!$A$1:$I$89,3,0)*VLOOKUP('Données projet'!$B$16,Paramètres!$A$1:$I$89,5,0)</f>
        <v>167.20704000000003</v>
      </c>
      <c r="FG41" s="14">
        <f t="shared" si="47"/>
        <v>42.463891647822834</v>
      </c>
      <c r="FH41" s="22">
        <f t="shared" si="22"/>
        <v>365.17687261995815</v>
      </c>
      <c r="FI41" s="62">
        <f t="shared" si="23"/>
        <v>658.51020595329146</v>
      </c>
      <c r="FJ41" s="62">
        <f ca="1">AVERAGE(OFFSET($FI$3,0,0,'Données projet'!$E$16+1,1))-AVERAGE(OFFSET($H$3,0,0,'Données projet'!$E$16+1,1))</f>
        <v>321.23599968992932</v>
      </c>
      <c r="FK41" s="62">
        <f t="shared" si="48"/>
        <v>388.05195847800502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22.82714285714286</v>
      </c>
      <c r="N42" s="14">
        <f>IF('Données projet'!$A$36&gt;35,N41+M42-V41,IF(A42&lt;'Données projet'!$A$36,$K$205^A42,IF(A42='Données projet'!$A$36,'Données projet'!$B$36,N41+M42-V41)))</f>
        <v>381.74857142857144</v>
      </c>
      <c r="O42" s="14">
        <f>N42*VLOOKUP('Données projet'!$B$9,Paramètres!$A$1:$I$89,3,0)*VLOOKUP('Données projet'!$B$9,Paramètres!$A$1:$I$89,5,0)</f>
        <v>213.39745142857146</v>
      </c>
      <c r="P42" s="14">
        <f t="shared" si="33"/>
        <v>52.67731943158536</v>
      </c>
      <c r="Q42" s="22">
        <f t="shared" si="53"/>
        <v>463.41355924810642</v>
      </c>
      <c r="R42" s="62">
        <f t="shared" si="0"/>
        <v>756.74689258143974</v>
      </c>
      <c r="S42" s="62">
        <f ca="1">AVERAGE(OFFSET($R$3,0,0,'Données projet'!$E$9+1,1))-AVERAGE(OFFSET($H$3,0,0,'Données projet'!$E$9+1,1))</f>
        <v>389.06620927245814</v>
      </c>
      <c r="T42" s="62">
        <f t="shared" si="34"/>
        <v>356.08144160383193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24.160817694837284</v>
      </c>
      <c r="AB42" s="23">
        <f>EXP(-LN(2)/2)*AB41+(1-EXP(-LN(2)/2))/(LN(2)/2)*V42*Y42*VLOOKUP('Données projet'!$B$9,Paramètres!$A$1:$I$89,3,0)*0.475*44/12</f>
        <v>0.22902968989488295</v>
      </c>
      <c r="AC42" s="24">
        <f t="shared" si="3"/>
        <v>24.389847384732168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10.199999999999999</v>
      </c>
      <c r="AI42" s="14">
        <f>IF('Données projet'!$A$62&gt;35,AI41+AH42-AQ41,IF(A42&lt;'Données projet'!$A$62,$AF$205^A42,IF(A42='Données projet'!$A$62,'Données projet'!$B$62,AI41+AH42-AQ41)))</f>
        <v>349.80000000000013</v>
      </c>
      <c r="AJ42" s="14">
        <f>AI42*VLOOKUP('Données projet'!$B$10,Paramètres!$A$1:$I$89,3,0)*VLOOKUP('Données projet'!$B$10,Paramètres!$A$1:$I$89,5,0)</f>
        <v>190.99080000000006</v>
      </c>
      <c r="AK42" s="14">
        <f t="shared" si="35"/>
        <v>47.75893831057796</v>
      </c>
      <c r="AL42" s="22">
        <f t="shared" si="4"/>
        <v>415.82246089092337</v>
      </c>
      <c r="AM42" s="62">
        <f t="shared" si="5"/>
        <v>709.15579422425662</v>
      </c>
      <c r="AN42" s="62">
        <f ca="1">AVERAGE(OFFSET($AM$3,0,0,'Données projet'!$E$10+1,1))-AVERAGE(OFFSET($H$3,0,0,'Données projet'!$E$10+1,1))</f>
        <v>293.73480285950245</v>
      </c>
      <c r="AO42" s="62">
        <f t="shared" si="36"/>
        <v>425.99823184414191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16.462775253071975</v>
      </c>
      <c r="AW42" s="23">
        <f>EXP(-LN(2)/2)*AW41+(1-EXP(-LN(2)/2))/(LN(2)/2)*AQ42*AT42*VLOOKUP('Données projet'!$B$10,Paramètres!$A$1:$I$89,3,0)*0.475*44/12</f>
        <v>0.85426874005276277</v>
      </c>
      <c r="AX42" s="23">
        <f t="shared" si="6"/>
        <v>17.317043993124738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148.20624000000001</v>
      </c>
      <c r="BF42" s="14">
        <f t="shared" si="37"/>
        <v>38.170662245893794</v>
      </c>
      <c r="BG42" s="22">
        <f t="shared" si="7"/>
        <v>324.60643807826506</v>
      </c>
      <c r="BH42" s="62">
        <f t="shared" si="8"/>
        <v>617.93977141159837</v>
      </c>
      <c r="BI42" s="62">
        <f ca="1">AVERAGE(OFFSET($BH$3,0,0,'Données projet'!$E$11+1,1))-AVERAGE(OFFSET($H$3,0,0,'Données projet'!$E$11+1,1))</f>
        <v>438.70522838726322</v>
      </c>
      <c r="BJ42" s="62">
        <f t="shared" si="38"/>
        <v>278.21741231699929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163.80000000000001</v>
      </c>
      <c r="BZ42" s="14">
        <f>BY42*VLOOKUP('Données projet'!$B$12,Paramètres!$A$1:$I$89,3,0)*VLOOKUP('Données projet'!$B$12,Paramètres!$A$1:$I$89,5,0)</f>
        <v>158.42736000000002</v>
      </c>
      <c r="CA42" s="14">
        <f t="shared" si="39"/>
        <v>40.487598405868248</v>
      </c>
      <c r="CB42" s="22">
        <f t="shared" si="10"/>
        <v>346.4435525568872</v>
      </c>
      <c r="CC42" s="62">
        <f t="shared" si="11"/>
        <v>639.77688589022046</v>
      </c>
      <c r="CD42" s="62">
        <f ca="1">AVERAGE(OFFSET($CC$3,0,0,'Données projet'!$E$12+1,1))-AVERAGE(OFFSET($H$3,0,0,'Données projet'!$E$12+1,1))</f>
        <v>466.10838191274445</v>
      </c>
      <c r="CE42" s="62">
        <f t="shared" si="40"/>
        <v>294.45557293177131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13.2</v>
      </c>
      <c r="CT42" s="13">
        <f>IF('Données projet'!$A$140&gt;35,CT41+CS42-DB41,IF(A42&lt;'Données projet'!$A$140,$CQ$205^A42,IF(A42='Données projet'!$A$140,'Données projet'!$B$140,CT41+CS42-DB41)))</f>
        <v>249.79999999999995</v>
      </c>
      <c r="CU42" s="18">
        <f>CT42*VLOOKUP('Données projet'!$B$13,Paramètres!$A$1:$I$89,3,0)*VLOOKUP('Données projet'!$B$13,Paramètres!$A$1:$I$89,5,0)</f>
        <v>183.15335999999996</v>
      </c>
      <c r="CV42" s="14">
        <f t="shared" si="41"/>
        <v>46.023039984246878</v>
      </c>
      <c r="CW42" s="22">
        <f t="shared" si="13"/>
        <v>399.14889663922986</v>
      </c>
      <c r="CX42" s="62">
        <f t="shared" si="14"/>
        <v>692.48222997256312</v>
      </c>
      <c r="CY42" s="62">
        <f ca="1">AVERAGE(OFFSET($CX$3,0,0,'Données projet'!$E$13+1,1))-AVERAGE(OFFSET($H$3,0,0,'Données projet'!$E$13+1,1))</f>
        <v>376.5422416541544</v>
      </c>
      <c r="CZ42" s="62">
        <f t="shared" si="42"/>
        <v>365.76175372075869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11.4</v>
      </c>
      <c r="DO42" s="13">
        <f>IF('Données projet'!$A$166&gt;35,DO41+DN42-DW41,IF(A42&lt;'Données projet'!$A$166,$DL$205^A42,IF(A42='Données projet'!$A$166,'Données projet'!$B$166,DO41+DN42-DW41)))</f>
        <v>216.59999999999994</v>
      </c>
      <c r="DP42" s="18">
        <f>DO42*VLOOKUP('Données projet'!$B$14,Paramètres!$A$1:$I$89,3,0)*VLOOKUP('Données projet'!$B$14,Paramètres!$A$1:$I$89,5,0)</f>
        <v>172.32695999999996</v>
      </c>
      <c r="DQ42" s="14">
        <f t="shared" si="43"/>
        <v>43.610772138081288</v>
      </c>
      <c r="DR42" s="22">
        <f t="shared" si="16"/>
        <v>376.09155014049139</v>
      </c>
      <c r="DS42" s="62">
        <f t="shared" si="17"/>
        <v>669.42488347382471</v>
      </c>
      <c r="DT42" s="62">
        <f ca="1">AVERAGE(OFFSET($DS$3,0,0,'Données projet'!$E$14+1,1))-AVERAGE(OFFSET($H$3,0,0,'Données projet'!$E$14+1,1))</f>
        <v>352.5736659365665</v>
      </c>
      <c r="DU42" s="62">
        <f t="shared" si="44"/>
        <v>343.77208530767069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7.6</v>
      </c>
      <c r="EJ42" s="13">
        <f>IF('Données projet'!$A$192&gt;35,EJ41+EI42-ER41,IF(A42&lt;'Données projet'!$A$192,$EG$205^A42,IF(A42='Données projet'!$A$192,'Données projet'!$B$192,EJ41+EI42-ER41)))</f>
        <v>342.40000000000032</v>
      </c>
      <c r="EK42" s="18">
        <f>EJ42*VLOOKUP('Données projet'!$B$15,Paramètres!$A$1:$I$89,3,0)*VLOOKUP('Données projet'!$B$15,Paramètres!$A$1:$I$89,5,0)</f>
        <v>309.80352000000028</v>
      </c>
      <c r="EL42" s="14">
        <f t="shared" si="45"/>
        <v>73.227795813703821</v>
      </c>
      <c r="EM42" s="22">
        <f t="shared" si="19"/>
        <v>667.11287504220138</v>
      </c>
      <c r="EN42" s="62">
        <f t="shared" si="20"/>
        <v>960.44620837553475</v>
      </c>
      <c r="EO42" s="62">
        <f ca="1">AVERAGE(OFFSET($EN$3,0,0,'Données projet'!$E$15+1,1))-AVERAGE(OFFSET($H$3,0,0,'Données projet'!$E$15+1,1))</f>
        <v>436.23918637269577</v>
      </c>
      <c r="EP42" s="62">
        <f t="shared" si="46"/>
        <v>611.43967996341894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3.9330403906294862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3.9330403906294862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10.8</v>
      </c>
      <c r="FE42" s="13">
        <f>IF('Données projet'!$A$218&gt;35,FE41+FD42-FM41,IF(A42&lt;'Données projet'!$A$218,$FB$205^A42,IF(A42='Données projet'!$A$218,'Données projet'!$B$218,FE41+FD42-FM41)))</f>
        <v>202.20000000000002</v>
      </c>
      <c r="FF42" s="18">
        <f>FE42*VLOOKUP('Données projet'!$B$16,Paramètres!$A$1:$I$89,3,0)*VLOOKUP('Données projet'!$B$16,Paramètres!$A$1:$I$89,5,0)</f>
        <v>176.64192000000003</v>
      </c>
      <c r="FG42" s="14">
        <f t="shared" si="47"/>
        <v>44.574258350008236</v>
      </c>
      <c r="FH42" s="22">
        <f t="shared" si="22"/>
        <v>385.28484395959771</v>
      </c>
      <c r="FI42" s="62">
        <f t="shared" si="23"/>
        <v>678.61817729293102</v>
      </c>
      <c r="FJ42" s="62">
        <f ca="1">AVERAGE(OFFSET($FI$3,0,0,'Données projet'!$E$16+1,1))-AVERAGE(OFFSET($H$3,0,0,'Données projet'!$E$16+1,1))</f>
        <v>321.23599968992932</v>
      </c>
      <c r="FK42" s="62">
        <f t="shared" si="48"/>
        <v>388.05195847800502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22.82714285714286</v>
      </c>
      <c r="N43" s="14">
        <f>IF('Données projet'!$A$36&gt;35,N42+M43-V42,IF(A43&lt;'Données projet'!$A$36,$K$205^A43,IF(A43='Données projet'!$A$36,'Données projet'!$B$36,N42+M43-V42)))</f>
        <v>404.5757142857143</v>
      </c>
      <c r="O43" s="14">
        <f>N43*VLOOKUP('Données projet'!$B$9,Paramètres!$A$1:$I$89,3,0)*VLOOKUP('Données projet'!$B$9,Paramètres!$A$1:$I$89,5,0)</f>
        <v>226.1578242857143</v>
      </c>
      <c r="P43" s="14">
        <f t="shared" si="33"/>
        <v>55.451100541643569</v>
      </c>
      <c r="Q43" s="22">
        <f t="shared" si="53"/>
        <v>490.46887740764834</v>
      </c>
      <c r="R43" s="62">
        <f t="shared" si="0"/>
        <v>783.80221074098165</v>
      </c>
      <c r="S43" s="62">
        <f ca="1">AVERAGE(OFFSET($R$3,0,0,'Données projet'!$E$9+1,1))-AVERAGE(OFFSET($H$3,0,0,'Données projet'!$E$9+1,1))</f>
        <v>389.06620927245814</v>
      </c>
      <c r="T43" s="62">
        <f t="shared" si="34"/>
        <v>356.08144160383193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23.500138864409777</v>
      </c>
      <c r="AB43" s="23">
        <f>EXP(-LN(2)/2)*AB42+(1-EXP(-LN(2)/2))/(LN(2)/2)*V43*Y43*VLOOKUP('Données projet'!$B$9,Paramètres!$A$1:$I$89,3,0)*0.475*44/12</f>
        <v>0.16194844681772386</v>
      </c>
      <c r="AC43" s="24">
        <f t="shared" si="3"/>
        <v>23.662087311227502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360</v>
      </c>
      <c r="AG43" s="13">
        <f>VLOOKUP(A43,'Données projet'!$A$61:$I$81,9,0)</f>
        <v>10.199999999999999</v>
      </c>
      <c r="AH43" s="13">
        <f t="array" ref="AH43">INDEX(AG:AG,MIN(IF(ISNUMBER(AG43:AG239),ROW(AG43:AG239),"")))</f>
        <v>10.199999999999999</v>
      </c>
      <c r="AI43" s="14">
        <f>IF('Données projet'!$A$62&gt;35,AI42+AH43-AQ42,IF(A43&lt;'Données projet'!$A$62,$AF$205^A43,IF(A43='Données projet'!$A$62,'Données projet'!$B$62,AI42+AH43-AQ42)))</f>
        <v>360.00000000000011</v>
      </c>
      <c r="AJ43" s="14">
        <f>AI43*VLOOKUP('Données projet'!$B$10,Paramètres!$A$1:$I$89,3,0)*VLOOKUP('Données projet'!$B$10,Paramètres!$A$1:$I$89,5,0)</f>
        <v>196.56000000000006</v>
      </c>
      <c r="AK43" s="14">
        <f t="shared" si="35"/>
        <v>48.987398161128134</v>
      </c>
      <c r="AL43" s="22">
        <f t="shared" si="4"/>
        <v>427.66171846396492</v>
      </c>
      <c r="AM43" s="62">
        <f t="shared" si="5"/>
        <v>720.99505179729817</v>
      </c>
      <c r="AN43" s="62">
        <f ca="1">AVERAGE(OFFSET($AM$3,0,0,'Données projet'!$E$10+1,1))-AVERAGE(OFFSET($H$3,0,0,'Données projet'!$E$10+1,1))</f>
        <v>293.73480285950245</v>
      </c>
      <c r="AO43" s="62">
        <f t="shared" si="36"/>
        <v>425.99823184414191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16.012599798036998</v>
      </c>
      <c r="AW43" s="23">
        <f>EXP(-LN(2)/2)*AW42+(1-EXP(-LN(2)/2))/(LN(2)/2)*AQ43*AT43*VLOOKUP('Données projet'!$B$10,Paramètres!$A$1:$I$89,3,0)*0.475*44/12</f>
        <v>0.60405921904699655</v>
      </c>
      <c r="AX43" s="23">
        <f t="shared" si="6"/>
        <v>16.616659017083993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158.34</v>
      </c>
      <c r="BF43" s="14">
        <f t="shared" si="37"/>
        <v>40.467870812652819</v>
      </c>
      <c r="BG43" s="22">
        <f t="shared" si="7"/>
        <v>346.25704166537031</v>
      </c>
      <c r="BH43" s="62">
        <f t="shared" si="8"/>
        <v>639.59037499870362</v>
      </c>
      <c r="BI43" s="62">
        <f ca="1">AVERAGE(OFFSET($BH$3,0,0,'Données projet'!$E$11+1,1))-AVERAGE(OFFSET($H$3,0,0,'Données projet'!$E$11+1,1))</f>
        <v>438.70522838726322</v>
      </c>
      <c r="BJ43" s="62">
        <f t="shared" si="38"/>
        <v>278.21741231699929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</v>
      </c>
      <c r="BZ43" s="14">
        <f>BY43*VLOOKUP('Données projet'!$B$12,Paramètres!$A$1:$I$89,3,0)*VLOOKUP('Données projet'!$B$12,Paramètres!$A$1:$I$89,5,0)</f>
        <v>169.26000000000002</v>
      </c>
      <c r="CA43" s="14">
        <f t="shared" si="39"/>
        <v>42.924246146122272</v>
      </c>
      <c r="CB43" s="22">
        <f t="shared" si="10"/>
        <v>369.55422870449632</v>
      </c>
      <c r="CC43" s="62">
        <f t="shared" si="11"/>
        <v>662.88756203782964</v>
      </c>
      <c r="CD43" s="62">
        <f ca="1">AVERAGE(OFFSET($CC$3,0,0,'Données projet'!$E$12+1,1))-AVERAGE(OFFSET($H$3,0,0,'Données projet'!$E$12+1,1))</f>
        <v>466.10838191274445</v>
      </c>
      <c r="CE43" s="62">
        <f t="shared" si="40"/>
        <v>294.45557293177131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263</v>
      </c>
      <c r="CR43" s="13">
        <f>VLOOKUP(A43,'Données projet'!$A$139:$I$159,9,0)</f>
        <v>13.2</v>
      </c>
      <c r="CS43" s="13">
        <f t="array" ref="CS43">INDEX(CR:CR,MIN(IF(ISNUMBER(CR43:CR239),ROW(CR43:CR239),"")))</f>
        <v>13.2</v>
      </c>
      <c r="CT43" s="13">
        <f>IF('Données projet'!$A$140&gt;35,CT42+CS43-DB42,IF(A43&lt;'Données projet'!$A$140,$CQ$205^A43,IF(A43='Données projet'!$A$140,'Données projet'!$B$140,CT42+CS43-DB42)))</f>
        <v>262.99999999999994</v>
      </c>
      <c r="CU43" s="18">
        <f>CT43*VLOOKUP('Données projet'!$B$13,Paramètres!$A$1:$I$89,3,0)*VLOOKUP('Données projet'!$B$13,Paramètres!$A$1:$I$89,5,0)</f>
        <v>192.83159999999995</v>
      </c>
      <c r="CV43" s="14">
        <f t="shared" si="41"/>
        <v>48.165439402688818</v>
      </c>
      <c r="CW43" s="22">
        <f t="shared" si="13"/>
        <v>419.73651029301618</v>
      </c>
      <c r="CX43" s="62">
        <f t="shared" si="14"/>
        <v>713.06984362634944</v>
      </c>
      <c r="CY43" s="62">
        <f ca="1">AVERAGE(OFFSET($CX$3,0,0,'Données projet'!$E$13+1,1))-AVERAGE(OFFSET($H$3,0,0,'Données projet'!$E$13+1,1))</f>
        <v>376.5422416541544</v>
      </c>
      <c r="CZ43" s="62">
        <f t="shared" si="42"/>
        <v>365.76175372075869</v>
      </c>
      <c r="DA43" s="16">
        <f>IF(ISNA(VLOOKUP(A43,'Données projet'!$A$139:$I$159,3,0)),0,VLOOKUP(A43,'Données projet'!$A$139:$I$159,3,0))</f>
        <v>7</v>
      </c>
      <c r="DB43" s="16">
        <f>IF(ISNA(VLOOKUP(A43,'Données projet'!$A$139:$I$159,4,0)),0,VLOOKUP(A43,'Données projet'!$A$139:$I$159,4,0))</f>
        <v>40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228</v>
      </c>
      <c r="DM43" s="13">
        <f>VLOOKUP(A43,'Données projet'!$A$165:$I$185,9,0)</f>
        <v>11.4</v>
      </c>
      <c r="DN43" s="13">
        <f t="array" ref="DN43">INDEX(DM:DM,MIN(IF(ISNUMBER(DM43:DM239),ROW(DM43:DM239),"")))</f>
        <v>11.4</v>
      </c>
      <c r="DO43" s="13">
        <f>IF('Données projet'!$A$166&gt;35,DO42+DN43-DW42,IF(A43&lt;'Données projet'!$A$166,$DL$205^A43,IF(A43='Données projet'!$A$166,'Données projet'!$B$166,DO42+DN43-DW42)))</f>
        <v>227.99999999999994</v>
      </c>
      <c r="DP43" s="18">
        <f>DO43*VLOOKUP('Données projet'!$B$14,Paramètres!$A$1:$I$89,3,0)*VLOOKUP('Données projet'!$B$14,Paramètres!$A$1:$I$89,5,0)</f>
        <v>181.39679999999996</v>
      </c>
      <c r="DQ43" s="14">
        <f t="shared" si="43"/>
        <v>45.63280848550832</v>
      </c>
      <c r="DR43" s="22">
        <f t="shared" si="16"/>
        <v>395.40990144559356</v>
      </c>
      <c r="DS43" s="62">
        <f t="shared" si="17"/>
        <v>688.74323477892688</v>
      </c>
      <c r="DT43" s="62">
        <f ca="1">AVERAGE(OFFSET($DS$3,0,0,'Données projet'!$E$14+1,1))-AVERAGE(OFFSET($H$3,0,0,'Données projet'!$E$14+1,1))</f>
        <v>352.5736659365665</v>
      </c>
      <c r="DU43" s="62">
        <f t="shared" si="44"/>
        <v>343.77208530767069</v>
      </c>
      <c r="DV43" s="16">
        <f>IF(ISNA(VLOOKUP(A43,'Données projet'!$A$165:$I$185,3,0)),0,VLOOKUP(A43,'Données projet'!$A$165:$I$185,3,0))</f>
        <v>7</v>
      </c>
      <c r="DW43" s="16">
        <f>IF(ISNA(VLOOKUP(A43,'Données projet'!$A$165:$I$185,4,0)),0,VLOOKUP(A43,'Données projet'!$A$165:$I$185,4,0))</f>
        <v>35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350</v>
      </c>
      <c r="EH43" s="13">
        <f>VLOOKUP(A43,'Données projet'!$A$191:$I$211,9,0)</f>
        <v>7.6</v>
      </c>
      <c r="EI43" s="13">
        <f t="array" ref="EI43">INDEX(EH:EH,MIN(IF(ISNUMBER(EH43:EH239),ROW(EH43:EH239),"")))</f>
        <v>7.6</v>
      </c>
      <c r="EJ43" s="13">
        <f>IF('Données projet'!$A$192&gt;35,EJ42+EI43-ER42,IF(A43&lt;'Données projet'!$A$192,$EG$205^A43,IF(A43='Données projet'!$A$192,'Données projet'!$B$192,EJ42+EI43-ER42)))</f>
        <v>350.00000000000034</v>
      </c>
      <c r="EK43" s="18">
        <f>EJ43*VLOOKUP('Données projet'!$B$15,Paramètres!$A$1:$I$89,3,0)*VLOOKUP('Données projet'!$B$15,Paramètres!$A$1:$I$89,5,0)</f>
        <v>316.68000000000029</v>
      </c>
      <c r="EL43" s="14">
        <f t="shared" si="45"/>
        <v>74.662144360177834</v>
      </c>
      <c r="EM43" s="22">
        <f t="shared" si="19"/>
        <v>681.58756809397687</v>
      </c>
      <c r="EN43" s="62">
        <f t="shared" si="20"/>
        <v>974.92090142731013</v>
      </c>
      <c r="EO43" s="62">
        <f ca="1">AVERAGE(OFFSET($EN$3,0,0,'Données projet'!$E$15+1,1))-AVERAGE(OFFSET($H$3,0,0,'Données projet'!$E$15+1,1))</f>
        <v>436.23918637269577</v>
      </c>
      <c r="EP43" s="62">
        <f t="shared" si="46"/>
        <v>611.43967996341894</v>
      </c>
      <c r="EQ43" s="16">
        <f>IF(ISNA(VLOOKUP(A43,'Données projet'!$A$191:$I$211,3,0)),0,VLOOKUP(A43,'Données projet'!$A$191:$I$211,3,0))</f>
        <v>8</v>
      </c>
      <c r="ER43" s="16">
        <f>IF(ISNA(VLOOKUP(A43,'Données projet'!$A$191:$I$211,4,0)),0,VLOOKUP(A43,'Données projet'!$A$191:$I$211,4,0))</f>
        <v>9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3.8559158674870067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3.8559158674870067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213</v>
      </c>
      <c r="FC43" s="13">
        <f>VLOOKUP(A43,'Données projet'!$A$217:$I$237,9,0)</f>
        <v>10.8</v>
      </c>
      <c r="FD43" s="13">
        <f t="array" ref="FD43">INDEX(FC:FC,MIN(IF(ISNUMBER(FC43:FC239),ROW(FC43:FC239),"")))</f>
        <v>10.8</v>
      </c>
      <c r="FE43" s="13">
        <f>IF('Données projet'!$A$218&gt;35,FE42+FD43-FM42,IF(A43&lt;'Données projet'!$A$218,$FB$205^A43,IF(A43='Données projet'!$A$218,'Données projet'!$B$218,FE42+FD43-FM42)))</f>
        <v>213.00000000000003</v>
      </c>
      <c r="FF43" s="18">
        <f>FE43*VLOOKUP('Données projet'!$B$16,Paramètres!$A$1:$I$89,3,0)*VLOOKUP('Données projet'!$B$16,Paramètres!$A$1:$I$89,5,0)</f>
        <v>186.07680000000005</v>
      </c>
      <c r="FG43" s="14">
        <f t="shared" si="47"/>
        <v>46.671538591528673</v>
      </c>
      <c r="FH43" s="22">
        <f t="shared" si="22"/>
        <v>405.37002304691242</v>
      </c>
      <c r="FI43" s="62">
        <f t="shared" si="23"/>
        <v>698.70335638024574</v>
      </c>
      <c r="FJ43" s="62">
        <f ca="1">AVERAGE(OFFSET($FI$3,0,0,'Données projet'!$E$16+1,1))-AVERAGE(OFFSET($H$3,0,0,'Données projet'!$E$16+1,1))</f>
        <v>321.23599968992932</v>
      </c>
      <c r="FK43" s="62">
        <f t="shared" si="48"/>
        <v>388.05195847800502</v>
      </c>
      <c r="FL43" s="16">
        <f>IF(ISNA(VLOOKUP(A43,'Données projet'!$A$217:$I$237,3,0)),0,VLOOKUP(A43,'Données projet'!$A$217:$I$237,3,0))</f>
        <v>6</v>
      </c>
      <c r="FM43" s="16">
        <f>IF(ISNA(VLOOKUP(A43,'Données projet'!$A$217:$I$237,4,0)),0,VLOOKUP(A43,'Données projet'!$A$217:$I$237,4,0))</f>
        <v>39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22.82714285714286</v>
      </c>
      <c r="N44" s="14">
        <f>IF('Données projet'!$A$36&gt;35,N43+M44-V43,IF(A44&lt;'Données projet'!$A$36,$K$205^A44,IF(A44='Données projet'!$A$36,'Données projet'!$B$36,N43+M44-V43)))</f>
        <v>427.40285714285716</v>
      </c>
      <c r="O44" s="14">
        <f>N44*VLOOKUP('Données projet'!$B$9,Paramètres!$A$1:$I$89,3,0)*VLOOKUP('Données projet'!$B$9,Paramètres!$A$1:$I$89,5,0)</f>
        <v>238.91819714285714</v>
      </c>
      <c r="P44" s="14">
        <f t="shared" si="33"/>
        <v>58.206714164613295</v>
      </c>
      <c r="Q44" s="22">
        <f t="shared" si="53"/>
        <v>517.49255386051107</v>
      </c>
      <c r="R44" s="62">
        <f t="shared" si="0"/>
        <v>810.82588719384444</v>
      </c>
      <c r="S44" s="62">
        <f ca="1">AVERAGE(OFFSET($R$3,0,0,'Données projet'!$E$9+1,1))-AVERAGE(OFFSET($H$3,0,0,'Données projet'!$E$9+1,1))</f>
        <v>389.06620927245814</v>
      </c>
      <c r="T44" s="62">
        <f t="shared" si="34"/>
        <v>356.08144160383193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22.857526331343898</v>
      </c>
      <c r="AB44" s="23">
        <f>EXP(-LN(2)/2)*AB43+(1-EXP(-LN(2)/2))/(LN(2)/2)*V44*Y44*VLOOKUP('Données projet'!$B$9,Paramètres!$A$1:$I$89,3,0)*0.475*44/12</f>
        <v>0.1145148449474415</v>
      </c>
      <c r="AC44" s="24">
        <f t="shared" si="3"/>
        <v>22.972041176291338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7.4</v>
      </c>
      <c r="AI44" s="14">
        <f>IF('Données projet'!$A$62&gt;35,AI43+AH44-AQ43,IF(A44&lt;'Données projet'!$A$62,$AF$205^A44,IF(A44='Données projet'!$A$62,'Données projet'!$B$62,AI43+AH44-AQ43)))</f>
        <v>339.40000000000009</v>
      </c>
      <c r="AJ44" s="14">
        <f>AI44*VLOOKUP('Données projet'!$B$10,Paramètres!$A$1:$I$89,3,0)*VLOOKUP('Données projet'!$B$10,Paramètres!$A$1:$I$89,5,0)</f>
        <v>185.31240000000005</v>
      </c>
      <c r="AK44" s="14">
        <f t="shared" si="35"/>
        <v>46.50208910594877</v>
      </c>
      <c r="AL44" s="22">
        <f t="shared" si="4"/>
        <v>403.74356852619422</v>
      </c>
      <c r="AM44" s="62">
        <f t="shared" si="5"/>
        <v>697.07690185952754</v>
      </c>
      <c r="AN44" s="62">
        <f ca="1">AVERAGE(OFFSET($AM$3,0,0,'Données projet'!$E$10+1,1))-AVERAGE(OFFSET($H$3,0,0,'Données projet'!$E$10+1,1))</f>
        <v>293.73480285950245</v>
      </c>
      <c r="AO44" s="62">
        <f t="shared" si="36"/>
        <v>425.99823184414191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15.574734414493649</v>
      </c>
      <c r="AW44" s="23">
        <f>EXP(-LN(2)/2)*AW43+(1-EXP(-LN(2)/2))/(LN(2)/2)*AQ44*AT44*VLOOKUP('Données projet'!$B$10,Paramètres!$A$1:$I$89,3,0)*0.475*44/12</f>
        <v>0.42713437002638138</v>
      </c>
      <c r="AX44" s="23">
        <f t="shared" si="6"/>
        <v>16.001868784520031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143.32032000000001</v>
      </c>
      <c r="BF44" s="14">
        <f t="shared" si="37"/>
        <v>37.056603420232349</v>
      </c>
      <c r="BG44" s="22">
        <f t="shared" si="7"/>
        <v>314.15647495690467</v>
      </c>
      <c r="BH44" s="62">
        <f t="shared" si="8"/>
        <v>607.48980829023799</v>
      </c>
      <c r="BI44" s="62">
        <f ca="1">AVERAGE(OFFSET($BH$3,0,0,'Données projet'!$E$11+1,1))-AVERAGE(OFFSET($H$3,0,0,'Données projet'!$E$11+1,1))</f>
        <v>438.70522838726322</v>
      </c>
      <c r="BJ44" s="62">
        <f t="shared" si="38"/>
        <v>278.21741231699929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158.4</v>
      </c>
      <c r="BZ44" s="14">
        <f>BY44*VLOOKUP('Données projet'!$B$12,Paramètres!$A$1:$I$89,3,0)*VLOOKUP('Données projet'!$B$12,Paramètres!$A$1:$I$89,5,0)</f>
        <v>153.20447999999999</v>
      </c>
      <c r="CA44" s="14">
        <f t="shared" si="39"/>
        <v>39.305916881892401</v>
      </c>
      <c r="CB44" s="22">
        <f t="shared" si="10"/>
        <v>335.28894123596257</v>
      </c>
      <c r="CC44" s="62">
        <f t="shared" si="11"/>
        <v>628.62227456929588</v>
      </c>
      <c r="CD44" s="62">
        <f ca="1">AVERAGE(OFFSET($CC$3,0,0,'Données projet'!$E$12+1,1))-AVERAGE(OFFSET($H$3,0,0,'Données projet'!$E$12+1,1))</f>
        <v>466.10838191274445</v>
      </c>
      <c r="CE44" s="62">
        <f t="shared" si="40"/>
        <v>294.45557293177131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</v>
      </c>
      <c r="CT44" s="13">
        <f>IF('Données projet'!$A$140&gt;35,CT43+CS44-DB43,IF(A44&lt;'Données projet'!$A$140,$CQ$205^A44,IF(A44='Données projet'!$A$140,'Données projet'!$B$140,CT43+CS44-DB43)))</f>
        <v>234.39999999999992</v>
      </c>
      <c r="CU44" s="18">
        <f>CT44*VLOOKUP('Données projet'!$B$13,Paramètres!$A$1:$I$89,3,0)*VLOOKUP('Données projet'!$B$13,Paramètres!$A$1:$I$89,5,0)</f>
        <v>171.86207999999993</v>
      </c>
      <c r="CV44" s="14">
        <f t="shared" si="41"/>
        <v>43.506802778694762</v>
      </c>
      <c r="CW44" s="22">
        <f t="shared" si="13"/>
        <v>375.10080417289322</v>
      </c>
      <c r="CX44" s="62">
        <f t="shared" si="14"/>
        <v>668.43413750622653</v>
      </c>
      <c r="CY44" s="62">
        <f ca="1">AVERAGE(OFFSET($CX$3,0,0,'Données projet'!$E$13+1,1))-AVERAGE(OFFSET($H$3,0,0,'Données projet'!$E$13+1,1))</f>
        <v>376.5422416541544</v>
      </c>
      <c r="CZ44" s="62">
        <f t="shared" si="42"/>
        <v>365.76175372075869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9.8000000000000007</v>
      </c>
      <c r="DO44" s="13">
        <f>IF('Données projet'!$A$166&gt;35,DO43+DN44-DW43,IF(A44&lt;'Données projet'!$A$166,$DL$205^A44,IF(A44='Données projet'!$A$166,'Données projet'!$B$166,DO43+DN44-DW43)))</f>
        <v>202.79999999999995</v>
      </c>
      <c r="DP44" s="18">
        <f>DO44*VLOOKUP('Données projet'!$B$14,Paramètres!$A$1:$I$89,3,0)*VLOOKUP('Données projet'!$B$14,Paramètres!$A$1:$I$89,5,0)</f>
        <v>161.34767999999997</v>
      </c>
      <c r="DQ44" s="14">
        <f t="shared" si="43"/>
        <v>41.146339844316657</v>
      </c>
      <c r="DR44" s="22">
        <f t="shared" si="16"/>
        <v>352.67708456218475</v>
      </c>
      <c r="DS44" s="62">
        <f t="shared" si="17"/>
        <v>646.010417895518</v>
      </c>
      <c r="DT44" s="62">
        <f ca="1">AVERAGE(OFFSET($DS$3,0,0,'Données projet'!$E$14+1,1))-AVERAGE(OFFSET($H$3,0,0,'Données projet'!$E$14+1,1))</f>
        <v>352.5736659365665</v>
      </c>
      <c r="DU44" s="62">
        <f t="shared" si="44"/>
        <v>343.77208530767069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7.4</v>
      </c>
      <c r="EJ44" s="13">
        <f>IF('Données projet'!$A$192&gt;35,EJ43+EI44-ER43,IF(A44&lt;'Données projet'!$A$192,$EG$205^A44,IF(A44='Données projet'!$A$192,'Données projet'!$B$192,EJ43+EI44-ER43)))</f>
        <v>348.40000000000032</v>
      </c>
      <c r="EK44" s="18">
        <f>EJ44*VLOOKUP('Données projet'!$B$15,Paramètres!$A$1:$I$89,3,0)*VLOOKUP('Données projet'!$B$15,Paramètres!$A$1:$I$89,5,0)</f>
        <v>315.2323200000003</v>
      </c>
      <c r="EL44" s="14">
        <f t="shared" si="45"/>
        <v>74.360480118488482</v>
      </c>
      <c r="EM44" s="22">
        <f t="shared" si="19"/>
        <v>678.54079353970121</v>
      </c>
      <c r="EN44" s="62">
        <f t="shared" si="20"/>
        <v>971.87412687303458</v>
      </c>
      <c r="EO44" s="62">
        <f ca="1">AVERAGE(OFFSET($EN$3,0,0,'Données projet'!$E$15+1,1))-AVERAGE(OFFSET($H$3,0,0,'Données projet'!$E$15+1,1))</f>
        <v>436.23918637269577</v>
      </c>
      <c r="EP44" s="62">
        <f t="shared" si="46"/>
        <v>611.43967996341894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3.7803037092020371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3.7803037092020371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9.8000000000000007</v>
      </c>
      <c r="FE44" s="13">
        <f>IF('Données projet'!$A$218&gt;35,FE43+FD44-FM43,IF(A44&lt;'Données projet'!$A$218,$FB$205^A44,IF(A44='Données projet'!$A$218,'Données projet'!$B$218,FE43+FD44-FM43)))</f>
        <v>183.80000000000004</v>
      </c>
      <c r="FF44" s="18">
        <f>FE44*VLOOKUP('Données projet'!$B$16,Paramètres!$A$1:$I$89,3,0)*VLOOKUP('Données projet'!$B$16,Paramètres!$A$1:$I$89,5,0)</f>
        <v>160.56768000000005</v>
      </c>
      <c r="FG44" s="14">
        <f t="shared" si="47"/>
        <v>40.970530810309882</v>
      </c>
      <c r="FH44" s="22">
        <f t="shared" si="22"/>
        <v>351.0123838279564</v>
      </c>
      <c r="FI44" s="62">
        <f t="shared" si="23"/>
        <v>644.34571716128971</v>
      </c>
      <c r="FJ44" s="62">
        <f ca="1">AVERAGE(OFFSET($FI$3,0,0,'Données projet'!$E$16+1,1))-AVERAGE(OFFSET($H$3,0,0,'Données projet'!$E$16+1,1))</f>
        <v>321.23599968992932</v>
      </c>
      <c r="FK44" s="62">
        <f t="shared" si="48"/>
        <v>388.05195847800502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450.23</v>
      </c>
      <c r="L45" s="13">
        <f>VLOOKUP(A45,'Données projet'!$A$35:$I$55,9,0)</f>
        <v>22.82714285714286</v>
      </c>
      <c r="M45" s="13">
        <f t="array" ref="M45">INDEX(L:L,MIN(IF(ISNUMBER(L45:L241),ROW(L45:L241),"")))</f>
        <v>22.82714285714286</v>
      </c>
      <c r="N45" s="14">
        <f>IF('Données projet'!$A$36&gt;35,N44+M45-V44,IF(A45&lt;'Données projet'!$A$36,$K$205^A45,IF(A45='Données projet'!$A$36,'Données projet'!$B$36,N44+M45-V44)))</f>
        <v>450.23</v>
      </c>
      <c r="O45" s="14">
        <f>N45*VLOOKUP('Données projet'!$B$9,Paramètres!$A$1:$I$89,3,0)*VLOOKUP('Données projet'!$B$9,Paramètres!$A$1:$I$89,5,0)</f>
        <v>251.67857000000004</v>
      </c>
      <c r="P45" s="14">
        <f t="shared" si="33"/>
        <v>60.945241245024086</v>
      </c>
      <c r="Q45" s="22">
        <f t="shared" si="53"/>
        <v>544.48647125175023</v>
      </c>
      <c r="R45" s="62">
        <f t="shared" si="0"/>
        <v>837.8198045850836</v>
      </c>
      <c r="S45" s="62">
        <f ca="1">AVERAGE(OFFSET($R$3,0,0,'Données projet'!$E$9+1,1))-AVERAGE(OFFSET($H$3,0,0,'Données projet'!$E$9+1,1))</f>
        <v>389.06620927245814</v>
      </c>
      <c r="T45" s="62">
        <f t="shared" si="34"/>
        <v>356.08144160383193</v>
      </c>
      <c r="U45" s="16">
        <f>IF(ISNA(VLOOKUP(A45,'Données projet'!$A$35:$I$55,3,0)),0,VLOOKUP(A45,'Données projet'!$A$35:$I$55,3,0))</f>
        <v>5</v>
      </c>
      <c r="V45" s="16">
        <f>IF(ISNA(VLOOKUP(A45,'Données projet'!$A$35:$I$55,4,0)),0,VLOOKUP(A45,'Données projet'!$A$35:$I$55,4,0))</f>
        <v>99.98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22.23248607178823</v>
      </c>
      <c r="AB45" s="23">
        <f>EXP(-LN(2)/2)*AB44+(1-EXP(-LN(2)/2))/(LN(2)/2)*V45*Y45*VLOOKUP('Données projet'!$B$9,Paramètres!$A$1:$I$89,3,0)*0.475*44/12</f>
        <v>8.0974223408861942E-2</v>
      </c>
      <c r="AC45" s="24">
        <f t="shared" si="3"/>
        <v>22.313460295197093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7.4</v>
      </c>
      <c r="AI45" s="14">
        <f>IF('Données projet'!$A$62&gt;35,AI44+AH45-AQ44,IF(A45&lt;'Données projet'!$A$62,$AF$205^A45,IF(A45='Données projet'!$A$62,'Données projet'!$B$62,AI44+AH45-AQ44)))</f>
        <v>346.80000000000007</v>
      </c>
      <c r="AJ45" s="14">
        <f>AI45*VLOOKUP('Données projet'!$B$10,Paramètres!$A$1:$I$89,3,0)*VLOOKUP('Données projet'!$B$10,Paramètres!$A$1:$I$89,5,0)</f>
        <v>189.35280000000006</v>
      </c>
      <c r="AK45" s="14">
        <f t="shared" si="35"/>
        <v>47.396837717691596</v>
      </c>
      <c r="AL45" s="22">
        <f t="shared" si="4"/>
        <v>412.33895235831295</v>
      </c>
      <c r="AM45" s="62">
        <f t="shared" si="5"/>
        <v>705.67228569164627</v>
      </c>
      <c r="AN45" s="62">
        <f ca="1">AVERAGE(OFFSET($AM$3,0,0,'Données projet'!$E$10+1,1))-AVERAGE(OFFSET($H$3,0,0,'Données projet'!$E$10+1,1))</f>
        <v>293.73480285950245</v>
      </c>
      <c r="AO45" s="62">
        <f t="shared" si="36"/>
        <v>425.99823184414191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15.148842482889634</v>
      </c>
      <c r="AW45" s="23">
        <f>EXP(-LN(2)/2)*AW44+(1-EXP(-LN(2)/2))/(LN(2)/2)*AQ45*AT45*VLOOKUP('Données projet'!$B$10,Paramètres!$A$1:$I$89,3,0)*0.475*44/12</f>
        <v>0.30202960952349828</v>
      </c>
      <c r="AX45" s="23">
        <f t="shared" si="6"/>
        <v>15.450872092413132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153.63504</v>
      </c>
      <c r="BF45" s="14">
        <f t="shared" si="37"/>
        <v>39.403506785222667</v>
      </c>
      <c r="BG45" s="22">
        <f t="shared" si="7"/>
        <v>336.20880231759617</v>
      </c>
      <c r="BH45" s="62">
        <f t="shared" si="8"/>
        <v>629.54213565092948</v>
      </c>
      <c r="BI45" s="62">
        <f ca="1">AVERAGE(OFFSET($BH$3,0,0,'Données projet'!$E$11+1,1))-AVERAGE(OFFSET($H$3,0,0,'Données projet'!$E$11+1,1))</f>
        <v>438.70522838726322</v>
      </c>
      <c r="BJ45" s="62">
        <f t="shared" si="38"/>
        <v>278.21741231699929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169.8</v>
      </c>
      <c r="BZ45" s="14">
        <f>BY45*VLOOKUP('Données projet'!$B$12,Paramètres!$A$1:$I$89,3,0)*VLOOKUP('Données projet'!$B$12,Paramètres!$A$1:$I$89,5,0)</f>
        <v>164.23056000000003</v>
      </c>
      <c r="CA45" s="14">
        <f t="shared" si="39"/>
        <v>41.795275864636551</v>
      </c>
      <c r="CB45" s="22">
        <f t="shared" si="10"/>
        <v>358.82833079757535</v>
      </c>
      <c r="CC45" s="62">
        <f t="shared" si="11"/>
        <v>652.16166413090866</v>
      </c>
      <c r="CD45" s="62">
        <f ca="1">AVERAGE(OFFSET($CC$3,0,0,'Données projet'!$E$12+1,1))-AVERAGE(OFFSET($H$3,0,0,'Données projet'!$E$12+1,1))</f>
        <v>466.10838191274445</v>
      </c>
      <c r="CE45" s="62">
        <f t="shared" si="40"/>
        <v>294.45557293177131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</v>
      </c>
      <c r="CT45" s="13">
        <f>IF('Données projet'!$A$140&gt;35,CT44+CS45-DB44,IF(A45&lt;'Données projet'!$A$140,$CQ$205^A45,IF(A45='Données projet'!$A$140,'Données projet'!$B$140,CT44+CS45-DB44)))</f>
        <v>245.79999999999993</v>
      </c>
      <c r="CU45" s="18">
        <f>CT45*VLOOKUP('Données projet'!$B$13,Paramètres!$A$1:$I$89,3,0)*VLOOKUP('Données projet'!$B$13,Paramètres!$A$1:$I$89,5,0)</f>
        <v>180.22055999999992</v>
      </c>
      <c r="CV45" s="14">
        <f t="shared" si="41"/>
        <v>45.371253205145926</v>
      </c>
      <c r="CW45" s="22">
        <f t="shared" si="13"/>
        <v>392.90574133229569</v>
      </c>
      <c r="CX45" s="62">
        <f t="shared" si="14"/>
        <v>686.239074665629</v>
      </c>
      <c r="CY45" s="62">
        <f ca="1">AVERAGE(OFFSET($CX$3,0,0,'Données projet'!$E$13+1,1))-AVERAGE(OFFSET($H$3,0,0,'Données projet'!$E$13+1,1))</f>
        <v>376.5422416541544</v>
      </c>
      <c r="CZ45" s="62">
        <f t="shared" si="42"/>
        <v>365.76175372075869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9.8000000000000007</v>
      </c>
      <c r="DO45" s="13">
        <f>IF('Données projet'!$A$166&gt;35,DO44+DN45-DW44,IF(A45&lt;'Données projet'!$A$166,$DL$205^A45,IF(A45='Données projet'!$A$166,'Données projet'!$B$166,DO44+DN45-DW44)))</f>
        <v>212.59999999999997</v>
      </c>
      <c r="DP45" s="18">
        <f>DO45*VLOOKUP('Données projet'!$B$14,Paramètres!$A$1:$I$89,3,0)*VLOOKUP('Données projet'!$B$14,Paramètres!$A$1:$I$89,5,0)</f>
        <v>169.14455999999998</v>
      </c>
      <c r="DQ45" s="14">
        <f t="shared" si="43"/>
        <v>42.898377267189964</v>
      </c>
      <c r="DR45" s="22">
        <f t="shared" si="16"/>
        <v>369.30811574035579</v>
      </c>
      <c r="DS45" s="62">
        <f t="shared" si="17"/>
        <v>662.64144907368905</v>
      </c>
      <c r="DT45" s="62">
        <f ca="1">AVERAGE(OFFSET($DS$3,0,0,'Données projet'!$E$14+1,1))-AVERAGE(OFFSET($H$3,0,0,'Données projet'!$E$14+1,1))</f>
        <v>352.5736659365665</v>
      </c>
      <c r="DU45" s="62">
        <f t="shared" si="44"/>
        <v>343.77208530767069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7.4</v>
      </c>
      <c r="EJ45" s="13">
        <f>IF('Données projet'!$A$192&gt;35,EJ44+EI45-ER44,IF(A45&lt;'Données projet'!$A$192,$EG$205^A45,IF(A45='Données projet'!$A$192,'Données projet'!$B$192,EJ44+EI45-ER44)))</f>
        <v>355.8000000000003</v>
      </c>
      <c r="EK45" s="18">
        <f>EJ45*VLOOKUP('Données projet'!$B$15,Paramètres!$A$1:$I$89,3,0)*VLOOKUP('Données projet'!$B$15,Paramètres!$A$1:$I$89,5,0)</f>
        <v>321.92784000000023</v>
      </c>
      <c r="EL45" s="14">
        <f t="shared" si="45"/>
        <v>75.754337936715828</v>
      </c>
      <c r="EM45" s="22">
        <f t="shared" si="19"/>
        <v>692.6297932397805</v>
      </c>
      <c r="EN45" s="62">
        <f t="shared" si="20"/>
        <v>985.96312657311387</v>
      </c>
      <c r="EO45" s="62">
        <f ca="1">AVERAGE(OFFSET($EN$3,0,0,'Données projet'!$E$15+1,1))-AVERAGE(OFFSET($H$3,0,0,'Données projet'!$E$15+1,1))</f>
        <v>436.23918637269577</v>
      </c>
      <c r="EP45" s="62">
        <f t="shared" si="46"/>
        <v>611.43967996341894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3.7061742592221729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3.7061742592221729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9.8000000000000007</v>
      </c>
      <c r="FE45" s="13">
        <f>IF('Données projet'!$A$218&gt;35,FE44+FD45-FM44,IF(A45&lt;'Données projet'!$A$218,$FB$205^A45,IF(A45='Données projet'!$A$218,'Données projet'!$B$218,FE44+FD45-FM44)))</f>
        <v>193.60000000000005</v>
      </c>
      <c r="FF45" s="18">
        <f>FE45*VLOOKUP('Données projet'!$B$16,Paramètres!$A$1:$I$89,3,0)*VLOOKUP('Données projet'!$B$16,Paramètres!$A$1:$I$89,5,0)</f>
        <v>169.12896000000006</v>
      </c>
      <c r="FG45" s="14">
        <f t="shared" si="47"/>
        <v>42.894881315146776</v>
      </c>
      <c r="FH45" s="22">
        <f t="shared" si="22"/>
        <v>369.27485695721407</v>
      </c>
      <c r="FI45" s="62">
        <f t="shared" si="23"/>
        <v>662.60819029054733</v>
      </c>
      <c r="FJ45" s="62">
        <f ca="1">AVERAGE(OFFSET($FI$3,0,0,'Données projet'!$E$16+1,1))-AVERAGE(OFFSET($H$3,0,0,'Données projet'!$E$16+1,1))</f>
        <v>321.23599968992932</v>
      </c>
      <c r="FK45" s="62">
        <f t="shared" si="48"/>
        <v>388.05195847800502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21.939999999999998</v>
      </c>
      <c r="N46" s="14">
        <f>IF('Données projet'!$A$36&gt;35,N45+M46-V45,IF(A46&lt;'Données projet'!$A$36,$K$205^A46,IF(A46='Données projet'!$A$36,'Données projet'!$B$36,N45+M46-V45)))</f>
        <v>372.19</v>
      </c>
      <c r="O46" s="14">
        <f>N46*VLOOKUP('Données projet'!$B$9,Paramètres!$A$1:$I$89,3,0)*VLOOKUP('Données projet'!$B$9,Paramètres!$A$1:$I$89,5,0)</f>
        <v>208.05420999999998</v>
      </c>
      <c r="P46" s="14">
        <f t="shared" si="33"/>
        <v>51.510151537098693</v>
      </c>
      <c r="Q46" s="22">
        <f t="shared" si="53"/>
        <v>452.07459634378012</v>
      </c>
      <c r="R46" s="62">
        <f t="shared" si="0"/>
        <v>745.40792967711343</v>
      </c>
      <c r="S46" s="62">
        <f ca="1">AVERAGE(OFFSET($R$3,0,0,'Données projet'!$E$9+1,1))-AVERAGE(OFFSET($H$3,0,0,'Données projet'!$E$9+1,1))</f>
        <v>389.06620927245814</v>
      </c>
      <c r="T46" s="62">
        <f t="shared" si="34"/>
        <v>356.08144160383193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21.62453757099955</v>
      </c>
      <c r="AB46" s="23">
        <f>EXP(-LN(2)/2)*AB45+(1-EXP(-LN(2)/2))/(LN(2)/2)*V46*Y46*VLOOKUP('Données projet'!$B$9,Paramètres!$A$1:$I$89,3,0)*0.475*44/12</f>
        <v>5.7257422473720759E-2</v>
      </c>
      <c r="AC46" s="24">
        <f t="shared" si="3"/>
        <v>21.681794993473272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7.4</v>
      </c>
      <c r="AI46" s="14">
        <f>IF('Données projet'!$A$62&gt;35,AI45+AH46-AQ45,IF(A46&lt;'Données projet'!$A$62,$AF$205^A46,IF(A46='Données projet'!$A$62,'Données projet'!$B$62,AI45+AH46-AQ45)))</f>
        <v>354.20000000000005</v>
      </c>
      <c r="AJ46" s="14">
        <f>AI46*VLOOKUP('Données projet'!$B$10,Paramètres!$A$1:$I$89,3,0)*VLOOKUP('Données projet'!$B$10,Paramètres!$A$1:$I$89,5,0)</f>
        <v>193.39320000000001</v>
      </c>
      <c r="AK46" s="14">
        <f t="shared" si="35"/>
        <v>48.28936658868006</v>
      </c>
      <c r="AL46" s="22">
        <f t="shared" si="4"/>
        <v>420.93047014195105</v>
      </c>
      <c r="AM46" s="62">
        <f t="shared" si="5"/>
        <v>714.26380347528436</v>
      </c>
      <c r="AN46" s="62">
        <f ca="1">AVERAGE(OFFSET($AM$3,0,0,'Données projet'!$E$10+1,1))-AVERAGE(OFFSET($H$3,0,0,'Données projet'!$E$10+1,1))</f>
        <v>293.73480285950245</v>
      </c>
      <c r="AO46" s="62">
        <f t="shared" si="36"/>
        <v>425.99823184414191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14.734596588552014</v>
      </c>
      <c r="AW46" s="23">
        <f>EXP(-LN(2)/2)*AW45+(1-EXP(-LN(2)/2))/(LN(2)/2)*AQ46*AT46*VLOOKUP('Données projet'!$B$10,Paramètres!$A$1:$I$89,3,0)*0.475*44/12</f>
        <v>0.21356718501319069</v>
      </c>
      <c r="AX46" s="23">
        <f t="shared" si="6"/>
        <v>14.948163773565204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163.94976</v>
      </c>
      <c r="BF46" s="14">
        <f t="shared" si="37"/>
        <v>41.732126457893308</v>
      </c>
      <c r="BG46" s="22">
        <f t="shared" si="7"/>
        <v>358.22928558083089</v>
      </c>
      <c r="BH46" s="62">
        <f t="shared" si="8"/>
        <v>651.5626189141642</v>
      </c>
      <c r="BI46" s="62">
        <f ca="1">AVERAGE(OFFSET($BH$3,0,0,'Données projet'!$E$11+1,1))-AVERAGE(OFFSET($H$3,0,0,'Données projet'!$E$11+1,1))</f>
        <v>438.70522838726322</v>
      </c>
      <c r="BJ46" s="62">
        <f t="shared" si="38"/>
        <v>278.21741231699929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181.20000000000002</v>
      </c>
      <c r="BZ46" s="14">
        <f>BY46*VLOOKUP('Données projet'!$B$12,Paramètres!$A$1:$I$89,3,0)*VLOOKUP('Données projet'!$B$12,Paramètres!$A$1:$I$89,5,0)</f>
        <v>175.25664000000003</v>
      </c>
      <c r="CA46" s="14">
        <f t="shared" si="39"/>
        <v>44.265241345972555</v>
      </c>
      <c r="CB46" s="22">
        <f t="shared" si="10"/>
        <v>382.33394334423559</v>
      </c>
      <c r="CC46" s="62">
        <f t="shared" si="11"/>
        <v>675.66727667756891</v>
      </c>
      <c r="CD46" s="62">
        <f ca="1">AVERAGE(OFFSET($CC$3,0,0,'Données projet'!$E$12+1,1))-AVERAGE(OFFSET($H$3,0,0,'Données projet'!$E$12+1,1))</f>
        <v>466.10838191274445</v>
      </c>
      <c r="CE46" s="62">
        <f t="shared" si="40"/>
        <v>294.45557293177131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</v>
      </c>
      <c r="CT46" s="13">
        <f>IF('Données projet'!$A$140&gt;35,CT45+CS46-DB45,IF(A46&lt;'Données projet'!$A$140,$CQ$205^A46,IF(A46='Données projet'!$A$140,'Données projet'!$B$140,CT45+CS46-DB45)))</f>
        <v>257.19999999999993</v>
      </c>
      <c r="CU46" s="18">
        <f>CT46*VLOOKUP('Données projet'!$B$13,Paramètres!$A$1:$I$89,3,0)*VLOOKUP('Données projet'!$B$13,Paramètres!$A$1:$I$89,5,0)</f>
        <v>188.57903999999994</v>
      </c>
      <c r="CV46" s="14">
        <f t="shared" si="41"/>
        <v>47.22566164876563</v>
      </c>
      <c r="CW46" s="22">
        <f t="shared" si="13"/>
        <v>410.69318870493333</v>
      </c>
      <c r="CX46" s="62">
        <f t="shared" si="14"/>
        <v>704.02652203826665</v>
      </c>
      <c r="CY46" s="62">
        <f ca="1">AVERAGE(OFFSET($CX$3,0,0,'Données projet'!$E$13+1,1))-AVERAGE(OFFSET($H$3,0,0,'Données projet'!$E$13+1,1))</f>
        <v>376.5422416541544</v>
      </c>
      <c r="CZ46" s="62">
        <f t="shared" si="42"/>
        <v>365.76175372075869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9.8000000000000007</v>
      </c>
      <c r="DO46" s="13">
        <f>IF('Données projet'!$A$166&gt;35,DO45+DN46-DW45,IF(A46&lt;'Données projet'!$A$166,$DL$205^A46,IF(A46='Données projet'!$A$166,'Données projet'!$B$166,DO45+DN46-DW45)))</f>
        <v>222.39999999999998</v>
      </c>
      <c r="DP46" s="18">
        <f>DO46*VLOOKUP('Données projet'!$B$14,Paramètres!$A$1:$I$89,3,0)*VLOOKUP('Données projet'!$B$14,Paramètres!$A$1:$I$89,5,0)</f>
        <v>176.94144</v>
      </c>
      <c r="DQ46" s="14">
        <f t="shared" si="43"/>
        <v>44.641035679901449</v>
      </c>
      <c r="DR46" s="22">
        <f t="shared" si="16"/>
        <v>385.92281180916166</v>
      </c>
      <c r="DS46" s="62">
        <f t="shared" si="17"/>
        <v>679.25614514249492</v>
      </c>
      <c r="DT46" s="62">
        <f ca="1">AVERAGE(OFFSET($DS$3,0,0,'Données projet'!$E$14+1,1))-AVERAGE(OFFSET($H$3,0,0,'Données projet'!$E$14+1,1))</f>
        <v>352.5736659365665</v>
      </c>
      <c r="DU46" s="62">
        <f t="shared" si="44"/>
        <v>343.77208530767069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7.4</v>
      </c>
      <c r="EJ46" s="13">
        <f>IF('Données projet'!$A$192&gt;35,EJ45+EI46-ER45,IF(A46&lt;'Données projet'!$A$192,$EG$205^A46,IF(A46='Données projet'!$A$192,'Données projet'!$B$192,EJ45+EI46-ER45)))</f>
        <v>363.20000000000027</v>
      </c>
      <c r="EK46" s="18">
        <f>EJ46*VLOOKUP('Données projet'!$B$15,Paramètres!$A$1:$I$89,3,0)*VLOOKUP('Données projet'!$B$15,Paramètres!$A$1:$I$89,5,0)</f>
        <v>328.62336000000022</v>
      </c>
      <c r="EL46" s="14">
        <f t="shared" si="45"/>
        <v>77.144825174157688</v>
      </c>
      <c r="EM46" s="22">
        <f t="shared" si="19"/>
        <v>706.71292251165823</v>
      </c>
      <c r="EN46" s="62">
        <f t="shared" si="20"/>
        <v>1000.0462558449915</v>
      </c>
      <c r="EO46" s="62">
        <f ca="1">AVERAGE(OFFSET($EN$3,0,0,'Données projet'!$E$15+1,1))-AVERAGE(OFFSET($H$3,0,0,'Données projet'!$E$15+1,1))</f>
        <v>436.23918637269577</v>
      </c>
      <c r="EP46" s="62">
        <f t="shared" si="46"/>
        <v>611.43967996341894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3.6334984425419141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3.6334984425419141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9.8000000000000007</v>
      </c>
      <c r="FE46" s="13">
        <f>IF('Données projet'!$A$218&gt;35,FE45+FD46-FM45,IF(A46&lt;'Données projet'!$A$218,$FB$205^A46,IF(A46='Données projet'!$A$218,'Données projet'!$B$218,FE45+FD46-FM45)))</f>
        <v>203.40000000000006</v>
      </c>
      <c r="FF46" s="18">
        <f>FE46*VLOOKUP('Données projet'!$B$16,Paramètres!$A$1:$I$89,3,0)*VLOOKUP('Données projet'!$B$16,Paramètres!$A$1:$I$89,5,0)</f>
        <v>177.69024000000007</v>
      </c>
      <c r="FG46" s="14">
        <f t="shared" si="47"/>
        <v>44.807921499827692</v>
      </c>
      <c r="FH46" s="22">
        <f t="shared" si="22"/>
        <v>387.5176312788667</v>
      </c>
      <c r="FI46" s="62">
        <f t="shared" si="23"/>
        <v>680.85096461219996</v>
      </c>
      <c r="FJ46" s="62">
        <f ca="1">AVERAGE(OFFSET($FI$3,0,0,'Données projet'!$E$16+1,1))-AVERAGE(OFFSET($H$3,0,0,'Données projet'!$E$16+1,1))</f>
        <v>321.23599968992932</v>
      </c>
      <c r="FK46" s="62">
        <f t="shared" si="48"/>
        <v>388.05195847800502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21.939999999999998</v>
      </c>
      <c r="N47" s="14">
        <f>IF('Données projet'!$A$36&gt;35,N46+M47-V46,IF(A47&lt;'Données projet'!$A$36,$K$205^A47,IF(A47='Données projet'!$A$36,'Données projet'!$B$36,N46+M47-V46)))</f>
        <v>394.13</v>
      </c>
      <c r="O47" s="14">
        <f>N47*VLOOKUP('Données projet'!$B$9,Paramètres!$A$1:$I$89,3,0)*VLOOKUP('Données projet'!$B$9,Paramètres!$A$1:$I$89,5,0)</f>
        <v>220.31867</v>
      </c>
      <c r="P47" s="14">
        <f t="shared" si="33"/>
        <v>54.184141234835565</v>
      </c>
      <c r="Q47" s="22">
        <f t="shared" si="53"/>
        <v>478.09239623400526</v>
      </c>
      <c r="R47" s="62">
        <f t="shared" si="0"/>
        <v>771.42572956733852</v>
      </c>
      <c r="S47" s="62">
        <f ca="1">AVERAGE(OFFSET($R$3,0,0,'Données projet'!$E$9+1,1))-AVERAGE(OFFSET($H$3,0,0,'Données projet'!$E$9+1,1))</f>
        <v>389.06620927245814</v>
      </c>
      <c r="T47" s="62">
        <f t="shared" si="34"/>
        <v>356.08144160383193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21.033213453935559</v>
      </c>
      <c r="AB47" s="23">
        <f>EXP(-LN(2)/2)*AB46+(1-EXP(-LN(2)/2))/(LN(2)/2)*V47*Y47*VLOOKUP('Données projet'!$B$9,Paramètres!$A$1:$I$89,3,0)*0.475*44/12</f>
        <v>4.0487111704430978E-2</v>
      </c>
      <c r="AC47" s="24">
        <f t="shared" si="3"/>
        <v>21.073700565639989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7.4</v>
      </c>
      <c r="AI47" s="14">
        <f>IF('Données projet'!$A$62&gt;35,AI46+AH47-AQ46,IF(A47&lt;'Données projet'!$A$62,$AF$205^A47,IF(A47='Données projet'!$A$62,'Données projet'!$B$62,AI46+AH47-AQ46)))</f>
        <v>361.6</v>
      </c>
      <c r="AJ47" s="14">
        <f>AI47*VLOOKUP('Données projet'!$B$10,Paramètres!$A$1:$I$89,3,0)*VLOOKUP('Données projet'!$B$10,Paramètres!$A$1:$I$89,5,0)</f>
        <v>197.43360000000001</v>
      </c>
      <c r="AK47" s="14">
        <f t="shared" si="35"/>
        <v>49.179727436837609</v>
      </c>
      <c r="AL47" s="22">
        <f t="shared" si="4"/>
        <v>429.51821195249221</v>
      </c>
      <c r="AM47" s="62">
        <f t="shared" si="5"/>
        <v>722.85154528582552</v>
      </c>
      <c r="AN47" s="62">
        <f ca="1">AVERAGE(OFFSET($AM$3,0,0,'Données projet'!$E$10+1,1))-AVERAGE(OFFSET($H$3,0,0,'Données projet'!$E$10+1,1))</f>
        <v>293.73480285950245</v>
      </c>
      <c r="AO47" s="62">
        <f t="shared" si="36"/>
        <v>425.99823184414191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14.331678269979301</v>
      </c>
      <c r="AW47" s="23">
        <f>EXP(-LN(2)/2)*AW46+(1-EXP(-LN(2)/2))/(LN(2)/2)*AQ47*AT47*VLOOKUP('Données projet'!$B$10,Paramètres!$A$1:$I$89,3,0)*0.475*44/12</f>
        <v>0.15101480476174914</v>
      </c>
      <c r="AX47" s="23">
        <f t="shared" si="6"/>
        <v>14.48269307474105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174.26447999999999</v>
      </c>
      <c r="BF47" s="14">
        <f t="shared" si="37"/>
        <v>44.043743683739521</v>
      </c>
      <c r="BG47" s="22">
        <f t="shared" si="7"/>
        <v>380.22015624917964</v>
      </c>
      <c r="BH47" s="62">
        <f t="shared" si="8"/>
        <v>673.55348958251295</v>
      </c>
      <c r="BI47" s="62">
        <f ca="1">AVERAGE(OFFSET($BH$3,0,0,'Données projet'!$E$11+1,1))-AVERAGE(OFFSET($H$3,0,0,'Données projet'!$E$11+1,1))</f>
        <v>438.70522838726322</v>
      </c>
      <c r="BJ47" s="62">
        <f t="shared" si="38"/>
        <v>278.21741231699929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192.60000000000002</v>
      </c>
      <c r="BZ47" s="14">
        <f>BY47*VLOOKUP('Données projet'!$B$12,Paramètres!$A$1:$I$89,3,0)*VLOOKUP('Données projet'!$B$12,Paramètres!$A$1:$I$89,5,0)</f>
        <v>186.28272000000001</v>
      </c>
      <c r="CA47" s="14">
        <f t="shared" si="39"/>
        <v>46.717172342223918</v>
      </c>
      <c r="CB47" s="22">
        <f t="shared" si="10"/>
        <v>405.80814582937325</v>
      </c>
      <c r="CC47" s="62">
        <f t="shared" si="11"/>
        <v>699.14147916270656</v>
      </c>
      <c r="CD47" s="62">
        <f ca="1">AVERAGE(OFFSET($CC$3,0,0,'Données projet'!$E$12+1,1))-AVERAGE(OFFSET($H$3,0,0,'Données projet'!$E$12+1,1))</f>
        <v>466.10838191274445</v>
      </c>
      <c r="CE47" s="62">
        <f t="shared" si="40"/>
        <v>294.45557293177131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</v>
      </c>
      <c r="CT47" s="13">
        <f>IF('Données projet'!$A$140&gt;35,CT46+CS47-DB46,IF(A47&lt;'Données projet'!$A$140,$CQ$205^A47,IF(A47='Données projet'!$A$140,'Données projet'!$B$140,CT46+CS47-DB46)))</f>
        <v>268.59999999999991</v>
      </c>
      <c r="CU47" s="18">
        <f>CT47*VLOOKUP('Données projet'!$B$13,Paramètres!$A$1:$I$89,3,0)*VLOOKUP('Données projet'!$B$13,Paramètres!$A$1:$I$89,5,0)</f>
        <v>196.93751999999992</v>
      </c>
      <c r="CV47" s="14">
        <f t="shared" si="41"/>
        <v>49.070524066369494</v>
      </c>
      <c r="CW47" s="22">
        <f t="shared" si="13"/>
        <v>428.46401008226007</v>
      </c>
      <c r="CX47" s="62">
        <f t="shared" si="14"/>
        <v>721.79734341559333</v>
      </c>
      <c r="CY47" s="62">
        <f ca="1">AVERAGE(OFFSET($CX$3,0,0,'Données projet'!$E$13+1,1))-AVERAGE(OFFSET($H$3,0,0,'Données projet'!$E$13+1,1))</f>
        <v>376.5422416541544</v>
      </c>
      <c r="CZ47" s="62">
        <f t="shared" si="42"/>
        <v>365.76175372075869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9.8000000000000007</v>
      </c>
      <c r="DO47" s="13">
        <f>IF('Données projet'!$A$166&gt;35,DO46+DN47-DW46,IF(A47&lt;'Données projet'!$A$166,$DL$205^A47,IF(A47='Données projet'!$A$166,'Données projet'!$B$166,DO46+DN47-DW46)))</f>
        <v>232.2</v>
      </c>
      <c r="DP47" s="18">
        <f>DO47*VLOOKUP('Données projet'!$B$14,Paramètres!$A$1:$I$89,3,0)*VLOOKUP('Données projet'!$B$14,Paramètres!$A$1:$I$89,5,0)</f>
        <v>184.73832000000002</v>
      </c>
      <c r="DQ47" s="14">
        <f t="shared" si="43"/>
        <v>46.374775595471988</v>
      </c>
      <c r="DR47" s="22">
        <f t="shared" si="16"/>
        <v>402.5219748287804</v>
      </c>
      <c r="DS47" s="62">
        <f t="shared" si="17"/>
        <v>695.85530816211372</v>
      </c>
      <c r="DT47" s="62">
        <f ca="1">AVERAGE(OFFSET($DS$3,0,0,'Données projet'!$E$14+1,1))-AVERAGE(OFFSET($H$3,0,0,'Données projet'!$E$14+1,1))</f>
        <v>352.5736659365665</v>
      </c>
      <c r="DU47" s="62">
        <f t="shared" si="44"/>
        <v>343.77208530767069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7.4</v>
      </c>
      <c r="EJ47" s="13">
        <f>IF('Données projet'!$A$192&gt;35,EJ46+EI47-ER46,IF(A47&lt;'Données projet'!$A$192,$EG$205^A47,IF(A47='Données projet'!$A$192,'Données projet'!$B$192,EJ46+EI47-ER46)))</f>
        <v>370.60000000000025</v>
      </c>
      <c r="EK47" s="18">
        <f>EJ47*VLOOKUP('Données projet'!$B$15,Paramètres!$A$1:$I$89,3,0)*VLOOKUP('Données projet'!$B$15,Paramètres!$A$1:$I$89,5,0)</f>
        <v>335.31888000000021</v>
      </c>
      <c r="EL47" s="14">
        <f t="shared" si="45"/>
        <v>78.532018418019703</v>
      </c>
      <c r="EM47" s="22">
        <f t="shared" si="19"/>
        <v>720.7903147447181</v>
      </c>
      <c r="EN47" s="62">
        <f t="shared" si="20"/>
        <v>1014.1236480780515</v>
      </c>
      <c r="EO47" s="62">
        <f ca="1">AVERAGE(OFFSET($EN$3,0,0,'Données projet'!$E$15+1,1))-AVERAGE(OFFSET($H$3,0,0,'Données projet'!$E$15+1,1))</f>
        <v>436.23918637269577</v>
      </c>
      <c r="EP47" s="62">
        <f t="shared" si="46"/>
        <v>611.43967996341894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3.562247754298884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3.562247754298884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9.8000000000000007</v>
      </c>
      <c r="FE47" s="13">
        <f>IF('Données projet'!$A$218&gt;35,FE46+FD47-FM46,IF(A47&lt;'Données projet'!$A$218,$FB$205^A47,IF(A47='Données projet'!$A$218,'Données projet'!$B$218,FE46+FD47-FM46)))</f>
        <v>213.20000000000007</v>
      </c>
      <c r="FF47" s="18">
        <f>FE47*VLOOKUP('Données projet'!$B$16,Paramètres!$A$1:$I$89,3,0)*VLOOKUP('Données projet'!$B$16,Paramètres!$A$1:$I$89,5,0)</f>
        <v>186.25152000000008</v>
      </c>
      <c r="FG47" s="14">
        <f t="shared" si="47"/>
        <v>46.71025851515671</v>
      </c>
      <c r="FH47" s="22">
        <f t="shared" si="22"/>
        <v>405.7417642472314</v>
      </c>
      <c r="FI47" s="62">
        <f t="shared" si="23"/>
        <v>699.07509758056472</v>
      </c>
      <c r="FJ47" s="62">
        <f ca="1">AVERAGE(OFFSET($FI$3,0,0,'Données projet'!$E$16+1,1))-AVERAGE(OFFSET($H$3,0,0,'Données projet'!$E$16+1,1))</f>
        <v>321.23599968992932</v>
      </c>
      <c r="FK47" s="62">
        <f t="shared" si="48"/>
        <v>388.05195847800502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21.939999999999998</v>
      </c>
      <c r="N48" s="14">
        <f>IF('Données projet'!$A$36&gt;35,N47+M48-V47,IF(A48&lt;'Données projet'!$A$36,$K$205^A48,IF(A48='Données projet'!$A$36,'Données projet'!$B$36,N47+M48-V47)))</f>
        <v>416.07</v>
      </c>
      <c r="O48" s="14">
        <f>N48*VLOOKUP('Données projet'!$B$9,Paramètres!$A$1:$I$89,3,0)*VLOOKUP('Données projet'!$B$9,Paramètres!$A$1:$I$89,5,0)</f>
        <v>232.58313000000001</v>
      </c>
      <c r="P48" s="14">
        <f t="shared" si="33"/>
        <v>56.840851065639789</v>
      </c>
      <c r="Q48" s="22">
        <f t="shared" si="53"/>
        <v>504.08010035598926</v>
      </c>
      <c r="R48" s="62">
        <f t="shared" si="0"/>
        <v>797.41343368932257</v>
      </c>
      <c r="S48" s="62">
        <f ca="1">AVERAGE(OFFSET($R$3,0,0,'Données projet'!$E$9+1,1))-AVERAGE(OFFSET($H$3,0,0,'Données projet'!$E$9+1,1))</f>
        <v>389.06620927245814</v>
      </c>
      <c r="T48" s="62">
        <f t="shared" si="34"/>
        <v>356.08144160383193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20.458059125949067</v>
      </c>
      <c r="AB48" s="23">
        <f>EXP(-LN(2)/2)*AB47+(1-EXP(-LN(2)/2))/(LN(2)/2)*V48*Y48*VLOOKUP('Données projet'!$B$9,Paramètres!$A$1:$I$89,3,0)*0.475*44/12</f>
        <v>2.8628711236860383E-2</v>
      </c>
      <c r="AC48" s="24">
        <f t="shared" si="3"/>
        <v>20.486687837185926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369</v>
      </c>
      <c r="AG48" s="13">
        <f>VLOOKUP(A48,'Données projet'!$A$61:$I$81,9,0)</f>
        <v>7.4</v>
      </c>
      <c r="AH48" s="13">
        <f t="array" ref="AH48">INDEX(AG:AG,MIN(IF(ISNUMBER(AG48:AG244),ROW(AG48:AG244),"")))</f>
        <v>7.4</v>
      </c>
      <c r="AI48" s="14">
        <f>IF('Données projet'!$A$62&gt;35,AI47+AH48-AQ47,IF(A48&lt;'Données projet'!$A$62,$AF$205^A48,IF(A48='Données projet'!$A$62,'Données projet'!$B$62,AI47+AH48-AQ47)))</f>
        <v>369</v>
      </c>
      <c r="AJ48" s="14">
        <f>AI48*VLOOKUP('Données projet'!$B$10,Paramètres!$A$1:$I$89,3,0)*VLOOKUP('Données projet'!$B$10,Paramètres!$A$1:$I$89,5,0)</f>
        <v>201.47399999999999</v>
      </c>
      <c r="AK48" s="14">
        <f t="shared" si="35"/>
        <v>50.067969742315327</v>
      </c>
      <c r="AL48" s="22">
        <f t="shared" si="4"/>
        <v>438.10226396786584</v>
      </c>
      <c r="AM48" s="62">
        <f t="shared" si="5"/>
        <v>731.4355973011991</v>
      </c>
      <c r="AN48" s="62">
        <f ca="1">AVERAGE(OFFSET($AM$3,0,0,'Données projet'!$E$10+1,1))-AVERAGE(OFFSET($H$3,0,0,'Données projet'!$E$10+1,1))</f>
        <v>293.73480285950245</v>
      </c>
      <c r="AO48" s="62">
        <f t="shared" si="36"/>
        <v>425.99823184414191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13.939777774016513</v>
      </c>
      <c r="AW48" s="23">
        <f>EXP(-LN(2)/2)*AW47+(1-EXP(-LN(2)/2))/(LN(2)/2)*AQ48*AT48*VLOOKUP('Données projet'!$B$10,Paramètres!$A$1:$I$89,3,0)*0.475*44/12</f>
        <v>0.10678359250659535</v>
      </c>
      <c r="AX48" s="23">
        <f t="shared" si="6"/>
        <v>14.046561366523107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184.57920000000001</v>
      </c>
      <c r="BF48" s="14">
        <f t="shared" si="37"/>
        <v>46.339479465836661</v>
      </c>
      <c r="BG48" s="22">
        <f t="shared" si="7"/>
        <v>402.18336673633218</v>
      </c>
      <c r="BH48" s="62">
        <f t="shared" si="8"/>
        <v>695.51670006966549</v>
      </c>
      <c r="BI48" s="62">
        <f ca="1">AVERAGE(OFFSET($BH$3,0,0,'Données projet'!$E$11+1,1))-AVERAGE(OFFSET($H$3,0,0,'Données projet'!$E$11+1,1))</f>
        <v>438.70522838726322</v>
      </c>
      <c r="BJ48" s="62">
        <f t="shared" si="38"/>
        <v>278.21741231699929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204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204.00000000000003</v>
      </c>
      <c r="BZ48" s="14">
        <f>BY48*VLOOKUP('Données projet'!$B$12,Paramètres!$A$1:$I$89,3,0)*VLOOKUP('Données projet'!$B$12,Paramètres!$A$1:$I$89,5,0)</f>
        <v>197.30880000000005</v>
      </c>
      <c r="CA48" s="14">
        <f t="shared" si="39"/>
        <v>49.152257900676076</v>
      </c>
      <c r="CB48" s="22">
        <f t="shared" si="10"/>
        <v>429.25300917701088</v>
      </c>
      <c r="CC48" s="62">
        <f t="shared" si="11"/>
        <v>722.58634251034414</v>
      </c>
      <c r="CD48" s="62">
        <f ca="1">AVERAGE(OFFSET($CC$3,0,0,'Données projet'!$E$12+1,1))-AVERAGE(OFFSET($H$3,0,0,'Données projet'!$E$12+1,1))</f>
        <v>466.10838191274445</v>
      </c>
      <c r="CE48" s="62">
        <f t="shared" si="40"/>
        <v>294.45557293177131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280</v>
      </c>
      <c r="CR48" s="13">
        <f>VLOOKUP(A48,'Données projet'!$A$139:$I$159,9,0)</f>
        <v>11.4</v>
      </c>
      <c r="CS48" s="13">
        <f t="array" ref="CS48">INDEX(CR:CR,MIN(IF(ISNUMBER(CR48:CR244),ROW(CR48:CR244),"")))</f>
        <v>11.4</v>
      </c>
      <c r="CT48" s="13">
        <f>IF('Données projet'!$A$140&gt;35,CT47+CS48-DB47,IF(A48&lt;'Données projet'!$A$140,$CQ$205^A48,IF(A48='Données projet'!$A$140,'Données projet'!$B$140,CT47+CS48-DB47)))</f>
        <v>279.99999999999989</v>
      </c>
      <c r="CU48" s="18">
        <f>CT48*VLOOKUP('Données projet'!$B$13,Paramètres!$A$1:$I$89,3,0)*VLOOKUP('Données projet'!$B$13,Paramètres!$A$1:$I$89,5,0)</f>
        <v>205.29599999999991</v>
      </c>
      <c r="CV48" s="14">
        <f t="shared" si="41"/>
        <v>50.906291934375353</v>
      </c>
      <c r="CW48" s="22">
        <f t="shared" si="13"/>
        <v>446.21899178570357</v>
      </c>
      <c r="CX48" s="62">
        <f t="shared" si="14"/>
        <v>739.55232511903682</v>
      </c>
      <c r="CY48" s="62">
        <f ca="1">AVERAGE(OFFSET($CX$3,0,0,'Données projet'!$E$13+1,1))-AVERAGE(OFFSET($H$3,0,0,'Données projet'!$E$13+1,1))</f>
        <v>376.5422416541544</v>
      </c>
      <c r="CZ48" s="62">
        <f t="shared" si="42"/>
        <v>365.76175372075869</v>
      </c>
      <c r="DA48" s="16">
        <f>IF(ISNA(VLOOKUP(A48,'Données projet'!$A$139:$I$159,3,0)),0,VLOOKUP(A48,'Données projet'!$A$139:$I$159,3,0))</f>
        <v>8</v>
      </c>
      <c r="DB48" s="16">
        <f>IF(ISNA(VLOOKUP(A48,'Données projet'!$A$139:$I$159,4,0)),0,VLOOKUP(A48,'Données projet'!$A$139:$I$159,4,0))</f>
        <v>26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242</v>
      </c>
      <c r="DM48" s="13">
        <f>VLOOKUP(A48,'Données projet'!$A$165:$I$185,9,0)</f>
        <v>9.8000000000000007</v>
      </c>
      <c r="DN48" s="13">
        <f t="array" ref="DN48">INDEX(DM:DM,MIN(IF(ISNUMBER(DM48:DM244),ROW(DM48:DM244),"")))</f>
        <v>9.8000000000000007</v>
      </c>
      <c r="DO48" s="13">
        <f>IF('Données projet'!$A$166&gt;35,DO47+DN48-DW47,IF(A48&lt;'Données projet'!$A$166,$DL$205^A48,IF(A48='Données projet'!$A$166,'Données projet'!$B$166,DO47+DN48-DW47)))</f>
        <v>242</v>
      </c>
      <c r="DP48" s="18">
        <f>DO48*VLOOKUP('Données projet'!$B$14,Paramètres!$A$1:$I$89,3,0)*VLOOKUP('Données projet'!$B$14,Paramètres!$A$1:$I$89,5,0)</f>
        <v>192.5352</v>
      </c>
      <c r="DQ48" s="14">
        <f t="shared" si="43"/>
        <v>48.100016456123079</v>
      </c>
      <c r="DR48" s="22">
        <f t="shared" si="16"/>
        <v>419.10633532774767</v>
      </c>
      <c r="DS48" s="62">
        <f t="shared" si="17"/>
        <v>712.43966866108099</v>
      </c>
      <c r="DT48" s="62">
        <f ca="1">AVERAGE(OFFSET($DS$3,0,0,'Données projet'!$E$14+1,1))-AVERAGE(OFFSET($H$3,0,0,'Données projet'!$E$14+1,1))</f>
        <v>352.5736659365665</v>
      </c>
      <c r="DU48" s="62">
        <f t="shared" si="44"/>
        <v>343.77208530767069</v>
      </c>
      <c r="DV48" s="16">
        <f>IF(ISNA(VLOOKUP(A48,'Données projet'!$A$165:$I$185,3,0)),0,VLOOKUP(A48,'Données projet'!$A$165:$I$185,3,0))</f>
        <v>8</v>
      </c>
      <c r="DW48" s="16">
        <f>IF(ISNA(VLOOKUP(A48,'Données projet'!$A$165:$I$185,4,0)),0,VLOOKUP(A48,'Données projet'!$A$165:$I$185,4,0))</f>
        <v>24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378</v>
      </c>
      <c r="EH48" s="13">
        <f>VLOOKUP(A48,'Données projet'!$A$191:$I$211,9,0)</f>
        <v>7.4</v>
      </c>
      <c r="EI48" s="13">
        <f t="array" ref="EI48">INDEX(EH:EH,MIN(IF(ISNUMBER(EH48:EH244),ROW(EH48:EH244),"")))</f>
        <v>7.4</v>
      </c>
      <c r="EJ48" s="13">
        <f>IF('Données projet'!$A$192&gt;35,EJ47+EI48-ER47,IF(A48&lt;'Données projet'!$A$192,$EG$205^A48,IF(A48='Données projet'!$A$192,'Données projet'!$B$192,EJ47+EI48-ER47)))</f>
        <v>378.00000000000023</v>
      </c>
      <c r="EK48" s="18">
        <f>EJ48*VLOOKUP('Données projet'!$B$15,Paramètres!$A$1:$I$89,3,0)*VLOOKUP('Données projet'!$B$15,Paramètres!$A$1:$I$89,5,0)</f>
        <v>342.01440000000019</v>
      </c>
      <c r="EL48" s="14">
        <f t="shared" si="45"/>
        <v>79.9159910220867</v>
      </c>
      <c r="EM48" s="22">
        <f t="shared" si="19"/>
        <v>734.86209769680136</v>
      </c>
      <c r="EN48" s="62">
        <f t="shared" si="20"/>
        <v>1028.1954310301346</v>
      </c>
      <c r="EO48" s="62">
        <f ca="1">AVERAGE(OFFSET($EN$3,0,0,'Données projet'!$E$15+1,1))-AVERAGE(OFFSET($H$3,0,0,'Données projet'!$E$15+1,1))</f>
        <v>436.23918637269577</v>
      </c>
      <c r="EP48" s="62">
        <f t="shared" si="46"/>
        <v>611.43967996341894</v>
      </c>
      <c r="EQ48" s="16">
        <f>IF(ISNA(VLOOKUP(A48,'Données projet'!$A$191:$I$211,3,0)),0,VLOOKUP(A48,'Données projet'!$A$191:$I$211,3,0))</f>
        <v>9</v>
      </c>
      <c r="ER48" s="16">
        <f>IF(ISNA(VLOOKUP(A48,'Données projet'!$A$191:$I$211,4,0)),0,VLOOKUP(A48,'Données projet'!$A$191:$I$211,4,0))</f>
        <v>378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3.492394248593671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3.492394248593671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223</v>
      </c>
      <c r="FC48" s="13">
        <f>VLOOKUP(A48,'Données projet'!$A$217:$I$237,9,0)</f>
        <v>9.8000000000000007</v>
      </c>
      <c r="FD48" s="13">
        <f t="array" ref="FD48">INDEX(FC:FC,MIN(IF(ISNUMBER(FC48:FC244),ROW(FC48:FC244),"")))</f>
        <v>9.8000000000000007</v>
      </c>
      <c r="FE48" s="13">
        <f>IF('Données projet'!$A$218&gt;35,FE47+FD48-FM47,IF(A48&lt;'Données projet'!$A$218,$FB$205^A48,IF(A48='Données projet'!$A$218,'Données projet'!$B$218,FE47+FD48-FM47)))</f>
        <v>223.00000000000009</v>
      </c>
      <c r="FF48" s="18">
        <f>FE48*VLOOKUP('Données projet'!$B$16,Paramètres!$A$1:$I$89,3,0)*VLOOKUP('Données projet'!$B$16,Paramètres!$A$1:$I$89,5,0)</f>
        <v>194.81280000000012</v>
      </c>
      <c r="FG48" s="14">
        <f t="shared" si="47"/>
        <v>48.602440540253902</v>
      </c>
      <c r="FH48" s="22">
        <f t="shared" si="22"/>
        <v>423.9482106076091</v>
      </c>
      <c r="FI48" s="62">
        <f t="shared" si="23"/>
        <v>717.28154394094236</v>
      </c>
      <c r="FJ48" s="62">
        <f ca="1">AVERAGE(OFFSET($FI$3,0,0,'Données projet'!$E$16+1,1))-AVERAGE(OFFSET($H$3,0,0,'Données projet'!$E$16+1,1))</f>
        <v>321.23599968992932</v>
      </c>
      <c r="FK48" s="62">
        <f t="shared" si="48"/>
        <v>388.05195847800502</v>
      </c>
      <c r="FL48" s="16">
        <f>IF(ISNA(VLOOKUP(A48,'Données projet'!$A$217:$I$237,3,0)),0,VLOOKUP(A48,'Données projet'!$A$217:$I$237,3,0))</f>
        <v>7</v>
      </c>
      <c r="FM48" s="16">
        <f>IF(ISNA(VLOOKUP(A48,'Données projet'!$A$217:$I$237,4,0)),0,VLOOKUP(A48,'Données projet'!$A$217:$I$237,4,0))</f>
        <v>36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21.939999999999998</v>
      </c>
      <c r="N49" s="14">
        <f>IF('Données projet'!$A$36&gt;35,N48+M49-V48,IF(A49&lt;'Données projet'!$A$36,$K$205^A49,IF(A49='Données projet'!$A$36,'Données projet'!$B$36,N48+M49-V48)))</f>
        <v>438.01</v>
      </c>
      <c r="O49" s="14">
        <f>N49*VLOOKUP('Données projet'!$B$9,Paramètres!$A$1:$I$89,3,0)*VLOOKUP('Données projet'!$B$9,Paramètres!$A$1:$I$89,5,0)</f>
        <v>244.84759000000003</v>
      </c>
      <c r="P49" s="14">
        <f t="shared" si="33"/>
        <v>59.481296135283444</v>
      </c>
      <c r="Q49" s="22">
        <f t="shared" si="53"/>
        <v>530.03947668561875</v>
      </c>
      <c r="R49" s="62">
        <f t="shared" si="0"/>
        <v>823.37281001895212</v>
      </c>
      <c r="S49" s="62">
        <f ca="1">AVERAGE(OFFSET($R$3,0,0,'Données projet'!$E$9+1,1))-AVERAGE(OFFSET($H$3,0,0,'Données projet'!$E$9+1,1))</f>
        <v>389.06620927245814</v>
      </c>
      <c r="T49" s="62">
        <f t="shared" si="34"/>
        <v>356.08144160383193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19.898632423307419</v>
      </c>
      <c r="AB49" s="23">
        <f>EXP(-LN(2)/2)*AB48+(1-EXP(-LN(2)/2))/(LN(2)/2)*V49*Y49*VLOOKUP('Données projet'!$B$9,Paramètres!$A$1:$I$89,3,0)*0.475*44/12</f>
        <v>2.0243555852215489E-2</v>
      </c>
      <c r="AC49" s="24">
        <f t="shared" si="3"/>
        <v>19.918875979159633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5.2</v>
      </c>
      <c r="AI49" s="14">
        <f>IF('Données projet'!$A$62&gt;35,AI48+AH49-AQ48,IF(A49&lt;'Données projet'!$A$62,$AF$205^A49,IF(A49='Données projet'!$A$62,'Données projet'!$B$62,AI48+AH49-AQ48)))</f>
        <v>353.2</v>
      </c>
      <c r="AJ49" s="14">
        <f>AI49*VLOOKUP('Données projet'!$B$10,Paramètres!$A$1:$I$89,3,0)*VLOOKUP('Données projet'!$B$10,Paramètres!$A$1:$I$89,5,0)</f>
        <v>192.84719999999999</v>
      </c>
      <c r="AK49" s="14">
        <f t="shared" si="35"/>
        <v>48.168882391272199</v>
      </c>
      <c r="AL49" s="22">
        <f t="shared" si="4"/>
        <v>419.76967683146569</v>
      </c>
      <c r="AM49" s="62">
        <f t="shared" si="5"/>
        <v>713.103010164799</v>
      </c>
      <c r="AN49" s="62">
        <f ca="1">AVERAGE(OFFSET($AM$3,0,0,'Données projet'!$E$10+1,1))-AVERAGE(OFFSET($H$3,0,0,'Données projet'!$E$10+1,1))</f>
        <v>293.73480285950245</v>
      </c>
      <c r="AO49" s="62">
        <f t="shared" si="36"/>
        <v>425.99823184414191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13.558593817724978</v>
      </c>
      <c r="AW49" s="23">
        <f>EXP(-LN(2)/2)*AW48+(1-EXP(-LN(2)/2))/(LN(2)/2)*AQ49*AT49*VLOOKUP('Données projet'!$B$10,Paramètres!$A$1:$I$89,3,0)*0.475*44/12</f>
        <v>7.5507402380874569E-2</v>
      </c>
      <c r="AX49" s="23">
        <f t="shared" si="6"/>
        <v>13.634101220105853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169.19760000000002</v>
      </c>
      <c r="BF49" s="14">
        <f t="shared" si="37"/>
        <v>42.910263223432885</v>
      </c>
      <c r="BG49" s="22">
        <f t="shared" si="7"/>
        <v>369.42119511414558</v>
      </c>
      <c r="BH49" s="62">
        <f t="shared" si="8"/>
        <v>662.75452844747883</v>
      </c>
      <c r="BI49" s="62">
        <f ca="1">AVERAGE(OFFSET($BH$3,0,0,'Données projet'!$E$11+1,1))-AVERAGE(OFFSET($H$3,0,0,'Données projet'!$E$11+1,1))</f>
        <v>438.70522838726322</v>
      </c>
      <c r="BJ49" s="62">
        <f t="shared" si="38"/>
        <v>278.21741231699929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187.00000000000003</v>
      </c>
      <c r="BZ49" s="14">
        <f>BY49*VLOOKUP('Données projet'!$B$12,Paramètres!$A$1:$I$89,3,0)*VLOOKUP('Données projet'!$B$12,Paramètres!$A$1:$I$89,5,0)</f>
        <v>180.86640000000003</v>
      </c>
      <c r="CA49" s="14">
        <f t="shared" si="39"/>
        <v>45.514890302102152</v>
      </c>
      <c r="CB49" s="22">
        <f t="shared" si="10"/>
        <v>394.28074727616126</v>
      </c>
      <c r="CC49" s="62">
        <f t="shared" si="11"/>
        <v>687.61408060949452</v>
      </c>
      <c r="CD49" s="62">
        <f ca="1">AVERAGE(OFFSET($CC$3,0,0,'Données projet'!$E$12+1,1))-AVERAGE(OFFSET($H$3,0,0,'Données projet'!$E$12+1,1))</f>
        <v>466.10838191274445</v>
      </c>
      <c r="CE49" s="62">
        <f t="shared" si="40"/>
        <v>294.45557293177131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9.8000000000000007</v>
      </c>
      <c r="CT49" s="13">
        <f>IF('Données projet'!$A$140&gt;35,CT48+CS49-DB48,IF(A49&lt;'Données projet'!$A$140,$CQ$205^A49,IF(A49='Données projet'!$A$140,'Données projet'!$B$140,CT48+CS49-DB48)))</f>
        <v>263.7999999999999</v>
      </c>
      <c r="CU49" s="18">
        <f>CT49*VLOOKUP('Données projet'!$B$13,Paramètres!$A$1:$I$89,3,0)*VLOOKUP('Données projet'!$B$13,Paramètres!$A$1:$I$89,5,0)</f>
        <v>193.41815999999992</v>
      </c>
      <c r="CV49" s="14">
        <f t="shared" si="41"/>
        <v>48.294873490521283</v>
      </c>
      <c r="CW49" s="22">
        <f t="shared" si="13"/>
        <v>420.98353332932442</v>
      </c>
      <c r="CX49" s="62">
        <f t="shared" si="14"/>
        <v>714.31686666265773</v>
      </c>
      <c r="CY49" s="62">
        <f ca="1">AVERAGE(OFFSET($CX$3,0,0,'Données projet'!$E$13+1,1))-AVERAGE(OFFSET($H$3,0,0,'Données projet'!$E$13+1,1))</f>
        <v>376.5422416541544</v>
      </c>
      <c r="CZ49" s="62">
        <f t="shared" si="42"/>
        <v>365.76175372075869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8.4</v>
      </c>
      <c r="DO49" s="13">
        <f>IF('Données projet'!$A$166&gt;35,DO48+DN49-DW48,IF(A49&lt;'Données projet'!$A$166,$DL$205^A49,IF(A49='Données projet'!$A$166,'Données projet'!$B$166,DO48+DN49-DW48)))</f>
        <v>226.4</v>
      </c>
      <c r="DP49" s="18">
        <f>DO49*VLOOKUP('Données projet'!$B$14,Paramètres!$A$1:$I$89,3,0)*VLOOKUP('Données projet'!$B$14,Paramètres!$A$1:$I$89,5,0)</f>
        <v>180.12384</v>
      </c>
      <c r="DQ49" s="14">
        <f t="shared" si="43"/>
        <v>45.349737181998847</v>
      </c>
      <c r="DR49" s="22">
        <f t="shared" si="16"/>
        <v>392.69981359198135</v>
      </c>
      <c r="DS49" s="62">
        <f t="shared" si="17"/>
        <v>686.03314692531467</v>
      </c>
      <c r="DT49" s="62">
        <f ca="1">AVERAGE(OFFSET($DS$3,0,0,'Données projet'!$E$14+1,1))-AVERAGE(OFFSET($H$3,0,0,'Données projet'!$E$14+1,1))</f>
        <v>352.5736659365665</v>
      </c>
      <c r="DU49" s="62">
        <f t="shared" si="44"/>
        <v>343.77208530767069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2.2737367544323206E-13</v>
      </c>
      <c r="EK49" s="18">
        <f>EJ49*VLOOKUP('Données projet'!$B$15,Paramètres!$A$1:$I$89,3,0)*VLOOKUP('Données projet'!$B$15,Paramètres!$A$1:$I$89,5,0)</f>
        <v>2.0572770154103635E-13</v>
      </c>
      <c r="EL49" s="14">
        <f t="shared" si="45"/>
        <v>2.8416956338469711E-12</v>
      </c>
      <c r="EM49" s="22">
        <f t="shared" si="19"/>
        <v>5.3075956424674458E-12</v>
      </c>
      <c r="EN49" s="62">
        <f t="shared" si="20"/>
        <v>293.3333333333386</v>
      </c>
      <c r="EO49" s="62">
        <f ca="1">AVERAGE(OFFSET($EN$3,0,0,'Données projet'!$E$15+1,1))-AVERAGE(OFFSET($H$3,0,0,'Données projet'!$E$15+1,1))</f>
        <v>436.23918637269577</v>
      </c>
      <c r="EP49" s="62">
        <f t="shared" si="46"/>
        <v>611.43967996341894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3.4239105275289057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3.4239105275289057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8.8000000000000007</v>
      </c>
      <c r="FE49" s="13">
        <f>IF('Données projet'!$A$218&gt;35,FE48+FD49-FM48,IF(A49&lt;'Données projet'!$A$218,$FB$205^A49,IF(A49='Données projet'!$A$218,'Données projet'!$B$218,FE48+FD49-FM48)))</f>
        <v>195.8000000000001</v>
      </c>
      <c r="FF49" s="18">
        <f>FE49*VLOOKUP('Données projet'!$B$16,Paramètres!$A$1:$I$89,3,0)*VLOOKUP('Données projet'!$B$16,Paramètres!$A$1:$I$89,5,0)</f>
        <v>171.05088000000012</v>
      </c>
      <c r="FG49" s="14">
        <f t="shared" si="47"/>
        <v>43.325301264581704</v>
      </c>
      <c r="FH49" s="22">
        <f t="shared" si="22"/>
        <v>373.37184903581334</v>
      </c>
      <c r="FI49" s="62">
        <f t="shared" si="23"/>
        <v>666.70518236914666</v>
      </c>
      <c r="FJ49" s="62">
        <f ca="1">AVERAGE(OFFSET($FI$3,0,0,'Données projet'!$E$16+1,1))-AVERAGE(OFFSET($H$3,0,0,'Données projet'!$E$16+1,1))</f>
        <v>321.23599968992932</v>
      </c>
      <c r="FK49" s="62">
        <f t="shared" si="48"/>
        <v>388.05195847800502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21.939999999999998</v>
      </c>
      <c r="N50" s="14">
        <f>IF('Données projet'!$A$36&gt;35,N49+M50-V49,IF(A50&lt;'Données projet'!$A$36,$K$205^A50,IF(A50='Données projet'!$A$36,'Données projet'!$B$36,N49+M50-V49)))</f>
        <v>459.95</v>
      </c>
      <c r="O50" s="14">
        <f>N50*VLOOKUP('Données projet'!$B$9,Paramètres!$A$1:$I$89,3,0)*VLOOKUP('Données projet'!$B$9,Paramètres!$A$1:$I$89,5,0)</f>
        <v>257.11205000000001</v>
      </c>
      <c r="P50" s="14">
        <f t="shared" si="33"/>
        <v>62.106384111300585</v>
      </c>
      <c r="Q50" s="22">
        <f t="shared" si="53"/>
        <v>555.97210607718182</v>
      </c>
      <c r="R50" s="62">
        <f t="shared" si="0"/>
        <v>849.30543941051519</v>
      </c>
      <c r="S50" s="62">
        <f ca="1">AVERAGE(OFFSET($R$3,0,0,'Données projet'!$E$9+1,1))-AVERAGE(OFFSET($H$3,0,0,'Données projet'!$E$9+1,1))</f>
        <v>389.06620927245814</v>
      </c>
      <c r="T50" s="62">
        <f t="shared" si="34"/>
        <v>356.08144160383193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19.354503273268477</v>
      </c>
      <c r="AB50" s="23">
        <f>EXP(-LN(2)/2)*AB49+(1-EXP(-LN(2)/2))/(LN(2)/2)*V50*Y50*VLOOKUP('Données projet'!$B$9,Paramètres!$A$1:$I$89,3,0)*0.475*44/12</f>
        <v>1.4314355618430192E-2</v>
      </c>
      <c r="AC50" s="24">
        <f t="shared" si="3"/>
        <v>19.368817628886909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5.2</v>
      </c>
      <c r="AI50" s="14">
        <f>IF('Données projet'!$A$62&gt;35,AI49+AH50-AQ49,IF(A50&lt;'Données projet'!$A$62,$AF$205^A50,IF(A50='Données projet'!$A$62,'Données projet'!$B$62,AI49+AH50-AQ49)))</f>
        <v>358.4</v>
      </c>
      <c r="AJ50" s="14">
        <f>AI50*VLOOKUP('Données projet'!$B$10,Paramètres!$A$1:$I$89,3,0)*VLOOKUP('Données projet'!$B$10,Paramètres!$A$1:$I$89,5,0)</f>
        <v>195.68639999999999</v>
      </c>
      <c r="AK50" s="14">
        <f t="shared" si="35"/>
        <v>48.794969360985156</v>
      </c>
      <c r="AL50" s="22">
        <f t="shared" si="4"/>
        <v>425.80505163704908</v>
      </c>
      <c r="AM50" s="62">
        <f t="shared" si="5"/>
        <v>719.13838497038239</v>
      </c>
      <c r="AN50" s="62">
        <f ca="1">AVERAGE(OFFSET($AM$3,0,0,'Données projet'!$E$10+1,1))-AVERAGE(OFFSET($H$3,0,0,'Données projet'!$E$10+1,1))</f>
        <v>293.73480285950245</v>
      </c>
      <c r="AO50" s="62">
        <f t="shared" si="36"/>
        <v>425.99823184414191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13.187833356763829</v>
      </c>
      <c r="AW50" s="23">
        <f>EXP(-LN(2)/2)*AW49+(1-EXP(-LN(2)/2))/(LN(2)/2)*AQ50*AT50*VLOOKUP('Données projet'!$B$10,Paramètres!$A$1:$I$89,3,0)*0.475*44/12</f>
        <v>5.3391796253297673E-2</v>
      </c>
      <c r="AX50" s="23">
        <f t="shared" si="6"/>
        <v>13.241225153017126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179.15040000000002</v>
      </c>
      <c r="BF50" s="14">
        <f t="shared" si="37"/>
        <v>45.133113803437304</v>
      </c>
      <c r="BG50" s="22">
        <f t="shared" si="7"/>
        <v>390.62711987431999</v>
      </c>
      <c r="BH50" s="62">
        <f t="shared" si="8"/>
        <v>683.96045320765325</v>
      </c>
      <c r="BI50" s="62">
        <f ca="1">AVERAGE(OFFSET($BH$3,0,0,'Données projet'!$E$11+1,1))-AVERAGE(OFFSET($H$3,0,0,'Données projet'!$E$11+1,1))</f>
        <v>438.70522838726322</v>
      </c>
      <c r="BJ50" s="62">
        <f t="shared" si="38"/>
        <v>278.21741231699929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198.00000000000003</v>
      </c>
      <c r="BZ50" s="14">
        <f>BY50*VLOOKUP('Données projet'!$B$12,Paramètres!$A$1:$I$89,3,0)*VLOOKUP('Données projet'!$B$12,Paramètres!$A$1:$I$89,5,0)</f>
        <v>191.50560000000004</v>
      </c>
      <c r="CA50" s="14">
        <f t="shared" si="39"/>
        <v>47.872666570685276</v>
      </c>
      <c r="CB50" s="22">
        <f t="shared" si="10"/>
        <v>416.91714761061024</v>
      </c>
      <c r="CC50" s="62">
        <f t="shared" si="11"/>
        <v>710.25048094394356</v>
      </c>
      <c r="CD50" s="62">
        <f ca="1">AVERAGE(OFFSET($CC$3,0,0,'Données projet'!$E$12+1,1))-AVERAGE(OFFSET($H$3,0,0,'Données projet'!$E$12+1,1))</f>
        <v>466.10838191274445</v>
      </c>
      <c r="CE50" s="62">
        <f t="shared" si="40"/>
        <v>294.45557293177131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9.8000000000000007</v>
      </c>
      <c r="CT50" s="13">
        <f>IF('Données projet'!$A$140&gt;35,CT49+CS50-DB49,IF(A50&lt;'Données projet'!$A$140,$CQ$205^A50,IF(A50='Données projet'!$A$140,'Données projet'!$B$140,CT49+CS50-DB49)))</f>
        <v>273.59999999999991</v>
      </c>
      <c r="CU50" s="18">
        <f>CT50*VLOOKUP('Données projet'!$B$13,Paramètres!$A$1:$I$89,3,0)*VLOOKUP('Données projet'!$B$13,Paramètres!$A$1:$I$89,5,0)</f>
        <v>200.60351999999995</v>
      </c>
      <c r="CV50" s="14">
        <f t="shared" si="41"/>
        <v>49.87677988675906</v>
      </c>
      <c r="CW50" s="22">
        <f t="shared" si="13"/>
        <v>436.25318896943855</v>
      </c>
      <c r="CX50" s="62">
        <f t="shared" si="14"/>
        <v>729.58652230277187</v>
      </c>
      <c r="CY50" s="62">
        <f ca="1">AVERAGE(OFFSET($CX$3,0,0,'Données projet'!$E$13+1,1))-AVERAGE(OFFSET($H$3,0,0,'Données projet'!$E$13+1,1))</f>
        <v>376.5422416541544</v>
      </c>
      <c r="CZ50" s="62">
        <f t="shared" si="42"/>
        <v>365.76175372075869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8.4</v>
      </c>
      <c r="DO50" s="13">
        <f>IF('Données projet'!$A$166&gt;35,DO49+DN50-DW49,IF(A50&lt;'Données projet'!$A$166,$DL$205^A50,IF(A50='Données projet'!$A$166,'Données projet'!$B$166,DO49+DN50-DW49)))</f>
        <v>234.8</v>
      </c>
      <c r="DP50" s="18">
        <f>DO50*VLOOKUP('Données projet'!$B$14,Paramètres!$A$1:$I$89,3,0)*VLOOKUP('Données projet'!$B$14,Paramètres!$A$1:$I$89,5,0)</f>
        <v>186.80688000000001</v>
      </c>
      <c r="DQ50" s="14">
        <f t="shared" si="43"/>
        <v>46.833304503358612</v>
      </c>
      <c r="DR50" s="22">
        <f t="shared" si="16"/>
        <v>406.92332134334953</v>
      </c>
      <c r="DS50" s="62">
        <f t="shared" si="17"/>
        <v>700.25665467668284</v>
      </c>
      <c r="DT50" s="62">
        <f ca="1">AVERAGE(OFFSET($DS$3,0,0,'Données projet'!$E$14+1,1))-AVERAGE(OFFSET($H$3,0,0,'Données projet'!$E$14+1,1))</f>
        <v>352.5736659365665</v>
      </c>
      <c r="DU50" s="62">
        <f t="shared" si="44"/>
        <v>343.77208530767069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2.2737367544323206E-13</v>
      </c>
      <c r="EK50" s="18">
        <f>EJ50*VLOOKUP('Données projet'!$B$15,Paramètres!$A$1:$I$89,3,0)*VLOOKUP('Données projet'!$B$15,Paramètres!$A$1:$I$89,5,0)</f>
        <v>2.0572770154103635E-13</v>
      </c>
      <c r="EL50" s="14">
        <f t="shared" si="45"/>
        <v>2.8416956338469711E-12</v>
      </c>
      <c r="EM50" s="22">
        <f t="shared" si="19"/>
        <v>5.3075956424674458E-12</v>
      </c>
      <c r="EN50" s="62">
        <f t="shared" si="20"/>
        <v>293.3333333333386</v>
      </c>
      <c r="EO50" s="62">
        <f ca="1">AVERAGE(OFFSET($EN$3,0,0,'Données projet'!$E$15+1,1))-AVERAGE(OFFSET($H$3,0,0,'Données projet'!$E$15+1,1))</f>
        <v>436.23918637269577</v>
      </c>
      <c r="EP50" s="62">
        <f t="shared" si="46"/>
        <v>611.43967996341894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3.3567697304632751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3.3567697304632751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8.8000000000000007</v>
      </c>
      <c r="FE50" s="13">
        <f>IF('Données projet'!$A$218&gt;35,FE49+FD50-FM49,IF(A50&lt;'Données projet'!$A$218,$FB$205^A50,IF(A50='Données projet'!$A$218,'Données projet'!$B$218,FE49+FD50-FM49)))</f>
        <v>204.60000000000011</v>
      </c>
      <c r="FF50" s="18">
        <f>FE50*VLOOKUP('Données projet'!$B$16,Paramètres!$A$1:$I$89,3,0)*VLOOKUP('Données projet'!$B$16,Paramètres!$A$1:$I$89,5,0)</f>
        <v>178.73856000000012</v>
      </c>
      <c r="FG50" s="14">
        <f t="shared" si="47"/>
        <v>45.041424241265368</v>
      </c>
      <c r="FH50" s="22">
        <f t="shared" si="22"/>
        <v>389.75013922020406</v>
      </c>
      <c r="FI50" s="62">
        <f t="shared" si="23"/>
        <v>683.08347255353738</v>
      </c>
      <c r="FJ50" s="62">
        <f ca="1">AVERAGE(OFFSET($FI$3,0,0,'Données projet'!$E$16+1,1))-AVERAGE(OFFSET($H$3,0,0,'Données projet'!$E$16+1,1))</f>
        <v>321.23599968992932</v>
      </c>
      <c r="FK50" s="62">
        <f t="shared" si="48"/>
        <v>388.05195847800502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21.939999999999998</v>
      </c>
      <c r="N51" s="14">
        <f>IF('Données projet'!$A$36&gt;35,N50+M51-V50,IF(A51&lt;'Données projet'!$A$36,$K$205^A51,IF(A51='Données projet'!$A$36,'Données projet'!$B$36,N50+M51-V50)))</f>
        <v>481.89</v>
      </c>
      <c r="O51" s="14">
        <f>N51*VLOOKUP('Données projet'!$B$9,Paramètres!$A$1:$I$89,3,0)*VLOOKUP('Données projet'!$B$9,Paramètres!$A$1:$I$89,5,0)</f>
        <v>269.37651</v>
      </c>
      <c r="P51" s="14">
        <f t="shared" si="33"/>
        <v>64.716931175288423</v>
      </c>
      <c r="Q51" s="22">
        <f t="shared" si="53"/>
        <v>581.87941004696063</v>
      </c>
      <c r="R51" s="62">
        <f t="shared" si="0"/>
        <v>875.21274338029389</v>
      </c>
      <c r="S51" s="62">
        <f ca="1">AVERAGE(OFFSET($R$3,0,0,'Données projet'!$E$9+1,1))-AVERAGE(OFFSET($H$3,0,0,'Données projet'!$E$9+1,1))</f>
        <v>389.06620927245814</v>
      </c>
      <c r="T51" s="62">
        <f t="shared" si="34"/>
        <v>356.08144160383193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18.825253363451861</v>
      </c>
      <c r="AB51" s="23">
        <f>EXP(-LN(2)/2)*AB50+(1-EXP(-LN(2)/2))/(LN(2)/2)*V51*Y51*VLOOKUP('Données projet'!$B$9,Paramètres!$A$1:$I$89,3,0)*0.475*44/12</f>
        <v>1.0121777926107745E-2</v>
      </c>
      <c r="AC51" s="24">
        <f t="shared" si="3"/>
        <v>18.83537514137797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5.2</v>
      </c>
      <c r="AI51" s="14">
        <f>IF('Données projet'!$A$62&gt;35,AI50+AH51-AQ50,IF(A51&lt;'Données projet'!$A$62,$AF$205^A51,IF(A51='Données projet'!$A$62,'Données projet'!$B$62,AI50+AH51-AQ50)))</f>
        <v>363.59999999999997</v>
      </c>
      <c r="AJ51" s="14">
        <f>AI51*VLOOKUP('Données projet'!$B$10,Paramètres!$A$1:$I$89,3,0)*VLOOKUP('Données projet'!$B$10,Paramètres!$A$1:$I$89,5,0)</f>
        <v>198.5256</v>
      </c>
      <c r="AK51" s="14">
        <f t="shared" si="35"/>
        <v>49.419999823587155</v>
      </c>
      <c r="AL51" s="22">
        <f t="shared" si="4"/>
        <v>431.83858635941425</v>
      </c>
      <c r="AM51" s="62">
        <f t="shared" si="5"/>
        <v>725.17191969274757</v>
      </c>
      <c r="AN51" s="62">
        <f ca="1">AVERAGE(OFFSET($AM$3,0,0,'Données projet'!$E$10+1,1))-AVERAGE(OFFSET($H$3,0,0,'Données projet'!$E$10+1,1))</f>
        <v>293.73480285950245</v>
      </c>
      <c r="AO51" s="62">
        <f t="shared" si="36"/>
        <v>425.99823184414191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12.827211360105107</v>
      </c>
      <c r="AW51" s="23">
        <f>EXP(-LN(2)/2)*AW50+(1-EXP(-LN(2)/2))/(LN(2)/2)*AQ51*AT51*VLOOKUP('Données projet'!$B$10,Paramètres!$A$1:$I$89,3,0)*0.475*44/12</f>
        <v>3.7753701190437285E-2</v>
      </c>
      <c r="AX51" s="23">
        <f t="shared" si="6"/>
        <v>12.864965061295544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189.10320000000002</v>
      </c>
      <c r="BF51" s="14">
        <f t="shared" si="37"/>
        <v>47.34162854278712</v>
      </c>
      <c r="BG51" s="22">
        <f t="shared" si="7"/>
        <v>411.80807637868764</v>
      </c>
      <c r="BH51" s="62">
        <f t="shared" si="8"/>
        <v>705.14140971202096</v>
      </c>
      <c r="BI51" s="62">
        <f ca="1">AVERAGE(OFFSET($BH$3,0,0,'Données projet'!$E$11+1,1))-AVERAGE(OFFSET($H$3,0,0,'Données projet'!$E$11+1,1))</f>
        <v>438.70522838726322</v>
      </c>
      <c r="BJ51" s="62">
        <f t="shared" si="38"/>
        <v>278.21741231699929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209.00000000000003</v>
      </c>
      <c r="BZ51" s="14">
        <f>BY51*VLOOKUP('Données projet'!$B$12,Paramètres!$A$1:$I$89,3,0)*VLOOKUP('Données projet'!$B$12,Paramètres!$A$1:$I$89,5,0)</f>
        <v>202.14480000000003</v>
      </c>
      <c r="CA51" s="14">
        <f t="shared" si="39"/>
        <v>50.215236821738628</v>
      </c>
      <c r="CB51" s="22">
        <f t="shared" si="10"/>
        <v>439.52706413119489</v>
      </c>
      <c r="CC51" s="62">
        <f t="shared" si="11"/>
        <v>732.86039746452821</v>
      </c>
      <c r="CD51" s="62">
        <f ca="1">AVERAGE(OFFSET($CC$3,0,0,'Données projet'!$E$12+1,1))-AVERAGE(OFFSET($H$3,0,0,'Données projet'!$E$12+1,1))</f>
        <v>466.10838191274445</v>
      </c>
      <c r="CE51" s="62">
        <f t="shared" si="40"/>
        <v>294.45557293177131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9.8000000000000007</v>
      </c>
      <c r="CT51" s="13">
        <f>IF('Données projet'!$A$140&gt;35,CT50+CS51-DB50,IF(A51&lt;'Données projet'!$A$140,$CQ$205^A51,IF(A51='Données projet'!$A$140,'Données projet'!$B$140,CT50+CS51-DB50)))</f>
        <v>283.39999999999992</v>
      </c>
      <c r="CU51" s="18">
        <f>CT51*VLOOKUP('Données projet'!$B$13,Paramètres!$A$1:$I$89,3,0)*VLOOKUP('Données projet'!$B$13,Paramètres!$A$1:$I$89,5,0)</f>
        <v>207.78887999999992</v>
      </c>
      <c r="CV51" s="14">
        <f t="shared" si="41"/>
        <v>51.452103086551489</v>
      </c>
      <c r="CW51" s="22">
        <f t="shared" si="13"/>
        <v>451.51137887574367</v>
      </c>
      <c r="CX51" s="62">
        <f t="shared" si="14"/>
        <v>744.84471220907699</v>
      </c>
      <c r="CY51" s="62">
        <f ca="1">AVERAGE(OFFSET($CX$3,0,0,'Données projet'!$E$13+1,1))-AVERAGE(OFFSET($H$3,0,0,'Données projet'!$E$13+1,1))</f>
        <v>376.5422416541544</v>
      </c>
      <c r="CZ51" s="62">
        <f t="shared" si="42"/>
        <v>365.76175372075869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8.4</v>
      </c>
      <c r="DO51" s="13">
        <f>IF('Données projet'!$A$166&gt;35,DO50+DN51-DW50,IF(A51&lt;'Données projet'!$A$166,$DL$205^A51,IF(A51='Données projet'!$A$166,'Données projet'!$B$166,DO50+DN51-DW50)))</f>
        <v>243.20000000000002</v>
      </c>
      <c r="DP51" s="18">
        <f>DO51*VLOOKUP('Données projet'!$B$14,Paramètres!$A$1:$I$89,3,0)*VLOOKUP('Données projet'!$B$14,Paramètres!$A$1:$I$89,5,0)</f>
        <v>193.48992000000001</v>
      </c>
      <c r="DQ51" s="14">
        <f t="shared" si="43"/>
        <v>48.310705372586774</v>
      </c>
      <c r="DR51" s="22">
        <f t="shared" si="16"/>
        <v>421.13608919058862</v>
      </c>
      <c r="DS51" s="62">
        <f t="shared" si="17"/>
        <v>714.46942252392193</v>
      </c>
      <c r="DT51" s="62">
        <f ca="1">AVERAGE(OFFSET($DS$3,0,0,'Données projet'!$E$14+1,1))-AVERAGE(OFFSET($H$3,0,0,'Données projet'!$E$14+1,1))</f>
        <v>352.5736659365665</v>
      </c>
      <c r="DU51" s="62">
        <f t="shared" si="44"/>
        <v>343.77208530767069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2.2737367544323206E-13</v>
      </c>
      <c r="EK51" s="18">
        <f>EJ51*VLOOKUP('Données projet'!$B$15,Paramètres!$A$1:$I$89,3,0)*VLOOKUP('Données projet'!$B$15,Paramètres!$A$1:$I$89,5,0)</f>
        <v>2.0572770154103635E-13</v>
      </c>
      <c r="EL51" s="14">
        <f t="shared" si="45"/>
        <v>2.8416956338469711E-12</v>
      </c>
      <c r="EM51" s="22">
        <f t="shared" si="19"/>
        <v>5.3075956424674458E-12</v>
      </c>
      <c r="EN51" s="62">
        <f t="shared" si="20"/>
        <v>293.3333333333386</v>
      </c>
      <c r="EO51" s="62">
        <f ca="1">AVERAGE(OFFSET($EN$3,0,0,'Données projet'!$E$15+1,1))-AVERAGE(OFFSET($H$3,0,0,'Données projet'!$E$15+1,1))</f>
        <v>436.23918637269577</v>
      </c>
      <c r="EP51" s="62">
        <f t="shared" si="46"/>
        <v>611.43967996341894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3.290945523476259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3.290945523476259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8.8000000000000007</v>
      </c>
      <c r="FE51" s="13">
        <f>IF('Données projet'!$A$218&gt;35,FE50+FD51-FM50,IF(A51&lt;'Données projet'!$A$218,$FB$205^A51,IF(A51='Données projet'!$A$218,'Données projet'!$B$218,FE50+FD51-FM50)))</f>
        <v>213.40000000000012</v>
      </c>
      <c r="FF51" s="18">
        <f>FE51*VLOOKUP('Données projet'!$B$16,Paramètres!$A$1:$I$89,3,0)*VLOOKUP('Données projet'!$B$16,Paramètres!$A$1:$I$89,5,0)</f>
        <v>186.42624000000012</v>
      </c>
      <c r="FG51" s="14">
        <f t="shared" si="47"/>
        <v>46.748974211060826</v>
      </c>
      <c r="FH51" s="22">
        <f t="shared" si="22"/>
        <v>406.11349808426445</v>
      </c>
      <c r="FI51" s="62">
        <f t="shared" si="23"/>
        <v>699.44683141759776</v>
      </c>
      <c r="FJ51" s="62">
        <f ca="1">AVERAGE(OFFSET($FI$3,0,0,'Données projet'!$E$16+1,1))-AVERAGE(OFFSET($H$3,0,0,'Données projet'!$E$16+1,1))</f>
        <v>321.23599968992932</v>
      </c>
      <c r="FK51" s="62">
        <f t="shared" si="48"/>
        <v>388.05195847800502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503.83</v>
      </c>
      <c r="L52" s="13">
        <f>VLOOKUP(A52,'Données projet'!$A$35:$I$55,9,0)</f>
        <v>21.939999999999998</v>
      </c>
      <c r="M52" s="13">
        <f t="array" ref="M52">INDEX(L:L,MIN(IF(ISNUMBER(L52:L248),ROW(L52:L248),"")))</f>
        <v>21.939999999999998</v>
      </c>
      <c r="N52" s="14">
        <f>IF('Données projet'!$A$36&gt;35,N51+M52-V51,IF(A52&lt;'Données projet'!$A$36,$K$205^A52,IF(A52='Données projet'!$A$36,'Données projet'!$B$36,N51+M52-V51)))</f>
        <v>503.83</v>
      </c>
      <c r="O52" s="14">
        <f>N52*VLOOKUP('Données projet'!$B$9,Paramètres!$A$1:$I$89,3,0)*VLOOKUP('Données projet'!$B$9,Paramètres!$A$1:$I$89,5,0)</f>
        <v>281.64096999999998</v>
      </c>
      <c r="P52" s="14">
        <f t="shared" si="33"/>
        <v>67.313674987907362</v>
      </c>
      <c r="Q52" s="22">
        <f t="shared" si="53"/>
        <v>607.76267335393857</v>
      </c>
      <c r="R52" s="62">
        <f t="shared" si="0"/>
        <v>901.09600668727194</v>
      </c>
      <c r="S52" s="62">
        <f ca="1">AVERAGE(OFFSET($R$3,0,0,'Données projet'!$E$9+1,1))-AVERAGE(OFFSET($H$3,0,0,'Données projet'!$E$9+1,1))</f>
        <v>389.06620927245814</v>
      </c>
      <c r="T52" s="62">
        <f t="shared" si="34"/>
        <v>356.08144160383193</v>
      </c>
      <c r="U52" s="16">
        <f>IF(ISNA(VLOOKUP(A52,'Données projet'!$A$35:$I$55,3,0)),0,VLOOKUP(A52,'Données projet'!$A$35:$I$55,3,0))</f>
        <v>6</v>
      </c>
      <c r="V52" s="16">
        <f>IF(ISNA(VLOOKUP(A52,'Données projet'!$A$35:$I$55,4,0)),0,VLOOKUP(A52,'Données projet'!$A$35:$I$55,4,0))</f>
        <v>112.61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18.31047582025122</v>
      </c>
      <c r="AB52" s="23">
        <f>EXP(-LN(2)/2)*AB51+(1-EXP(-LN(2)/2))/(LN(2)/2)*V52*Y52*VLOOKUP('Données projet'!$B$9,Paramètres!$A$1:$I$89,3,0)*0.475*44/12</f>
        <v>7.1571778092150958E-3</v>
      </c>
      <c r="AC52" s="24">
        <f t="shared" si="3"/>
        <v>18.317632998060436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5.2</v>
      </c>
      <c r="AI52" s="14">
        <f>IF('Données projet'!$A$62&gt;35,AI51+AH52-AQ51,IF(A52&lt;'Données projet'!$A$62,$AF$205^A52,IF(A52='Données projet'!$A$62,'Données projet'!$B$62,AI51+AH52-AQ51)))</f>
        <v>368.79999999999995</v>
      </c>
      <c r="AJ52" s="14">
        <f>AI52*VLOOKUP('Données projet'!$B$10,Paramètres!$A$1:$I$89,3,0)*VLOOKUP('Données projet'!$B$10,Paramètres!$A$1:$I$89,5,0)</f>
        <v>201.3648</v>
      </c>
      <c r="AK52" s="14">
        <f t="shared" si="35"/>
        <v>50.04399063451806</v>
      </c>
      <c r="AL52" s="22">
        <f t="shared" si="4"/>
        <v>437.87031035511887</v>
      </c>
      <c r="AM52" s="62">
        <f t="shared" si="5"/>
        <v>731.20364368845219</v>
      </c>
      <c r="AN52" s="62">
        <f ca="1">AVERAGE(OFFSET($AM$3,0,0,'Données projet'!$E$10+1,1))-AVERAGE(OFFSET($H$3,0,0,'Données projet'!$E$10+1,1))</f>
        <v>293.73480285950245</v>
      </c>
      <c r="AO52" s="62">
        <f t="shared" si="36"/>
        <v>425.99823184414191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12.476450590909304</v>
      </c>
      <c r="AW52" s="23">
        <f>EXP(-LN(2)/2)*AW51+(1-EXP(-LN(2)/2))/(LN(2)/2)*AQ52*AT52*VLOOKUP('Données projet'!$B$10,Paramètres!$A$1:$I$89,3,0)*0.475*44/12</f>
        <v>2.6695898126648836E-2</v>
      </c>
      <c r="AX52" s="23">
        <f t="shared" si="6"/>
        <v>12.503146489035952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199.05600000000001</v>
      </c>
      <c r="BF52" s="14">
        <f t="shared" si="37"/>
        <v>49.536648006253934</v>
      </c>
      <c r="BG52" s="22">
        <f t="shared" si="7"/>
        <v>432.96552861089231</v>
      </c>
      <c r="BH52" s="62">
        <f t="shared" si="8"/>
        <v>726.29886194422556</v>
      </c>
      <c r="BI52" s="62">
        <f ca="1">AVERAGE(OFFSET($BH$3,0,0,'Données projet'!$E$11+1,1))-AVERAGE(OFFSET($H$3,0,0,'Données projet'!$E$11+1,1))</f>
        <v>438.70522838726322</v>
      </c>
      <c r="BJ52" s="62">
        <f t="shared" si="38"/>
        <v>278.21741231699929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220.00000000000003</v>
      </c>
      <c r="BZ52" s="14">
        <f>BY52*VLOOKUP('Données projet'!$B$12,Paramètres!$A$1:$I$89,3,0)*VLOOKUP('Données projet'!$B$12,Paramètres!$A$1:$I$89,5,0)</f>
        <v>212.78400000000002</v>
      </c>
      <c r="CA52" s="14">
        <f t="shared" si="39"/>
        <v>52.543492641808065</v>
      </c>
      <c r="CB52" s="22">
        <f t="shared" si="10"/>
        <v>462.11204968448237</v>
      </c>
      <c r="CC52" s="62">
        <f t="shared" si="11"/>
        <v>755.44538301781563</v>
      </c>
      <c r="CD52" s="62">
        <f ca="1">AVERAGE(OFFSET($CC$3,0,0,'Données projet'!$E$12+1,1))-AVERAGE(OFFSET($H$3,0,0,'Données projet'!$E$12+1,1))</f>
        <v>466.10838191274445</v>
      </c>
      <c r="CE52" s="62">
        <f t="shared" si="40"/>
        <v>294.45557293177131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9.8000000000000007</v>
      </c>
      <c r="CT52" s="13">
        <f>IF('Données projet'!$A$140&gt;35,CT51+CS52-DB51,IF(A52&lt;'Données projet'!$A$140,$CQ$205^A52,IF(A52='Données projet'!$A$140,'Données projet'!$B$140,CT51+CS52-DB51)))</f>
        <v>293.19999999999993</v>
      </c>
      <c r="CU52" s="18">
        <f>CT52*VLOOKUP('Données projet'!$B$13,Paramètres!$A$1:$I$89,3,0)*VLOOKUP('Données projet'!$B$13,Paramètres!$A$1:$I$89,5,0)</f>
        <v>214.97423999999995</v>
      </c>
      <c r="CV52" s="14">
        <f t="shared" si="41"/>
        <v>53.021096827639134</v>
      </c>
      <c r="CW52" s="22">
        <f t="shared" si="13"/>
        <v>466.75854497480481</v>
      </c>
      <c r="CX52" s="62">
        <f t="shared" si="14"/>
        <v>760.09187830813812</v>
      </c>
      <c r="CY52" s="62">
        <f ca="1">AVERAGE(OFFSET($CX$3,0,0,'Données projet'!$E$13+1,1))-AVERAGE(OFFSET($H$3,0,0,'Données projet'!$E$13+1,1))</f>
        <v>376.5422416541544</v>
      </c>
      <c r="CZ52" s="62">
        <f t="shared" si="42"/>
        <v>365.76175372075869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8.4</v>
      </c>
      <c r="DO52" s="13">
        <f>IF('Données projet'!$A$166&gt;35,DO51+DN52-DW51,IF(A52&lt;'Données projet'!$A$166,$DL$205^A52,IF(A52='Données projet'!$A$166,'Données projet'!$B$166,DO51+DN52-DW51)))</f>
        <v>251.60000000000002</v>
      </c>
      <c r="DP52" s="18">
        <f>DO52*VLOOKUP('Données projet'!$B$14,Paramètres!$A$1:$I$89,3,0)*VLOOKUP('Données projet'!$B$14,Paramètres!$A$1:$I$89,5,0)</f>
        <v>200.17296000000002</v>
      </c>
      <c r="DQ52" s="14">
        <f t="shared" si="43"/>
        <v>49.782177185856028</v>
      </c>
      <c r="DR52" s="22">
        <f t="shared" si="16"/>
        <v>435.33853059869926</v>
      </c>
      <c r="DS52" s="62">
        <f t="shared" si="17"/>
        <v>728.67186393203258</v>
      </c>
      <c r="DT52" s="62">
        <f ca="1">AVERAGE(OFFSET($DS$3,0,0,'Données projet'!$E$14+1,1))-AVERAGE(OFFSET($H$3,0,0,'Données projet'!$E$14+1,1))</f>
        <v>352.5736659365665</v>
      </c>
      <c r="DU52" s="62">
        <f t="shared" si="44"/>
        <v>343.77208530767069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2.2737367544323206E-13</v>
      </c>
      <c r="EK52" s="18">
        <f>EJ52*VLOOKUP('Données projet'!$B$15,Paramètres!$A$1:$I$89,3,0)*VLOOKUP('Données projet'!$B$15,Paramètres!$A$1:$I$89,5,0)</f>
        <v>2.0572770154103635E-13</v>
      </c>
      <c r="EL52" s="14">
        <f t="shared" si="45"/>
        <v>2.8416956338469711E-12</v>
      </c>
      <c r="EM52" s="22">
        <f t="shared" si="19"/>
        <v>5.3075956424674458E-12</v>
      </c>
      <c r="EN52" s="62">
        <f t="shared" si="20"/>
        <v>293.3333333333386</v>
      </c>
      <c r="EO52" s="62">
        <f ca="1">AVERAGE(OFFSET($EN$3,0,0,'Données projet'!$E$15+1,1))-AVERAGE(OFFSET($H$3,0,0,'Données projet'!$E$15+1,1))</f>
        <v>436.23918637269577</v>
      </c>
      <c r="EP52" s="62">
        <f t="shared" si="46"/>
        <v>611.43967996341894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3.2264120890394565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3.2264120890394565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8.8000000000000007</v>
      </c>
      <c r="FE52" s="13">
        <f>IF('Données projet'!$A$218&gt;35,FE51+FD52-FM51,IF(A52&lt;'Données projet'!$A$218,$FB$205^A52,IF(A52='Données projet'!$A$218,'Données projet'!$B$218,FE51+FD52-FM51)))</f>
        <v>222.20000000000013</v>
      </c>
      <c r="FF52" s="18">
        <f>FE52*VLOOKUP('Données projet'!$B$16,Paramètres!$A$1:$I$89,3,0)*VLOOKUP('Données projet'!$B$16,Paramètres!$A$1:$I$89,5,0)</f>
        <v>194.11392000000015</v>
      </c>
      <c r="FG52" s="14">
        <f t="shared" si="47"/>
        <v>48.448345132424009</v>
      </c>
      <c r="FH52" s="22">
        <f t="shared" si="22"/>
        <v>422.46261177230537</v>
      </c>
      <c r="FI52" s="62">
        <f t="shared" si="23"/>
        <v>715.79594510563868</v>
      </c>
      <c r="FJ52" s="62">
        <f ca="1">AVERAGE(OFFSET($FI$3,0,0,'Données projet'!$E$16+1,1))-AVERAGE(OFFSET($H$3,0,0,'Données projet'!$E$16+1,1))</f>
        <v>321.23599968992932</v>
      </c>
      <c r="FK52" s="62">
        <f t="shared" si="48"/>
        <v>388.05195847800502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20.324285714285718</v>
      </c>
      <c r="N53" s="14">
        <f>IF('Données projet'!$A$36&gt;35,N52+M53-V52,IF(A53&lt;'Données projet'!$A$36,$K$205^A53,IF(A53='Données projet'!$A$36,'Données projet'!$B$36,N52+M53-V52)))</f>
        <v>411.54428571428571</v>
      </c>
      <c r="O53" s="14">
        <f>N53*VLOOKUP('Données projet'!$B$9,Paramètres!$A$1:$I$89,3,0)*VLOOKUP('Données projet'!$B$9,Paramètres!$A$1:$I$89,5,0)</f>
        <v>230.05325571428571</v>
      </c>
      <c r="P53" s="14">
        <f t="shared" si="33"/>
        <v>56.294196506523747</v>
      </c>
      <c r="Q53" s="22">
        <f t="shared" si="53"/>
        <v>498.72181261790985</v>
      </c>
      <c r="R53" s="62">
        <f t="shared" si="0"/>
        <v>792.05514595124316</v>
      </c>
      <c r="S53" s="62">
        <f ca="1">AVERAGE(OFFSET($R$3,0,0,'Données projet'!$E$9+1,1))-AVERAGE(OFFSET($H$3,0,0,'Données projet'!$E$9+1,1))</f>
        <v>389.06620927245814</v>
      </c>
      <c r="T53" s="62">
        <f t="shared" si="34"/>
        <v>356.08144160383193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17.809774896040377</v>
      </c>
      <c r="AB53" s="23">
        <f>EXP(-LN(2)/2)*AB52+(1-EXP(-LN(2)/2))/(LN(2)/2)*V53*Y53*VLOOKUP('Données projet'!$B$9,Paramètres!$A$1:$I$89,3,0)*0.475*44/12</f>
        <v>5.0608889630538723E-3</v>
      </c>
      <c r="AC53" s="24">
        <f t="shared" si="3"/>
        <v>17.814835785003432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374</v>
      </c>
      <c r="AG53" s="13">
        <f>VLOOKUP(A53,'Données projet'!$A$61:$I$81,9,0)</f>
        <v>5.2</v>
      </c>
      <c r="AH53" s="13">
        <f t="array" ref="AH53">INDEX(AG:AG,MIN(IF(ISNUMBER(AG53:AG249),ROW(AG53:AG249),"")))</f>
        <v>5.2</v>
      </c>
      <c r="AI53" s="14">
        <f>IF('Données projet'!$A$62&gt;35,AI52+AH53-AQ52,IF(A53&lt;'Données projet'!$A$62,$AF$205^A53,IF(A53='Données projet'!$A$62,'Données projet'!$B$62,AI52+AH53-AQ52)))</f>
        <v>373.99999999999994</v>
      </c>
      <c r="AJ53" s="14">
        <f>AI53*VLOOKUP('Données projet'!$B$10,Paramètres!$A$1:$I$89,3,0)*VLOOKUP('Données projet'!$B$10,Paramètres!$A$1:$I$89,5,0)</f>
        <v>204.20399999999998</v>
      </c>
      <c r="AK53" s="14">
        <f t="shared" si="35"/>
        <v>50.666958146601125</v>
      </c>
      <c r="AL53" s="22">
        <f t="shared" si="4"/>
        <v>443.90025210533031</v>
      </c>
      <c r="AM53" s="62">
        <f t="shared" si="5"/>
        <v>737.23358543866357</v>
      </c>
      <c r="AN53" s="62">
        <f ca="1">AVERAGE(OFFSET($AM$3,0,0,'Données projet'!$E$10+1,1))-AVERAGE(OFFSET($H$3,0,0,'Données projet'!$E$10+1,1))</f>
        <v>293.73480285950245</v>
      </c>
      <c r="AO53" s="62">
        <f t="shared" si="36"/>
        <v>425.99823184414191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374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12.135281393392868</v>
      </c>
      <c r="AW53" s="23">
        <f>EXP(-LN(2)/2)*AW52+(1-EXP(-LN(2)/2))/(LN(2)/2)*AQ53*AT53*VLOOKUP('Données projet'!$B$10,Paramètres!$A$1:$I$89,3,0)*0.475*44/12</f>
        <v>1.8876850595218642E-2</v>
      </c>
      <c r="AX53" s="23">
        <f t="shared" si="6"/>
        <v>12.154158243988086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209.00880000000004</v>
      </c>
      <c r="BF53" s="14">
        <f t="shared" si="37"/>
        <v>51.718923953824252</v>
      </c>
      <c r="BG53" s="22">
        <f t="shared" si="7"/>
        <v>454.10078588624395</v>
      </c>
      <c r="BH53" s="62">
        <f t="shared" si="8"/>
        <v>747.43411921957727</v>
      </c>
      <c r="BI53" s="62">
        <f ca="1">AVERAGE(OFFSET($BH$3,0,0,'Données projet'!$E$11+1,1))-AVERAGE(OFFSET($H$3,0,0,'Données projet'!$E$11+1,1))</f>
        <v>438.70522838726322</v>
      </c>
      <c r="BJ53" s="62">
        <f t="shared" si="38"/>
        <v>278.21741231699929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231.00000000000003</v>
      </c>
      <c r="BZ53" s="14">
        <f>BY53*VLOOKUP('Données projet'!$B$12,Paramètres!$A$1:$I$89,3,0)*VLOOKUP('Données projet'!$B$12,Paramètres!$A$1:$I$89,5,0)</f>
        <v>223.42320000000004</v>
      </c>
      <c r="CA53" s="14">
        <f t="shared" si="39"/>
        <v>54.858231422257631</v>
      </c>
      <c r="CB53" s="22">
        <f t="shared" si="10"/>
        <v>484.67349306043207</v>
      </c>
      <c r="CC53" s="62">
        <f t="shared" si="11"/>
        <v>778.00682639376532</v>
      </c>
      <c r="CD53" s="62">
        <f ca="1">AVERAGE(OFFSET($CC$3,0,0,'Données projet'!$E$12+1,1))-AVERAGE(OFFSET($H$3,0,0,'Données projet'!$E$12+1,1))</f>
        <v>466.10838191274445</v>
      </c>
      <c r="CE53" s="62">
        <f t="shared" si="40"/>
        <v>294.45557293177131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303</v>
      </c>
      <c r="CR53" s="13">
        <f>VLOOKUP(A53,'Données projet'!$A$139:$I$159,9,0)</f>
        <v>9.8000000000000007</v>
      </c>
      <c r="CS53" s="13">
        <f t="array" ref="CS53">INDEX(CR:CR,MIN(IF(ISNUMBER(CR53:CR249),ROW(CR53:CR249),"")))</f>
        <v>9.8000000000000007</v>
      </c>
      <c r="CT53" s="13">
        <f>IF('Données projet'!$A$140&gt;35,CT52+CS53-DB52,IF(A53&lt;'Données projet'!$A$140,$CQ$205^A53,IF(A53='Données projet'!$A$140,'Données projet'!$B$140,CT52+CS53-DB52)))</f>
        <v>302.99999999999994</v>
      </c>
      <c r="CU53" s="18">
        <f>CT53*VLOOKUP('Données projet'!$B$13,Paramètres!$A$1:$I$89,3,0)*VLOOKUP('Données projet'!$B$13,Paramètres!$A$1:$I$89,5,0)</f>
        <v>222.15959999999995</v>
      </c>
      <c r="CV53" s="14">
        <f t="shared" si="41"/>
        <v>54.583996923291004</v>
      </c>
      <c r="CW53" s="22">
        <f t="shared" si="13"/>
        <v>481.99509797473166</v>
      </c>
      <c r="CX53" s="62">
        <f t="shared" si="14"/>
        <v>775.32843130806498</v>
      </c>
      <c r="CY53" s="62">
        <f ca="1">AVERAGE(OFFSET($CX$3,0,0,'Données projet'!$E$13+1,1))-AVERAGE(OFFSET($H$3,0,0,'Données projet'!$E$13+1,1))</f>
        <v>376.5422416541544</v>
      </c>
      <c r="CZ53" s="62">
        <f t="shared" si="42"/>
        <v>365.76175372075869</v>
      </c>
      <c r="DA53" s="16">
        <f>IF(ISNA(VLOOKUP(A53,'Données projet'!$A$139:$I$159,3,0)),0,VLOOKUP(A53,'Données projet'!$A$139:$I$159,3,0))</f>
        <v>9</v>
      </c>
      <c r="DB53" s="16">
        <f>IF(ISNA(VLOOKUP(A53,'Données projet'!$A$139:$I$159,4,0)),0,VLOOKUP(A53,'Données projet'!$A$139:$I$159,4,0))</f>
        <v>21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260</v>
      </c>
      <c r="DM53" s="13">
        <f>VLOOKUP(A53,'Données projet'!$A$165:$I$185,9,0)</f>
        <v>8.4</v>
      </c>
      <c r="DN53" s="13">
        <f t="array" ref="DN53">INDEX(DM:DM,MIN(IF(ISNUMBER(DM53:DM249),ROW(DM53:DM249),"")))</f>
        <v>8.4</v>
      </c>
      <c r="DO53" s="13">
        <f>IF('Données projet'!$A$166&gt;35,DO52+DN53-DW52,IF(A53&lt;'Données projet'!$A$166,$DL$205^A53,IF(A53='Données projet'!$A$166,'Données projet'!$B$166,DO52+DN53-DW52)))</f>
        <v>260</v>
      </c>
      <c r="DP53" s="18">
        <f>DO53*VLOOKUP('Données projet'!$B$14,Paramètres!$A$1:$I$89,3,0)*VLOOKUP('Données projet'!$B$14,Paramètres!$A$1:$I$89,5,0)</f>
        <v>206.85599999999999</v>
      </c>
      <c r="DQ53" s="14">
        <f t="shared" si="43"/>
        <v>51.247940588293027</v>
      </c>
      <c r="DR53" s="22">
        <f t="shared" si="16"/>
        <v>449.53102985794368</v>
      </c>
      <c r="DS53" s="62">
        <f t="shared" si="17"/>
        <v>742.86436319127699</v>
      </c>
      <c r="DT53" s="62">
        <f ca="1">AVERAGE(OFFSET($DS$3,0,0,'Données projet'!$E$14+1,1))-AVERAGE(OFFSET($H$3,0,0,'Données projet'!$E$14+1,1))</f>
        <v>352.5736659365665</v>
      </c>
      <c r="DU53" s="62">
        <f t="shared" si="44"/>
        <v>343.77208530767069</v>
      </c>
      <c r="DV53" s="16">
        <f>IF(ISNA(VLOOKUP(A53,'Données projet'!$A$165:$I$185,3,0)),0,VLOOKUP(A53,'Données projet'!$A$165:$I$185,3,0))</f>
        <v>9</v>
      </c>
      <c r="DW53" s="16">
        <f>IF(ISNA(VLOOKUP(A53,'Données projet'!$A$165:$I$185,4,0)),0,VLOOKUP(A53,'Données projet'!$A$165:$I$185,4,0))</f>
        <v>19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2.2737367544323206E-13</v>
      </c>
      <c r="EK53" s="18">
        <f>EJ53*VLOOKUP('Données projet'!$B$15,Paramètres!$A$1:$I$89,3,0)*VLOOKUP('Données projet'!$B$15,Paramètres!$A$1:$I$89,5,0)</f>
        <v>2.0572770154103635E-13</v>
      </c>
      <c r="EL53" s="14">
        <f t="shared" si="45"/>
        <v>2.8416956338469711E-12</v>
      </c>
      <c r="EM53" s="22">
        <f t="shared" si="19"/>
        <v>5.3075956424674458E-12</v>
      </c>
      <c r="EN53" s="62">
        <f t="shared" si="20"/>
        <v>293.3333333333386</v>
      </c>
      <c r="EO53" s="62">
        <f ca="1">AVERAGE(OFFSET($EN$3,0,0,'Données projet'!$E$15+1,1))-AVERAGE(OFFSET($H$3,0,0,'Données projet'!$E$15+1,1))</f>
        <v>436.23918637269577</v>
      </c>
      <c r="EP53" s="62">
        <f t="shared" si="46"/>
        <v>611.43967996341894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3.1631441158904514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3.1631441158904514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231</v>
      </c>
      <c r="FC53" s="13">
        <f>VLOOKUP(A53,'Données projet'!$A$217:$I$237,9,0)</f>
        <v>8.8000000000000007</v>
      </c>
      <c r="FD53" s="13">
        <f t="array" ref="FD53">INDEX(FC:FC,MIN(IF(ISNUMBER(FC53:FC249),ROW(FC53:FC249),"")))</f>
        <v>8.8000000000000007</v>
      </c>
      <c r="FE53" s="13">
        <f>IF('Données projet'!$A$218&gt;35,FE52+FD53-FM52,IF(A53&lt;'Données projet'!$A$218,$FB$205^A53,IF(A53='Données projet'!$A$218,'Données projet'!$B$218,FE52+FD53-FM52)))</f>
        <v>231.00000000000014</v>
      </c>
      <c r="FF53" s="18">
        <f>FE53*VLOOKUP('Données projet'!$B$16,Paramètres!$A$1:$I$89,3,0)*VLOOKUP('Données projet'!$B$16,Paramètres!$A$1:$I$89,5,0)</f>
        <v>201.80160000000015</v>
      </c>
      <c r="FG53" s="14">
        <f t="shared" si="47"/>
        <v>50.139897992681711</v>
      </c>
      <c r="FH53" s="22">
        <f t="shared" si="22"/>
        <v>438.7981090039209</v>
      </c>
      <c r="FI53" s="62">
        <f t="shared" si="23"/>
        <v>732.13144233725416</v>
      </c>
      <c r="FJ53" s="62">
        <f ca="1">AVERAGE(OFFSET($FI$3,0,0,'Données projet'!$E$16+1,1))-AVERAGE(OFFSET($H$3,0,0,'Données projet'!$E$16+1,1))</f>
        <v>321.23599968992932</v>
      </c>
      <c r="FK53" s="62">
        <f t="shared" si="48"/>
        <v>388.05195847800502</v>
      </c>
      <c r="FL53" s="16">
        <f>IF(ISNA(VLOOKUP(A53,'Données projet'!$A$217:$I$237,3,0)),0,VLOOKUP(A53,'Données projet'!$A$217:$I$237,3,0))</f>
        <v>8</v>
      </c>
      <c r="FM53" s="16">
        <f>IF(ISNA(VLOOKUP(A53,'Données projet'!$A$217:$I$237,4,0)),0,VLOOKUP(A53,'Données projet'!$A$217:$I$237,4,0))</f>
        <v>33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20.324285714285718</v>
      </c>
      <c r="N54" s="14">
        <f>IF('Données projet'!$A$36&gt;35,N53+M54-V53,IF(A54&lt;'Données projet'!$A$36,$K$205^A54,IF(A54='Données projet'!$A$36,'Données projet'!$B$36,N53+M54-V53)))</f>
        <v>431.86857142857144</v>
      </c>
      <c r="O54" s="14">
        <f>N54*VLOOKUP('Données projet'!$B$9,Paramètres!$A$1:$I$89,3,0)*VLOOKUP('Données projet'!$B$9,Paramètres!$A$1:$I$89,5,0)</f>
        <v>241.41453142857142</v>
      </c>
      <c r="P54" s="14">
        <f t="shared" si="33"/>
        <v>58.743769641045859</v>
      </c>
      <c r="Q54" s="22">
        <f t="shared" si="53"/>
        <v>522.77570769625004</v>
      </c>
      <c r="R54" s="62">
        <f t="shared" si="0"/>
        <v>816.1090410295833</v>
      </c>
      <c r="S54" s="62">
        <f ca="1">AVERAGE(OFFSET($R$3,0,0,'Données projet'!$E$9+1,1))-AVERAGE(OFFSET($H$3,0,0,'Données projet'!$E$9+1,1))</f>
        <v>389.06620927245814</v>
      </c>
      <c r="T54" s="62">
        <f t="shared" si="34"/>
        <v>356.08144160383193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17.322765664932795</v>
      </c>
      <c r="AB54" s="23">
        <f>EXP(-LN(2)/2)*AB53+(1-EXP(-LN(2)/2))/(LN(2)/2)*V54*Y54*VLOOKUP('Données projet'!$B$9,Paramètres!$A$1:$I$89,3,0)*0.475*44/12</f>
        <v>3.5785889046075479E-3</v>
      </c>
      <c r="AC54" s="24">
        <f t="shared" si="3"/>
        <v>17.326344253837402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-5.6843418860808015E-14</v>
      </c>
      <c r="AJ54" s="14">
        <f>AI54*VLOOKUP('Données projet'!$B$10,Paramètres!$A$1:$I$89,3,0)*VLOOKUP('Données projet'!$B$10,Paramètres!$A$1:$I$89,5,0)</f>
        <v>-3.1036506698001178E-14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293.73480285950245</v>
      </c>
      <c r="AO54" s="62">
        <f t="shared" si="36"/>
        <v>425.99823184414191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11.803441485523827</v>
      </c>
      <c r="AW54" s="23">
        <f>EXP(-LN(2)/2)*AW53+(1-EXP(-LN(2)/2))/(LN(2)/2)*AQ54*AT54*VLOOKUP('Données projet'!$B$10,Paramètres!$A$1:$I$89,3,0)*0.475*44/12</f>
        <v>1.3347949063324418E-2</v>
      </c>
      <c r="AX54" s="23">
        <f t="shared" si="6"/>
        <v>11.816789434587152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192.90336000000002</v>
      </c>
      <c r="BF54" s="14">
        <f t="shared" si="37"/>
        <v>48.181276881765257</v>
      </c>
      <c r="BG54" s="22">
        <f t="shared" si="7"/>
        <v>419.88907590240791</v>
      </c>
      <c r="BH54" s="62">
        <f t="shared" si="8"/>
        <v>713.22240923574122</v>
      </c>
      <c r="BI54" s="62">
        <f ca="1">AVERAGE(OFFSET($BH$3,0,0,'Données projet'!$E$11+1,1))-AVERAGE(OFFSET($H$3,0,0,'Données projet'!$E$11+1,1))</f>
        <v>438.70522838726322</v>
      </c>
      <c r="BJ54" s="62">
        <f t="shared" si="38"/>
        <v>278.21741231699929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213.20000000000002</v>
      </c>
      <c r="BZ54" s="14">
        <f>BY54*VLOOKUP('Données projet'!$B$12,Paramètres!$A$1:$I$89,3,0)*VLOOKUP('Données projet'!$B$12,Paramètres!$A$1:$I$89,5,0)</f>
        <v>206.20704000000001</v>
      </c>
      <c r="CA54" s="14">
        <f t="shared" si="39"/>
        <v>51.105851308113081</v>
      </c>
      <c r="CB54" s="22">
        <f t="shared" si="10"/>
        <v>448.15328569496359</v>
      </c>
      <c r="CC54" s="62">
        <f t="shared" si="11"/>
        <v>741.4866190282969</v>
      </c>
      <c r="CD54" s="62">
        <f ca="1">AVERAGE(OFFSET($CC$3,0,0,'Données projet'!$E$12+1,1))-AVERAGE(OFFSET($H$3,0,0,'Données projet'!$E$12+1,1))</f>
        <v>466.10838191274445</v>
      </c>
      <c r="CE54" s="62">
        <f t="shared" si="40"/>
        <v>294.45557293177131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8.4</v>
      </c>
      <c r="CT54" s="13">
        <f>IF('Données projet'!$A$140&gt;35,CT53+CS54-DB53,IF(A54&lt;'Données projet'!$A$140,$CQ$205^A54,IF(A54='Données projet'!$A$140,'Données projet'!$B$140,CT53+CS54-DB53)))</f>
        <v>290.39999999999992</v>
      </c>
      <c r="CU54" s="18">
        <f>CT54*VLOOKUP('Données projet'!$B$13,Paramètres!$A$1:$I$89,3,0)*VLOOKUP('Données projet'!$B$13,Paramètres!$A$1:$I$89,5,0)</f>
        <v>212.92127999999991</v>
      </c>
      <c r="CV54" s="14">
        <f t="shared" si="41"/>
        <v>52.57344469809297</v>
      </c>
      <c r="CW54" s="22">
        <f t="shared" si="13"/>
        <v>462.4033121825118</v>
      </c>
      <c r="CX54" s="62">
        <f t="shared" si="14"/>
        <v>755.73664551584511</v>
      </c>
      <c r="CY54" s="62">
        <f ca="1">AVERAGE(OFFSET($CX$3,0,0,'Données projet'!$E$13+1,1))-AVERAGE(OFFSET($H$3,0,0,'Données projet'!$E$13+1,1))</f>
        <v>376.5422416541544</v>
      </c>
      <c r="CZ54" s="62">
        <f t="shared" si="42"/>
        <v>365.76175372075869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7.4</v>
      </c>
      <c r="DO54" s="13">
        <f>IF('Données projet'!$A$166&gt;35,DO53+DN54-DW53,IF(A54&lt;'Données projet'!$A$166,$DL$205^A54,IF(A54='Données projet'!$A$166,'Données projet'!$B$166,DO53+DN54-DW53)))</f>
        <v>248.39999999999998</v>
      </c>
      <c r="DP54" s="18">
        <f>DO54*VLOOKUP('Données projet'!$B$14,Paramètres!$A$1:$I$89,3,0)*VLOOKUP('Données projet'!$B$14,Paramètres!$A$1:$I$89,5,0)</f>
        <v>197.62703999999999</v>
      </c>
      <c r="DQ54" s="14">
        <f t="shared" si="43"/>
        <v>49.222301224260015</v>
      </c>
      <c r="DR54" s="22">
        <f t="shared" si="16"/>
        <v>429.92926929891951</v>
      </c>
      <c r="DS54" s="62">
        <f t="shared" si="17"/>
        <v>723.26260263225277</v>
      </c>
      <c r="DT54" s="62">
        <f ca="1">AVERAGE(OFFSET($DS$3,0,0,'Données projet'!$E$14+1,1))-AVERAGE(OFFSET($H$3,0,0,'Données projet'!$E$14+1,1))</f>
        <v>352.5736659365665</v>
      </c>
      <c r="DU54" s="62">
        <f t="shared" si="44"/>
        <v>343.77208530767069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2.2737367544323206E-13</v>
      </c>
      <c r="EK54" s="18">
        <f>EJ54*VLOOKUP('Données projet'!$B$15,Paramètres!$A$1:$I$89,3,0)*VLOOKUP('Données projet'!$B$15,Paramètres!$A$1:$I$89,5,0)</f>
        <v>2.0572770154103635E-13</v>
      </c>
      <c r="EL54" s="14">
        <f t="shared" si="45"/>
        <v>2.8416956338469711E-12</v>
      </c>
      <c r="EM54" s="22">
        <f t="shared" si="19"/>
        <v>5.3075956424674458E-12</v>
      </c>
      <c r="EN54" s="62">
        <f t="shared" si="20"/>
        <v>293.3333333333386</v>
      </c>
      <c r="EO54" s="62">
        <f ca="1">AVERAGE(OFFSET($EN$3,0,0,'Données projet'!$E$15+1,1))-AVERAGE(OFFSET($H$3,0,0,'Données projet'!$E$15+1,1))</f>
        <v>436.23918637269577</v>
      </c>
      <c r="EP54" s="62">
        <f t="shared" si="46"/>
        <v>611.43967996341894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3.1011167891052449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3.1011167891052449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7.8</v>
      </c>
      <c r="FE54" s="13">
        <f>IF('Données projet'!$A$218&gt;35,FE53+FD54-FM53,IF(A54&lt;'Données projet'!$A$218,$FB$205^A54,IF(A54='Données projet'!$A$218,'Données projet'!$B$218,FE53+FD54-FM53)))</f>
        <v>205.80000000000015</v>
      </c>
      <c r="FF54" s="18">
        <f>FE54*VLOOKUP('Données projet'!$B$16,Paramètres!$A$1:$I$89,3,0)*VLOOKUP('Données projet'!$B$16,Paramètres!$A$1:$I$89,5,0)</f>
        <v>179.78688000000014</v>
      </c>
      <c r="FG54" s="14">
        <f t="shared" si="47"/>
        <v>45.274767624296977</v>
      </c>
      <c r="FH54" s="22">
        <f t="shared" si="22"/>
        <v>391.98236961231743</v>
      </c>
      <c r="FI54" s="62">
        <f t="shared" si="23"/>
        <v>685.31570294565074</v>
      </c>
      <c r="FJ54" s="62">
        <f ca="1">AVERAGE(OFFSET($FI$3,0,0,'Données projet'!$E$16+1,1))-AVERAGE(OFFSET($H$3,0,0,'Données projet'!$E$16+1,1))</f>
        <v>321.23599968992932</v>
      </c>
      <c r="FK54" s="62">
        <f t="shared" si="48"/>
        <v>388.05195847800502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20.324285714285718</v>
      </c>
      <c r="N55" s="14">
        <f>IF('Données projet'!$A$36&gt;35,N54+M55-V54,IF(A55&lt;'Données projet'!$A$36,$K$205^A55,IF(A55='Données projet'!$A$36,'Données projet'!$B$36,N54+M55-V54)))</f>
        <v>452.19285714285718</v>
      </c>
      <c r="O55" s="14">
        <f>N55*VLOOKUP('Données projet'!$B$9,Paramètres!$A$1:$I$89,3,0)*VLOOKUP('Données projet'!$B$9,Paramètres!$A$1:$I$89,5,0)</f>
        <v>252.77580714285716</v>
      </c>
      <c r="P55" s="14">
        <f t="shared" si="33"/>
        <v>61.179955647848509</v>
      </c>
      <c r="Q55" s="22">
        <f t="shared" si="53"/>
        <v>546.80628686047896</v>
      </c>
      <c r="R55" s="62">
        <f t="shared" si="0"/>
        <v>840.13962019381233</v>
      </c>
      <c r="S55" s="62">
        <f ca="1">AVERAGE(OFFSET($R$3,0,0,'Données projet'!$E$9+1,1))-AVERAGE(OFFSET($H$3,0,0,'Données projet'!$E$9+1,1))</f>
        <v>389.06620927245814</v>
      </c>
      <c r="T55" s="62">
        <f t="shared" si="34"/>
        <v>356.08144160383193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16.849073726860553</v>
      </c>
      <c r="AB55" s="23">
        <f>EXP(-LN(2)/2)*AB54+(1-EXP(-LN(2)/2))/(LN(2)/2)*V55*Y55*VLOOKUP('Données projet'!$B$9,Paramètres!$A$1:$I$89,3,0)*0.475*44/12</f>
        <v>2.5304444815269361E-3</v>
      </c>
      <c r="AC55" s="24">
        <f t="shared" si="3"/>
        <v>16.851604171342078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-5.6843418860808015E-14</v>
      </c>
      <c r="AJ55" s="14">
        <f>AI55*VLOOKUP('Données projet'!$B$10,Paramètres!$A$1:$I$89,3,0)*VLOOKUP('Données projet'!$B$10,Paramètres!$A$1:$I$89,5,0)</f>
        <v>-3.1036506698001178E-14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293.73480285950245</v>
      </c>
      <c r="AO55" s="62">
        <f t="shared" si="36"/>
        <v>425.99823184414191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11.480675757386168</v>
      </c>
      <c r="AW55" s="23">
        <f>EXP(-LN(2)/2)*AW54+(1-EXP(-LN(2)/2))/(LN(2)/2)*AQ55*AT55*VLOOKUP('Données projet'!$B$10,Paramètres!$A$1:$I$89,3,0)*0.475*44/12</f>
        <v>9.4384252976093212E-3</v>
      </c>
      <c r="AX55" s="23">
        <f t="shared" si="6"/>
        <v>11.490114182683778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202.13232000000002</v>
      </c>
      <c r="BF55" s="14">
        <f t="shared" si="37"/>
        <v>50.212497488959627</v>
      </c>
      <c r="BG55" s="22">
        <f t="shared" si="7"/>
        <v>439.50055712660469</v>
      </c>
      <c r="BH55" s="62">
        <f t="shared" si="8"/>
        <v>732.83389045993795</v>
      </c>
      <c r="BI55" s="62">
        <f ca="1">AVERAGE(OFFSET($BH$3,0,0,'Données projet'!$E$11+1,1))-AVERAGE(OFFSET($H$3,0,0,'Données projet'!$E$11+1,1))</f>
        <v>438.70522838726322</v>
      </c>
      <c r="BJ55" s="62">
        <f t="shared" si="38"/>
        <v>278.21741231699929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223.4</v>
      </c>
      <c r="BZ55" s="14">
        <f>BY55*VLOOKUP('Données projet'!$B$12,Paramètres!$A$1:$I$89,3,0)*VLOOKUP('Données projet'!$B$12,Paramètres!$A$1:$I$89,5,0)</f>
        <v>216.07248000000001</v>
      </c>
      <c r="CA55" s="14">
        <f t="shared" si="39"/>
        <v>53.260365780197098</v>
      </c>
      <c r="CB55" s="22">
        <f t="shared" si="10"/>
        <v>469.08803973384329</v>
      </c>
      <c r="CC55" s="62">
        <f t="shared" si="11"/>
        <v>762.42137306717655</v>
      </c>
      <c r="CD55" s="62">
        <f ca="1">AVERAGE(OFFSET($CC$3,0,0,'Données projet'!$E$12+1,1))-AVERAGE(OFFSET($H$3,0,0,'Données projet'!$E$12+1,1))</f>
        <v>466.10838191274445</v>
      </c>
      <c r="CE55" s="62">
        <f t="shared" si="40"/>
        <v>294.45557293177131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8.4</v>
      </c>
      <c r="CT55" s="13">
        <f>IF('Données projet'!$A$140&gt;35,CT54+CS55-DB54,IF(A55&lt;'Données projet'!$A$140,$CQ$205^A55,IF(A55='Données projet'!$A$140,'Données projet'!$B$140,CT54+CS55-DB54)))</f>
        <v>298.7999999999999</v>
      </c>
      <c r="CU55" s="18">
        <f>CT55*VLOOKUP('Données projet'!$B$13,Paramètres!$A$1:$I$89,3,0)*VLOOKUP('Données projet'!$B$13,Paramètres!$A$1:$I$89,5,0)</f>
        <v>219.08015999999992</v>
      </c>
      <c r="CV55" s="14">
        <f t="shared" si="41"/>
        <v>53.914914316401685</v>
      </c>
      <c r="CW55" s="22">
        <f t="shared" si="13"/>
        <v>475.46642110106609</v>
      </c>
      <c r="CX55" s="62">
        <f t="shared" si="14"/>
        <v>768.79975443439935</v>
      </c>
      <c r="CY55" s="62">
        <f ca="1">AVERAGE(OFFSET($CX$3,0,0,'Données projet'!$E$13+1,1))-AVERAGE(OFFSET($H$3,0,0,'Données projet'!$E$13+1,1))</f>
        <v>376.5422416541544</v>
      </c>
      <c r="CZ55" s="62">
        <f t="shared" si="42"/>
        <v>365.76175372075869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7.4</v>
      </c>
      <c r="DO55" s="13">
        <f>IF('Données projet'!$A$166&gt;35,DO54+DN55-DW54,IF(A55&lt;'Données projet'!$A$166,$DL$205^A55,IF(A55='Données projet'!$A$166,'Données projet'!$B$166,DO54+DN55-DW54)))</f>
        <v>255.79999999999998</v>
      </c>
      <c r="DP55" s="18">
        <f>DO55*VLOOKUP('Données projet'!$B$14,Paramètres!$A$1:$I$89,3,0)*VLOOKUP('Données projet'!$B$14,Paramètres!$A$1:$I$89,5,0)</f>
        <v>203.51447999999999</v>
      </c>
      <c r="DQ55" s="14">
        <f t="shared" si="43"/>
        <v>50.515759254811513</v>
      </c>
      <c r="DR55" s="22">
        <f t="shared" si="16"/>
        <v>442.43600003546334</v>
      </c>
      <c r="DS55" s="62">
        <f t="shared" si="17"/>
        <v>735.76933336879665</v>
      </c>
      <c r="DT55" s="62">
        <f ca="1">AVERAGE(OFFSET($DS$3,0,0,'Données projet'!$E$14+1,1))-AVERAGE(OFFSET($H$3,0,0,'Données projet'!$E$14+1,1))</f>
        <v>352.5736659365665</v>
      </c>
      <c r="DU55" s="62">
        <f t="shared" si="44"/>
        <v>343.77208530767069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2.2737367544323206E-13</v>
      </c>
      <c r="EK55" s="18">
        <f>EJ55*VLOOKUP('Données projet'!$B$15,Paramètres!$A$1:$I$89,3,0)*VLOOKUP('Données projet'!$B$15,Paramètres!$A$1:$I$89,5,0)</f>
        <v>2.0572770154103635E-13</v>
      </c>
      <c r="EL55" s="14">
        <f t="shared" si="45"/>
        <v>2.8416956338469711E-12</v>
      </c>
      <c r="EM55" s="22">
        <f t="shared" si="19"/>
        <v>5.3075956424674458E-12</v>
      </c>
      <c r="EN55" s="62">
        <f t="shared" si="20"/>
        <v>293.3333333333386</v>
      </c>
      <c r="EO55" s="62">
        <f ca="1">AVERAGE(OFFSET($EN$3,0,0,'Données projet'!$E$15+1,1))-AVERAGE(OFFSET($H$3,0,0,'Données projet'!$E$15+1,1))</f>
        <v>436.23918637269577</v>
      </c>
      <c r="EP55" s="62">
        <f t="shared" si="46"/>
        <v>611.43967996341894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3.040305780365363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3.040305780365363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7.8</v>
      </c>
      <c r="FE55" s="13">
        <f>IF('Données projet'!$A$218&gt;35,FE54+FD55-FM54,IF(A55&lt;'Données projet'!$A$218,$FB$205^A55,IF(A55='Données projet'!$A$218,'Données projet'!$B$218,FE54+FD55-FM54)))</f>
        <v>213.60000000000016</v>
      </c>
      <c r="FF55" s="18">
        <f>FE55*VLOOKUP('Données projet'!$B$16,Paramètres!$A$1:$I$89,3,0)*VLOOKUP('Données projet'!$B$16,Paramètres!$A$1:$I$89,5,0)</f>
        <v>186.60096000000016</v>
      </c>
      <c r="FG55" s="14">
        <f t="shared" si="47"/>
        <v>46.787685683664144</v>
      </c>
      <c r="FH55" s="22">
        <f t="shared" si="22"/>
        <v>406.48522456571527</v>
      </c>
      <c r="FI55" s="62">
        <f t="shared" si="23"/>
        <v>699.81855789904853</v>
      </c>
      <c r="FJ55" s="62">
        <f ca="1">AVERAGE(OFFSET($FI$3,0,0,'Données projet'!$E$16+1,1))-AVERAGE(OFFSET($H$3,0,0,'Données projet'!$E$16+1,1))</f>
        <v>321.23599968992932</v>
      </c>
      <c r="FK55" s="62">
        <f t="shared" si="48"/>
        <v>388.05195847800502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20.324285714285718</v>
      </c>
      <c r="N56" s="14">
        <f>IF('Données projet'!$A$36&gt;35,N55+M56-V55,IF(A56&lt;'Données projet'!$A$36,$K$205^A56,IF(A56='Données projet'!$A$36,'Données projet'!$B$36,N55+M56-V55)))</f>
        <v>472.51714285714291</v>
      </c>
      <c r="O56" s="14">
        <f>N56*VLOOKUP('Données projet'!$B$9,Paramètres!$A$1:$I$89,3,0)*VLOOKUP('Données projet'!$B$9,Paramètres!$A$1:$I$89,5,0)</f>
        <v>264.1370828571429</v>
      </c>
      <c r="P56" s="14">
        <f t="shared" si="33"/>
        <v>63.60342497029243</v>
      </c>
      <c r="Q56" s="22">
        <f t="shared" si="53"/>
        <v>570.81471779944991</v>
      </c>
      <c r="R56" s="62">
        <f t="shared" si="0"/>
        <v>864.14805113278317</v>
      </c>
      <c r="S56" s="62">
        <f ca="1">AVERAGE(OFFSET($R$3,0,0,'Données projet'!$E$9+1,1))-AVERAGE(OFFSET($H$3,0,0,'Données projet'!$E$9+1,1))</f>
        <v>389.06620927245814</v>
      </c>
      <c r="T56" s="62">
        <f t="shared" si="34"/>
        <v>356.08144160383193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16.388334919745272</v>
      </c>
      <c r="AB56" s="23">
        <f>EXP(-LN(2)/2)*AB55+(1-EXP(-LN(2)/2))/(LN(2)/2)*V56*Y56*VLOOKUP('Données projet'!$B$9,Paramètres!$A$1:$I$89,3,0)*0.475*44/12</f>
        <v>1.7892944523037739E-3</v>
      </c>
      <c r="AC56" s="24">
        <f t="shared" si="3"/>
        <v>16.390124214197577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-5.6843418860808015E-14</v>
      </c>
      <c r="AJ56" s="14">
        <f>AI56*VLOOKUP('Données projet'!$B$10,Paramètres!$A$1:$I$89,3,0)*VLOOKUP('Données projet'!$B$10,Paramètres!$A$1:$I$89,5,0)</f>
        <v>-3.1036506698001178E-14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293.73480285950245</v>
      </c>
      <c r="AO56" s="62">
        <f t="shared" si="36"/>
        <v>425.99823184414191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11.166736075057944</v>
      </c>
      <c r="AW56" s="23">
        <f>EXP(-LN(2)/2)*AW55+(1-EXP(-LN(2)/2))/(LN(2)/2)*AQ56*AT56*VLOOKUP('Données projet'!$B$10,Paramètres!$A$1:$I$89,3,0)*0.475*44/12</f>
        <v>6.6739745316622091E-3</v>
      </c>
      <c r="AX56" s="23">
        <f t="shared" si="6"/>
        <v>11.173410049589606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211.36127999999999</v>
      </c>
      <c r="BF56" s="14">
        <f t="shared" si="37"/>
        <v>52.232947669705631</v>
      </c>
      <c r="BG56" s="22">
        <f t="shared" si="7"/>
        <v>459.09327985807062</v>
      </c>
      <c r="BH56" s="62">
        <f t="shared" si="8"/>
        <v>752.42661319140393</v>
      </c>
      <c r="BI56" s="62">
        <f ca="1">AVERAGE(OFFSET($BH$3,0,0,'Données projet'!$E$11+1,1))-AVERAGE(OFFSET($H$3,0,0,'Données projet'!$E$11+1,1))</f>
        <v>438.70522838726322</v>
      </c>
      <c r="BJ56" s="62">
        <f t="shared" si="38"/>
        <v>278.21741231699929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233.6</v>
      </c>
      <c r="BZ56" s="14">
        <f>BY56*VLOOKUP('Données projet'!$B$12,Paramètres!$A$1:$I$89,3,0)*VLOOKUP('Données projet'!$B$12,Paramètres!$A$1:$I$89,5,0)</f>
        <v>225.93791999999999</v>
      </c>
      <c r="CA56" s="14">
        <f t="shared" si="39"/>
        <v>55.403456067447962</v>
      </c>
      <c r="CB56" s="22">
        <f t="shared" si="10"/>
        <v>490.00289665080521</v>
      </c>
      <c r="CC56" s="62">
        <f t="shared" si="11"/>
        <v>783.33622998413853</v>
      </c>
      <c r="CD56" s="62">
        <f ca="1">AVERAGE(OFFSET($CC$3,0,0,'Données projet'!$E$12+1,1))-AVERAGE(OFFSET($H$3,0,0,'Données projet'!$E$12+1,1))</f>
        <v>466.10838191274445</v>
      </c>
      <c r="CE56" s="62">
        <f t="shared" si="40"/>
        <v>294.45557293177131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8.4</v>
      </c>
      <c r="CT56" s="13">
        <f>IF('Données projet'!$A$140&gt;35,CT55+CS56-DB55,IF(A56&lt;'Données projet'!$A$140,$CQ$205^A56,IF(A56='Données projet'!$A$140,'Données projet'!$B$140,CT55+CS56-DB55)))</f>
        <v>307.19999999999987</v>
      </c>
      <c r="CU56" s="18">
        <f>CT56*VLOOKUP('Données projet'!$B$13,Paramètres!$A$1:$I$89,3,0)*VLOOKUP('Données projet'!$B$13,Paramètres!$A$1:$I$89,5,0)</f>
        <v>225.2390399999999</v>
      </c>
      <c r="CV56" s="14">
        <f t="shared" si="41"/>
        <v>55.252000822487368</v>
      </c>
      <c r="CW56" s="22">
        <f t="shared" si="13"/>
        <v>488.5218960991653</v>
      </c>
      <c r="CX56" s="62">
        <f t="shared" si="14"/>
        <v>781.85522943249862</v>
      </c>
      <c r="CY56" s="62">
        <f ca="1">AVERAGE(OFFSET($CX$3,0,0,'Données projet'!$E$13+1,1))-AVERAGE(OFFSET($H$3,0,0,'Données projet'!$E$13+1,1))</f>
        <v>376.5422416541544</v>
      </c>
      <c r="CZ56" s="62">
        <f t="shared" si="42"/>
        <v>365.76175372075869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7.4</v>
      </c>
      <c r="DO56" s="13">
        <f>IF('Données projet'!$A$166&gt;35,DO55+DN56-DW55,IF(A56&lt;'Données projet'!$A$166,$DL$205^A56,IF(A56='Données projet'!$A$166,'Données projet'!$B$166,DO55+DN56-DW55)))</f>
        <v>263.2</v>
      </c>
      <c r="DP56" s="18">
        <f>DO56*VLOOKUP('Données projet'!$B$14,Paramètres!$A$1:$I$89,3,0)*VLOOKUP('Données projet'!$B$14,Paramètres!$A$1:$I$89,5,0)</f>
        <v>209.40192000000002</v>
      </c>
      <c r="DQ56" s="14">
        <f t="shared" si="43"/>
        <v>51.804868484579089</v>
      </c>
      <c r="DR56" s="22">
        <f t="shared" si="16"/>
        <v>454.93515661064185</v>
      </c>
      <c r="DS56" s="62">
        <f t="shared" si="17"/>
        <v>748.26848994397517</v>
      </c>
      <c r="DT56" s="62">
        <f ca="1">AVERAGE(OFFSET($DS$3,0,0,'Données projet'!$E$14+1,1))-AVERAGE(OFFSET($H$3,0,0,'Données projet'!$E$14+1,1))</f>
        <v>352.5736659365665</v>
      </c>
      <c r="DU56" s="62">
        <f t="shared" si="44"/>
        <v>343.77208530767069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2.2737367544323206E-13</v>
      </c>
      <c r="EK56" s="18">
        <f>EJ56*VLOOKUP('Données projet'!$B$15,Paramètres!$A$1:$I$89,3,0)*VLOOKUP('Données projet'!$B$15,Paramètres!$A$1:$I$89,5,0)</f>
        <v>2.0572770154103635E-13</v>
      </c>
      <c r="EL56" s="14">
        <f t="shared" si="45"/>
        <v>2.8416956338469711E-12</v>
      </c>
      <c r="EM56" s="22">
        <f t="shared" si="19"/>
        <v>5.3075956424674458E-12</v>
      </c>
      <c r="EN56" s="62">
        <f t="shared" si="20"/>
        <v>293.3333333333386</v>
      </c>
      <c r="EO56" s="62">
        <f ca="1">AVERAGE(OFFSET($EN$3,0,0,'Données projet'!$E$15+1,1))-AVERAGE(OFFSET($H$3,0,0,'Données projet'!$E$15+1,1))</f>
        <v>436.23918637269577</v>
      </c>
      <c r="EP56" s="62">
        <f t="shared" si="46"/>
        <v>611.43967996341894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2.980687238415817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2.980687238415817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7.8</v>
      </c>
      <c r="FE56" s="13">
        <f>IF('Données projet'!$A$218&gt;35,FE55+FD56-FM55,IF(A56&lt;'Données projet'!$A$218,$FB$205^A56,IF(A56='Données projet'!$A$218,'Données projet'!$B$218,FE55+FD56-FM55)))</f>
        <v>221.40000000000018</v>
      </c>
      <c r="FF56" s="18">
        <f>FE56*VLOOKUP('Données projet'!$B$16,Paramètres!$A$1:$I$89,3,0)*VLOOKUP('Données projet'!$B$16,Paramètres!$A$1:$I$89,5,0)</f>
        <v>193.41504000000018</v>
      </c>
      <c r="FG56" s="14">
        <f t="shared" si="47"/>
        <v>48.294185132315114</v>
      </c>
      <c r="FH56" s="22">
        <f t="shared" si="22"/>
        <v>420.97690043878242</v>
      </c>
      <c r="FI56" s="62">
        <f t="shared" si="23"/>
        <v>714.31023377211568</v>
      </c>
      <c r="FJ56" s="62">
        <f ca="1">AVERAGE(OFFSET($FI$3,0,0,'Données projet'!$E$16+1,1))-AVERAGE(OFFSET($H$3,0,0,'Données projet'!$E$16+1,1))</f>
        <v>321.23599968992932</v>
      </c>
      <c r="FK56" s="62">
        <f t="shared" si="48"/>
        <v>388.05195847800502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20.324285714285718</v>
      </c>
      <c r="N57" s="14">
        <f>IF('Données projet'!$A$36&gt;35,N56+M57-V56,IF(A57&lt;'Données projet'!$A$36,$K$205^A57,IF(A57='Données projet'!$A$36,'Données projet'!$B$36,N56+M57-V56)))</f>
        <v>492.84142857142865</v>
      </c>
      <c r="O57" s="14">
        <f>N57*VLOOKUP('Données projet'!$B$9,Paramètres!$A$1:$I$89,3,0)*VLOOKUP('Données projet'!$B$9,Paramètres!$A$1:$I$89,5,0)</f>
        <v>275.49835857142858</v>
      </c>
      <c r="P57" s="14">
        <f t="shared" si="33"/>
        <v>66.0147871145425</v>
      </c>
      <c r="Q57" s="22">
        <f t="shared" si="53"/>
        <v>594.80206206973287</v>
      </c>
      <c r="R57" s="62">
        <f t="shared" si="0"/>
        <v>888.13539540306624</v>
      </c>
      <c r="S57" s="62">
        <f ca="1">AVERAGE(OFFSET($R$3,0,0,'Données projet'!$E$9+1,1))-AVERAGE(OFFSET($H$3,0,0,'Données projet'!$E$9+1,1))</f>
        <v>389.06620927245814</v>
      </c>
      <c r="T57" s="62">
        <f t="shared" si="34"/>
        <v>356.08144160383193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15.940195039539761</v>
      </c>
      <c r="AB57" s="23">
        <f>EXP(-LN(2)/2)*AB56+(1-EXP(-LN(2)/2))/(LN(2)/2)*V57*Y57*VLOOKUP('Données projet'!$B$9,Paramètres!$A$1:$I$89,3,0)*0.475*44/12</f>
        <v>1.2652222407634681E-3</v>
      </c>
      <c r="AC57" s="24">
        <f t="shared" si="3"/>
        <v>15.941460261780524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-5.6843418860808015E-14</v>
      </c>
      <c r="AJ57" s="14">
        <f>AI57*VLOOKUP('Données projet'!$B$10,Paramètres!$A$1:$I$89,3,0)*VLOOKUP('Données projet'!$B$10,Paramètres!$A$1:$I$89,5,0)</f>
        <v>-3.1036506698001178E-14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293.73480285950245</v>
      </c>
      <c r="AO57" s="62">
        <f t="shared" si="36"/>
        <v>425.99823184414191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10.861381089852356</v>
      </c>
      <c r="AW57" s="23">
        <f>EXP(-LN(2)/2)*AW56+(1-EXP(-LN(2)/2))/(LN(2)/2)*AQ57*AT57*VLOOKUP('Données projet'!$B$10,Paramètres!$A$1:$I$89,3,0)*0.475*44/12</f>
        <v>4.7192126488046606E-3</v>
      </c>
      <c r="AX57" s="23">
        <f t="shared" si="6"/>
        <v>10.866100302501161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220.59023999999997</v>
      </c>
      <c r="BF57" s="14">
        <f t="shared" si="37"/>
        <v>54.24315145708789</v>
      </c>
      <c r="BG57" s="22">
        <f t="shared" si="7"/>
        <v>478.66815678776129</v>
      </c>
      <c r="BH57" s="62">
        <f t="shared" si="8"/>
        <v>772.00149012109455</v>
      </c>
      <c r="BI57" s="62">
        <f ca="1">AVERAGE(OFFSET($BH$3,0,0,'Données projet'!$E$11+1,1))-AVERAGE(OFFSET($H$3,0,0,'Données projet'!$E$11+1,1))</f>
        <v>438.70522838726322</v>
      </c>
      <c r="BJ57" s="62">
        <f t="shared" si="38"/>
        <v>278.21741231699929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243.79999999999998</v>
      </c>
      <c r="BZ57" s="14">
        <f>BY57*VLOOKUP('Données projet'!$B$12,Paramètres!$A$1:$I$89,3,0)*VLOOKUP('Données projet'!$B$12,Paramètres!$A$1:$I$89,5,0)</f>
        <v>235.80335999999997</v>
      </c>
      <c r="CA57" s="14">
        <f t="shared" si="39"/>
        <v>57.53567801144218</v>
      </c>
      <c r="CB57" s="22">
        <f t="shared" si="10"/>
        <v>510.89882453659499</v>
      </c>
      <c r="CC57" s="62">
        <f t="shared" si="11"/>
        <v>804.2321578699283</v>
      </c>
      <c r="CD57" s="62">
        <f ca="1">AVERAGE(OFFSET($CC$3,0,0,'Données projet'!$E$12+1,1))-AVERAGE(OFFSET($H$3,0,0,'Données projet'!$E$12+1,1))</f>
        <v>466.10838191274445</v>
      </c>
      <c r="CE57" s="62">
        <f t="shared" si="40"/>
        <v>294.45557293177131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8.4</v>
      </c>
      <c r="CT57" s="13">
        <f>IF('Données projet'!$A$140&gt;35,CT56+CS57-DB56,IF(A57&lt;'Données projet'!$A$140,$CQ$205^A57,IF(A57='Données projet'!$A$140,'Données projet'!$B$140,CT56+CS57-DB56)))</f>
        <v>315.59999999999985</v>
      </c>
      <c r="CU57" s="18">
        <f>CT57*VLOOKUP('Données projet'!$B$13,Paramètres!$A$1:$I$89,3,0)*VLOOKUP('Données projet'!$B$13,Paramètres!$A$1:$I$89,5,0)</f>
        <v>231.39791999999986</v>
      </c>
      <c r="CV57" s="14">
        <f t="shared" si="41"/>
        <v>56.584837838715806</v>
      </c>
      <c r="CW57" s="22">
        <f t="shared" si="13"/>
        <v>501.5699699024297</v>
      </c>
      <c r="CX57" s="62">
        <f t="shared" si="14"/>
        <v>794.90330323576302</v>
      </c>
      <c r="CY57" s="62">
        <f ca="1">AVERAGE(OFFSET($CX$3,0,0,'Données projet'!$E$13+1,1))-AVERAGE(OFFSET($H$3,0,0,'Données projet'!$E$13+1,1))</f>
        <v>376.5422416541544</v>
      </c>
      <c r="CZ57" s="62">
        <f t="shared" si="42"/>
        <v>365.76175372075869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7.4</v>
      </c>
      <c r="DO57" s="13">
        <f>IF('Données projet'!$A$166&gt;35,DO56+DN57-DW56,IF(A57&lt;'Données projet'!$A$166,$DL$205^A57,IF(A57='Données projet'!$A$166,'Données projet'!$B$166,DO56+DN57-DW56)))</f>
        <v>270.59999999999997</v>
      </c>
      <c r="DP57" s="18">
        <f>DO57*VLOOKUP('Données projet'!$B$14,Paramètres!$A$1:$I$89,3,0)*VLOOKUP('Données projet'!$B$14,Paramètres!$A$1:$I$89,5,0)</f>
        <v>215.28935999999996</v>
      </c>
      <c r="DQ57" s="14">
        <f t="shared" si="43"/>
        <v>53.089765227625676</v>
      </c>
      <c r="DR57" s="22">
        <f t="shared" si="16"/>
        <v>467.42697643811471</v>
      </c>
      <c r="DS57" s="62">
        <f t="shared" si="17"/>
        <v>760.76030977144796</v>
      </c>
      <c r="DT57" s="62">
        <f ca="1">AVERAGE(OFFSET($DS$3,0,0,'Données projet'!$E$14+1,1))-AVERAGE(OFFSET($H$3,0,0,'Données projet'!$E$14+1,1))</f>
        <v>352.5736659365665</v>
      </c>
      <c r="DU57" s="62">
        <f t="shared" si="44"/>
        <v>343.77208530767069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2.2737367544323206E-13</v>
      </c>
      <c r="EK57" s="18">
        <f>EJ57*VLOOKUP('Données projet'!$B$15,Paramètres!$A$1:$I$89,3,0)*VLOOKUP('Données projet'!$B$15,Paramètres!$A$1:$I$89,5,0)</f>
        <v>2.0572770154103635E-13</v>
      </c>
      <c r="EL57" s="14">
        <f t="shared" si="45"/>
        <v>2.8416956338469711E-12</v>
      </c>
      <c r="EM57" s="22">
        <f t="shared" si="19"/>
        <v>5.3075956424674458E-12</v>
      </c>
      <c r="EN57" s="62">
        <f t="shared" si="20"/>
        <v>293.3333333333386</v>
      </c>
      <c r="EO57" s="62">
        <f ca="1">AVERAGE(OFFSET($EN$3,0,0,'Données projet'!$E$15+1,1))-AVERAGE(OFFSET($H$3,0,0,'Données projet'!$E$15+1,1))</f>
        <v>436.23918637269577</v>
      </c>
      <c r="EP57" s="62">
        <f t="shared" si="46"/>
        <v>611.43967996341894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2.9222377797101817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2.9222377797101817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7.8</v>
      </c>
      <c r="FE57" s="13">
        <f>IF('Données projet'!$A$218&gt;35,FE56+FD57-FM56,IF(A57&lt;'Données projet'!$A$218,$FB$205^A57,IF(A57='Données projet'!$A$218,'Données projet'!$B$218,FE56+FD57-FM56)))</f>
        <v>229.20000000000019</v>
      </c>
      <c r="FF57" s="18">
        <f>FE57*VLOOKUP('Données projet'!$B$16,Paramètres!$A$1:$I$89,3,0)*VLOOKUP('Données projet'!$B$16,Paramètres!$A$1:$I$89,5,0)</f>
        <v>200.22912000000019</v>
      </c>
      <c r="FG57" s="14">
        <f t="shared" si="47"/>
        <v>49.794518010766396</v>
      </c>
      <c r="FH57" s="22">
        <f t="shared" si="22"/>
        <v>435.45783620208516</v>
      </c>
      <c r="FI57" s="62">
        <f t="shared" si="23"/>
        <v>728.79116953541848</v>
      </c>
      <c r="FJ57" s="62">
        <f ca="1">AVERAGE(OFFSET($FI$3,0,0,'Données projet'!$E$16+1,1))-AVERAGE(OFFSET($H$3,0,0,'Données projet'!$E$16+1,1))</f>
        <v>321.23599968992932</v>
      </c>
      <c r="FK57" s="62">
        <f t="shared" si="48"/>
        <v>388.05195847800502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20.324285714285718</v>
      </c>
      <c r="N58" s="14">
        <f>IF('Données projet'!$A$36&gt;35,N57+M58-V57,IF(A58&lt;'Données projet'!$A$36,$K$205^A58,IF(A58='Données projet'!$A$36,'Données projet'!$B$36,N57+M58-V57)))</f>
        <v>513.16571428571433</v>
      </c>
      <c r="O58" s="14">
        <f>N58*VLOOKUP('Données projet'!$B$9,Paramètres!$A$1:$I$89,3,0)*VLOOKUP('Données projet'!$B$9,Paramètres!$A$1:$I$89,5,0)</f>
        <v>286.85963428571432</v>
      </c>
      <c r="P58" s="14">
        <f t="shared" si="33"/>
        <v>68.414598471463037</v>
      </c>
      <c r="Q58" s="22">
        <f t="shared" si="53"/>
        <v>618.76928871875054</v>
      </c>
      <c r="R58" s="62">
        <f t="shared" si="0"/>
        <v>912.10262205208392</v>
      </c>
      <c r="S58" s="62">
        <f ca="1">AVERAGE(OFFSET($R$3,0,0,'Données projet'!$E$9+1,1))-AVERAGE(OFFSET($H$3,0,0,'Données projet'!$E$9+1,1))</f>
        <v>389.06620927245814</v>
      </c>
      <c r="T58" s="62">
        <f t="shared" si="34"/>
        <v>356.08144160383193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15.504309567925121</v>
      </c>
      <c r="AB58" s="23">
        <f>EXP(-LN(2)/2)*AB57+(1-EXP(-LN(2)/2))/(LN(2)/2)*V58*Y58*VLOOKUP('Données projet'!$B$9,Paramètres!$A$1:$I$89,3,0)*0.475*44/12</f>
        <v>8.9464722615188697E-4</v>
      </c>
      <c r="AC58" s="24">
        <f t="shared" si="3"/>
        <v>15.505204215151274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-5.6843418860808015E-14</v>
      </c>
      <c r="AJ58" s="14">
        <f>AI58*VLOOKUP('Données projet'!$B$10,Paramètres!$A$1:$I$89,3,0)*VLOOKUP('Données projet'!$B$10,Paramètres!$A$1:$I$89,5,0)</f>
        <v>-3.1036506698001178E-14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293.73480285950245</v>
      </c>
      <c r="AO58" s="62">
        <f t="shared" si="36"/>
        <v>425.99823184414191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10.564376052775136</v>
      </c>
      <c r="AW58" s="23">
        <f>EXP(-LN(2)/2)*AW57+(1-EXP(-LN(2)/2))/(LN(2)/2)*AQ58*AT58*VLOOKUP('Données projet'!$B$10,Paramètres!$A$1:$I$89,3,0)*0.475*44/12</f>
        <v>3.3369872658311046E-3</v>
      </c>
      <c r="AX58" s="23">
        <f t="shared" si="6"/>
        <v>10.567713040040967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229.81919999999997</v>
      </c>
      <c r="BF58" s="14">
        <f t="shared" si="37"/>
        <v>56.243586554989342</v>
      </c>
      <c r="BG58" s="22">
        <f t="shared" si="7"/>
        <v>498.22601991660639</v>
      </c>
      <c r="BH58" s="62">
        <f t="shared" si="8"/>
        <v>791.5593532499397</v>
      </c>
      <c r="BI58" s="62">
        <f ca="1">AVERAGE(OFFSET($BH$3,0,0,'Données projet'!$E$11+1,1))-AVERAGE(OFFSET($H$3,0,0,'Données projet'!$E$11+1,1))</f>
        <v>438.70522838726322</v>
      </c>
      <c r="BJ58" s="62">
        <f t="shared" si="38"/>
        <v>278.21741231699929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254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253.99999999999997</v>
      </c>
      <c r="BZ58" s="14">
        <f>BY58*VLOOKUP('Données projet'!$B$12,Paramètres!$A$1:$I$89,3,0)*VLOOKUP('Données projet'!$B$12,Paramètres!$A$1:$I$89,5,0)</f>
        <v>245.6688</v>
      </c>
      <c r="CA58" s="14">
        <f t="shared" si="39"/>
        <v>59.657538312400263</v>
      </c>
      <c r="CB58" s="22">
        <f t="shared" si="10"/>
        <v>531.77670589409706</v>
      </c>
      <c r="CC58" s="62">
        <f t="shared" si="11"/>
        <v>825.11003922743043</v>
      </c>
      <c r="CD58" s="62">
        <f ca="1">AVERAGE(OFFSET($CC$3,0,0,'Données projet'!$E$12+1,1))-AVERAGE(OFFSET($H$3,0,0,'Données projet'!$E$12+1,1))</f>
        <v>466.10838191274445</v>
      </c>
      <c r="CE58" s="62">
        <f t="shared" si="40"/>
        <v>294.45557293177131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324</v>
      </c>
      <c r="CR58" s="13">
        <f>VLOOKUP(A58,'Données projet'!$A$139:$I$159,9,0)</f>
        <v>8.4</v>
      </c>
      <c r="CS58" s="13">
        <f t="array" ref="CS58">INDEX(CR:CR,MIN(IF(ISNUMBER(CR58:CR254),ROW(CR58:CR254),"")))</f>
        <v>8.4</v>
      </c>
      <c r="CT58" s="13">
        <f>IF('Données projet'!$A$140&gt;35,CT57+CS58-DB57,IF(A58&lt;'Données projet'!$A$140,$CQ$205^A58,IF(A58='Données projet'!$A$140,'Données projet'!$B$140,CT57+CS58-DB57)))</f>
        <v>323.99999999999983</v>
      </c>
      <c r="CU58" s="18">
        <f>CT58*VLOOKUP('Données projet'!$B$13,Paramètres!$A$1:$I$89,3,0)*VLOOKUP('Données projet'!$B$13,Paramètres!$A$1:$I$89,5,0)</f>
        <v>237.55679999999987</v>
      </c>
      <c r="CV58" s="14">
        <f t="shared" si="41"/>
        <v>57.913551469467308</v>
      </c>
      <c r="CW58" s="22">
        <f t="shared" si="13"/>
        <v>514.61086214265526</v>
      </c>
      <c r="CX58" s="62">
        <f t="shared" si="14"/>
        <v>807.94419547598864</v>
      </c>
      <c r="CY58" s="62">
        <f ca="1">AVERAGE(OFFSET($CX$3,0,0,'Données projet'!$E$13+1,1))-AVERAGE(OFFSET($H$3,0,0,'Données projet'!$E$13+1,1))</f>
        <v>376.5422416541544</v>
      </c>
      <c r="CZ58" s="62">
        <f t="shared" si="42"/>
        <v>365.76175372075869</v>
      </c>
      <c r="DA58" s="16">
        <f>IF(ISNA(VLOOKUP(A58,'Données projet'!$A$139:$I$159,3,0)),0,VLOOKUP(A58,'Données projet'!$A$139:$I$159,3,0))</f>
        <v>10</v>
      </c>
      <c r="DB58" s="16">
        <f>IF(ISNA(VLOOKUP(A58,'Données projet'!$A$139:$I$159,4,0)),0,VLOOKUP(A58,'Données projet'!$A$139:$I$159,4,0))</f>
        <v>18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278</v>
      </c>
      <c r="DM58" s="13">
        <f>VLOOKUP(A58,'Données projet'!$A$165:$I$185,9,0)</f>
        <v>7.4</v>
      </c>
      <c r="DN58" s="13">
        <f t="array" ref="DN58">INDEX(DM:DM,MIN(IF(ISNUMBER(DM58:DM254),ROW(DM58:DM254),"")))</f>
        <v>7.4</v>
      </c>
      <c r="DO58" s="13">
        <f>IF('Données projet'!$A$166&gt;35,DO57+DN58-DW57,IF(A58&lt;'Données projet'!$A$166,$DL$205^A58,IF(A58='Données projet'!$A$166,'Données projet'!$B$166,DO57+DN58-DW57)))</f>
        <v>277.99999999999994</v>
      </c>
      <c r="DP58" s="18">
        <f>DO58*VLOOKUP('Données projet'!$B$14,Paramètres!$A$1:$I$89,3,0)*VLOOKUP('Données projet'!$B$14,Paramètres!$A$1:$I$89,5,0)</f>
        <v>221.17679999999996</v>
      </c>
      <c r="DQ58" s="14">
        <f t="shared" si="43"/>
        <v>54.370577918219368</v>
      </c>
      <c r="DR58" s="22">
        <f t="shared" si="16"/>
        <v>479.91168320756537</v>
      </c>
      <c r="DS58" s="62">
        <f t="shared" si="17"/>
        <v>773.24501654089863</v>
      </c>
      <c r="DT58" s="62">
        <f ca="1">AVERAGE(OFFSET($DS$3,0,0,'Données projet'!$E$14+1,1))-AVERAGE(OFFSET($H$3,0,0,'Données projet'!$E$14+1,1))</f>
        <v>352.5736659365665</v>
      </c>
      <c r="DU58" s="62">
        <f t="shared" si="44"/>
        <v>343.77208530767069</v>
      </c>
      <c r="DV58" s="16">
        <f>IF(ISNA(VLOOKUP(A58,'Données projet'!$A$165:$I$185,3,0)),0,VLOOKUP(A58,'Données projet'!$A$165:$I$185,3,0))</f>
        <v>10</v>
      </c>
      <c r="DW58" s="16">
        <f>IF(ISNA(VLOOKUP(A58,'Données projet'!$A$165:$I$185,4,0)),0,VLOOKUP(A58,'Données projet'!$A$165:$I$185,4,0))</f>
        <v>16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2.2737367544323206E-13</v>
      </c>
      <c r="EK58" s="18">
        <f>EJ58*VLOOKUP('Données projet'!$B$15,Paramètres!$A$1:$I$89,3,0)*VLOOKUP('Données projet'!$B$15,Paramètres!$A$1:$I$89,5,0)</f>
        <v>2.0572770154103635E-13</v>
      </c>
      <c r="EL58" s="14">
        <f t="shared" si="45"/>
        <v>2.8416956338469711E-12</v>
      </c>
      <c r="EM58" s="22">
        <f t="shared" si="19"/>
        <v>5.3075956424674458E-12</v>
      </c>
      <c r="EN58" s="62">
        <f t="shared" si="20"/>
        <v>293.3333333333386</v>
      </c>
      <c r="EO58" s="62">
        <f ca="1">AVERAGE(OFFSET($EN$3,0,0,'Données projet'!$E$15+1,1))-AVERAGE(OFFSET($H$3,0,0,'Données projet'!$E$15+1,1))</f>
        <v>436.23918637269577</v>
      </c>
      <c r="EP58" s="62">
        <f t="shared" si="46"/>
        <v>611.43967996341894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2.8649344792391145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2.8649344792391145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237</v>
      </c>
      <c r="FC58" s="13">
        <f>VLOOKUP(A58,'Données projet'!$A$217:$I$237,9,0)</f>
        <v>7.8</v>
      </c>
      <c r="FD58" s="13">
        <f t="array" ref="FD58">INDEX(FC:FC,MIN(IF(ISNUMBER(FC58:FC254),ROW(FC58:FC254),"")))</f>
        <v>7.8</v>
      </c>
      <c r="FE58" s="13">
        <f>IF('Données projet'!$A$218&gt;35,FE57+FD58-FM57,IF(A58&lt;'Données projet'!$A$218,$FB$205^A58,IF(A58='Données projet'!$A$218,'Données projet'!$B$218,FE57+FD58-FM57)))</f>
        <v>237.0000000000002</v>
      </c>
      <c r="FF58" s="18">
        <f>FE58*VLOOKUP('Données projet'!$B$16,Paramètres!$A$1:$I$89,3,0)*VLOOKUP('Données projet'!$B$16,Paramètres!$A$1:$I$89,5,0)</f>
        <v>207.04320000000018</v>
      </c>
      <c r="FG58" s="14">
        <f t="shared" si="47"/>
        <v>51.28891823180637</v>
      </c>
      <c r="FH58" s="22">
        <f t="shared" si="22"/>
        <v>449.92843925372966</v>
      </c>
      <c r="FI58" s="62">
        <f t="shared" si="23"/>
        <v>743.26177258706298</v>
      </c>
      <c r="FJ58" s="62">
        <f ca="1">AVERAGE(OFFSET($FI$3,0,0,'Données projet'!$E$16+1,1))-AVERAGE(OFFSET($H$3,0,0,'Données projet'!$E$16+1,1))</f>
        <v>321.23599968992932</v>
      </c>
      <c r="FK58" s="62">
        <f t="shared" si="48"/>
        <v>388.05195847800502</v>
      </c>
      <c r="FL58" s="16">
        <f>IF(ISNA(VLOOKUP(A58,'Données projet'!$A$217:$I$237,3,0)),0,VLOOKUP(A58,'Données projet'!$A$217:$I$237,3,0))</f>
        <v>9</v>
      </c>
      <c r="FM58" s="16">
        <f>IF(ISNA(VLOOKUP(A58,'Données projet'!$A$217:$I$237,4,0)),0,VLOOKUP(A58,'Données projet'!$A$217:$I$237,4,0))</f>
        <v>29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533.49</v>
      </c>
      <c r="L59" s="13">
        <f>VLOOKUP(A59,'Données projet'!$A$35:$I$55,9,0)</f>
        <v>20.324285714285718</v>
      </c>
      <c r="M59" s="13">
        <f t="array" ref="M59">INDEX(L:L,MIN(IF(ISNUMBER(L59:L255),ROW(L59:L255),"")))</f>
        <v>20.324285714285718</v>
      </c>
      <c r="N59" s="14">
        <f>IF('Données projet'!$A$36&gt;35,N58+M59-V58,IF(A59&lt;'Données projet'!$A$36,$K$205^A59,IF(A59='Données projet'!$A$36,'Données projet'!$B$36,N58+M59-V58)))</f>
        <v>533.49</v>
      </c>
      <c r="O59" s="14">
        <f>N59*VLOOKUP('Données projet'!$B$9,Paramètres!$A$1:$I$89,3,0)*VLOOKUP('Données projet'!$B$9,Paramètres!$A$1:$I$89,5,0)</f>
        <v>298.22091</v>
      </c>
      <c r="P59" s="14">
        <f t="shared" si="33"/>
        <v>70.803368864473384</v>
      </c>
      <c r="Q59" s="22">
        <f t="shared" si="53"/>
        <v>642.71728568895776</v>
      </c>
      <c r="R59" s="62">
        <f t="shared" si="0"/>
        <v>936.05061902229113</v>
      </c>
      <c r="S59" s="62">
        <f ca="1">AVERAGE(OFFSET($R$3,0,0,'Données projet'!$E$9+1,1))-AVERAGE(OFFSET($H$3,0,0,'Données projet'!$E$9+1,1))</f>
        <v>389.06620927245814</v>
      </c>
      <c r="T59" s="62">
        <f t="shared" si="34"/>
        <v>356.08144160383193</v>
      </c>
      <c r="U59" s="16">
        <f>IF(ISNA(VLOOKUP(A59,'Données projet'!$A$35:$I$55,3,0)),0,VLOOKUP(A59,'Données projet'!$A$35:$I$55,3,0))</f>
        <v>7</v>
      </c>
      <c r="V59" s="16">
        <f>IF(ISNA(VLOOKUP(A59,'Données projet'!$A$35:$I$55,4,0)),0,VLOOKUP(A59,'Données projet'!$A$35:$I$55,4,0))</f>
        <v>94.57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15.080343407454004</v>
      </c>
      <c r="AB59" s="23">
        <f>EXP(-LN(2)/2)*AB58+(1-EXP(-LN(2)/2))/(LN(2)/2)*V59*Y59*VLOOKUP('Données projet'!$B$9,Paramètres!$A$1:$I$89,3,0)*0.475*44/12</f>
        <v>6.3261112038173403E-4</v>
      </c>
      <c r="AC59" s="24">
        <f t="shared" si="3"/>
        <v>15.080976018574386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-5.6843418860808015E-14</v>
      </c>
      <c r="AJ59" s="14">
        <f>AI59*VLOOKUP('Données projet'!$B$10,Paramètres!$A$1:$I$89,3,0)*VLOOKUP('Données projet'!$B$10,Paramètres!$A$1:$I$89,5,0)</f>
        <v>-3.1036506698001178E-14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293.73480285950245</v>
      </c>
      <c r="AO59" s="62">
        <f t="shared" si="36"/>
        <v>425.99823184414191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10.27549263405561</v>
      </c>
      <c r="AW59" s="23">
        <f>EXP(-LN(2)/2)*AW58+(1-EXP(-LN(2)/2))/(LN(2)/2)*AQ59*AT59*VLOOKUP('Données projet'!$B$10,Paramètres!$A$1:$I$89,3,0)*0.475*44/12</f>
        <v>2.3596063244023303E-3</v>
      </c>
      <c r="AX59" s="23">
        <f t="shared" si="6"/>
        <v>10.277852240380012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212.98991999999998</v>
      </c>
      <c r="BF59" s="14">
        <f t="shared" si="37"/>
        <v>52.588419883221171</v>
      </c>
      <c r="BG59" s="22">
        <f t="shared" si="7"/>
        <v>462.54894196327677</v>
      </c>
      <c r="BH59" s="62">
        <f t="shared" si="8"/>
        <v>755.88227529661003</v>
      </c>
      <c r="BI59" s="62">
        <f ca="1">AVERAGE(OFFSET($BH$3,0,0,'Données projet'!$E$11+1,1))-AVERAGE(OFFSET($H$3,0,0,'Données projet'!$E$11+1,1))</f>
        <v>438.70522838726322</v>
      </c>
      <c r="BJ59" s="62">
        <f t="shared" si="38"/>
        <v>278.21741231699929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227.67887999999996</v>
      </c>
      <c r="CA59" s="14">
        <f t="shared" si="39"/>
        <v>55.780505229774469</v>
      </c>
      <c r="CB59" s="22">
        <f t="shared" si="10"/>
        <v>493.69176260852379</v>
      </c>
      <c r="CC59" s="62">
        <f t="shared" si="11"/>
        <v>787.0250959418571</v>
      </c>
      <c r="CD59" s="62">
        <f ca="1">AVERAGE(OFFSET($CC$3,0,0,'Données projet'!$E$12+1,1))-AVERAGE(OFFSET($H$3,0,0,'Données projet'!$E$12+1,1))</f>
        <v>466.10838191274445</v>
      </c>
      <c r="CE59" s="62">
        <f t="shared" si="40"/>
        <v>294.45557293177131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7.4</v>
      </c>
      <c r="CT59" s="13">
        <f>IF('Données projet'!$A$140&gt;35,CT58+CS59-DB58,IF(A59&lt;'Données projet'!$A$140,$CQ$205^A59,IF(A59='Données projet'!$A$140,'Données projet'!$B$140,CT58+CS59-DB58)))</f>
        <v>313.39999999999981</v>
      </c>
      <c r="CU59" s="18">
        <f>CT59*VLOOKUP('Données projet'!$B$13,Paramètres!$A$1:$I$89,3,0)*VLOOKUP('Données projet'!$B$13,Paramètres!$A$1:$I$89,5,0)</f>
        <v>229.78487999999984</v>
      </c>
      <c r="CV59" s="14">
        <f t="shared" si="41"/>
        <v>56.236165024777975</v>
      </c>
      <c r="CW59" s="22">
        <f t="shared" si="13"/>
        <v>498.15332008482136</v>
      </c>
      <c r="CX59" s="62">
        <f t="shared" si="14"/>
        <v>791.48665341815467</v>
      </c>
      <c r="CY59" s="62">
        <f ca="1">AVERAGE(OFFSET($CX$3,0,0,'Données projet'!$E$13+1,1))-AVERAGE(OFFSET($H$3,0,0,'Données projet'!$E$13+1,1))</f>
        <v>376.5422416541544</v>
      </c>
      <c r="CZ59" s="62">
        <f t="shared" si="42"/>
        <v>365.76175372075869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6.4</v>
      </c>
      <c r="DO59" s="13">
        <f>IF('Données projet'!$A$166&gt;35,DO58+DN59-DW58,IF(A59&lt;'Données projet'!$A$166,$DL$205^A59,IF(A59='Données projet'!$A$166,'Données projet'!$B$166,DO58+DN59-DW58)))</f>
        <v>268.39999999999992</v>
      </c>
      <c r="DP59" s="18">
        <f>DO59*VLOOKUP('Données projet'!$B$14,Paramètres!$A$1:$I$89,3,0)*VLOOKUP('Données projet'!$B$14,Paramètres!$A$1:$I$89,5,0)</f>
        <v>213.53903999999994</v>
      </c>
      <c r="DQ59" s="14">
        <f t="shared" si="43"/>
        <v>52.708201158564101</v>
      </c>
      <c r="DR59" s="22">
        <f t="shared" si="16"/>
        <v>463.71394501783237</v>
      </c>
      <c r="DS59" s="62">
        <f t="shared" si="17"/>
        <v>757.04727835116569</v>
      </c>
      <c r="DT59" s="62">
        <f ca="1">AVERAGE(OFFSET($DS$3,0,0,'Données projet'!$E$14+1,1))-AVERAGE(OFFSET($H$3,0,0,'Données projet'!$E$14+1,1))</f>
        <v>352.5736659365665</v>
      </c>
      <c r="DU59" s="62">
        <f t="shared" si="44"/>
        <v>343.77208530767069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2.2737367544323206E-13</v>
      </c>
      <c r="EK59" s="18">
        <f>EJ59*VLOOKUP('Données projet'!$B$15,Paramètres!$A$1:$I$89,3,0)*VLOOKUP('Données projet'!$B$15,Paramètres!$A$1:$I$89,5,0)</f>
        <v>2.0572770154103635E-13</v>
      </c>
      <c r="EL59" s="14">
        <f t="shared" si="45"/>
        <v>2.8416956338469711E-12</v>
      </c>
      <c r="EM59" s="22">
        <f t="shared" si="19"/>
        <v>5.3075956424674458E-12</v>
      </c>
      <c r="EN59" s="62">
        <f t="shared" si="20"/>
        <v>293.3333333333386</v>
      </c>
      <c r="EO59" s="62">
        <f ca="1">AVERAGE(OFFSET($EN$3,0,0,'Données projet'!$E$15+1,1))-AVERAGE(OFFSET($H$3,0,0,'Données projet'!$E$15+1,1))</f>
        <v>436.23918637269577</v>
      </c>
      <c r="EP59" s="62">
        <f t="shared" si="46"/>
        <v>611.43967996341894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2.8087548615387226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2.8087548615387226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6.8</v>
      </c>
      <c r="FE59" s="13">
        <f>IF('Données projet'!$A$218&gt;35,FE58+FD59-FM58,IF(A59&lt;'Données projet'!$A$218,$FB$205^A59,IF(A59='Données projet'!$A$218,'Données projet'!$B$218,FE58+FD59-FM58)))</f>
        <v>214.80000000000021</v>
      </c>
      <c r="FF59" s="18">
        <f>FE59*VLOOKUP('Données projet'!$B$16,Paramètres!$A$1:$I$89,3,0)*VLOOKUP('Données projet'!$B$16,Paramètres!$A$1:$I$89,5,0)</f>
        <v>187.6492800000002</v>
      </c>
      <c r="FG59" s="14">
        <f t="shared" si="47"/>
        <v>47.019866076567546</v>
      </c>
      <c r="FH59" s="22">
        <f t="shared" si="22"/>
        <v>408.71542941668878</v>
      </c>
      <c r="FI59" s="62">
        <f t="shared" si="23"/>
        <v>702.04876275002209</v>
      </c>
      <c r="FJ59" s="62">
        <f ca="1">AVERAGE(OFFSET($FI$3,0,0,'Données projet'!$E$16+1,1))-AVERAGE(OFFSET($H$3,0,0,'Données projet'!$E$16+1,1))</f>
        <v>321.23599968992932</v>
      </c>
      <c r="FK59" s="62">
        <f t="shared" si="48"/>
        <v>388.05195847800502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18.58285714285714</v>
      </c>
      <c r="N60" s="14">
        <f>IF('Données projet'!$A$36&gt;35,N59+M60-V59,IF(A60&lt;'Données projet'!$A$36,$K$205^A60,IF(A60='Données projet'!$A$36,'Données projet'!$B$36,N59+M60-V59)))</f>
        <v>457.50285714285718</v>
      </c>
      <c r="O60" s="14">
        <f>N60*VLOOKUP('Données projet'!$B$9,Paramètres!$A$1:$I$89,3,0)*VLOOKUP('Données projet'!$B$9,Paramètres!$A$1:$I$89,5,0)</f>
        <v>255.74409714285716</v>
      </c>
      <c r="P60" s="14">
        <f t="shared" si="33"/>
        <v>61.814321894325772</v>
      </c>
      <c r="Q60" s="22">
        <f t="shared" si="53"/>
        <v>553.08091315642696</v>
      </c>
      <c r="R60" s="62">
        <f t="shared" si="0"/>
        <v>846.41424648976022</v>
      </c>
      <c r="S60" s="62">
        <f ca="1">AVERAGE(OFFSET($R$3,0,0,'Données projet'!$E$9+1,1))-AVERAGE(OFFSET($H$3,0,0,'Données projet'!$E$9+1,1))</f>
        <v>389.06620927245814</v>
      </c>
      <c r="T60" s="62">
        <f t="shared" si="34"/>
        <v>356.08144160383193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14.66797062393638</v>
      </c>
      <c r="AB60" s="23">
        <f>EXP(-LN(2)/2)*AB59+(1-EXP(-LN(2)/2))/(LN(2)/2)*V60*Y60*VLOOKUP('Données projet'!$B$9,Paramètres!$A$1:$I$89,3,0)*0.475*44/12</f>
        <v>4.4732361307594349E-4</v>
      </c>
      <c r="AC60" s="24">
        <f t="shared" si="3"/>
        <v>14.668417947549456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-5.6843418860808015E-14</v>
      </c>
      <c r="AJ60" s="14">
        <f>AI60*VLOOKUP('Données projet'!$B$10,Paramètres!$A$1:$I$89,3,0)*VLOOKUP('Données projet'!$B$10,Paramètres!$A$1:$I$89,5,0)</f>
        <v>-3.1036506698001178E-14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293.73480285950245</v>
      </c>
      <c r="AO60" s="62">
        <f t="shared" si="36"/>
        <v>425.99823184414191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9.9945087476126862</v>
      </c>
      <c r="AW60" s="23">
        <f>EXP(-LN(2)/2)*AW59+(1-EXP(-LN(2)/2))/(LN(2)/2)*AQ60*AT60*VLOOKUP('Données projet'!$B$10,Paramètres!$A$1:$I$89,3,0)*0.475*44/12</f>
        <v>1.6684936329155523E-3</v>
      </c>
      <c r="AX60" s="23">
        <f t="shared" si="6"/>
        <v>9.9961772412456025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221.49503999999999</v>
      </c>
      <c r="BF60" s="14">
        <f t="shared" si="37"/>
        <v>54.439697086174412</v>
      </c>
      <c r="BG60" s="22">
        <f t="shared" si="7"/>
        <v>480.58633375842032</v>
      </c>
      <c r="BH60" s="62">
        <f t="shared" si="8"/>
        <v>773.91966709175358</v>
      </c>
      <c r="BI60" s="62">
        <f ca="1">AVERAGE(OFFSET($BH$3,0,0,'Données projet'!$E$11+1,1))-AVERAGE(OFFSET($H$3,0,0,'Données projet'!$E$11+1,1))</f>
        <v>438.70522838726322</v>
      </c>
      <c r="BJ60" s="62">
        <f t="shared" si="38"/>
        <v>278.21741231699929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236.77055999999999</v>
      </c>
      <c r="CA60" s="14">
        <f t="shared" si="39"/>
        <v>57.744153841586929</v>
      </c>
      <c r="CB60" s="22">
        <f t="shared" si="10"/>
        <v>512.94645994076382</v>
      </c>
      <c r="CC60" s="62">
        <f t="shared" si="11"/>
        <v>806.27979327409707</v>
      </c>
      <c r="CD60" s="62">
        <f ca="1">AVERAGE(OFFSET($CC$3,0,0,'Données projet'!$E$12+1,1))-AVERAGE(OFFSET($H$3,0,0,'Données projet'!$E$12+1,1))</f>
        <v>466.10838191274445</v>
      </c>
      <c r="CE60" s="62">
        <f t="shared" si="40"/>
        <v>294.45557293177131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7.4</v>
      </c>
      <c r="CT60" s="13">
        <f>IF('Données projet'!$A$140&gt;35,CT59+CS60-DB59,IF(A60&lt;'Données projet'!$A$140,$CQ$205^A60,IF(A60='Données projet'!$A$140,'Données projet'!$B$140,CT59+CS60-DB59)))</f>
        <v>320.79999999999978</v>
      </c>
      <c r="CU60" s="18">
        <f>CT60*VLOOKUP('Données projet'!$B$13,Paramètres!$A$1:$I$89,3,0)*VLOOKUP('Données projet'!$B$13,Paramètres!$A$1:$I$89,5,0)</f>
        <v>235.21055999999984</v>
      </c>
      <c r="CV60" s="14">
        <f t="shared" si="41"/>
        <v>57.407853322119394</v>
      </c>
      <c r="CW60" s="22">
        <f t="shared" si="13"/>
        <v>509.64373653602433</v>
      </c>
      <c r="CX60" s="62">
        <f t="shared" si="14"/>
        <v>802.97706986935759</v>
      </c>
      <c r="CY60" s="62">
        <f ca="1">AVERAGE(OFFSET($CX$3,0,0,'Données projet'!$E$13+1,1))-AVERAGE(OFFSET($H$3,0,0,'Données projet'!$E$13+1,1))</f>
        <v>376.5422416541544</v>
      </c>
      <c r="CZ60" s="62">
        <f t="shared" si="42"/>
        <v>365.76175372075869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6.4</v>
      </c>
      <c r="DO60" s="13">
        <f>IF('Données projet'!$A$166&gt;35,DO59+DN60-DW59,IF(A60&lt;'Données projet'!$A$166,$DL$205^A60,IF(A60='Données projet'!$A$166,'Données projet'!$B$166,DO59+DN60-DW59)))</f>
        <v>274.7999999999999</v>
      </c>
      <c r="DP60" s="18">
        <f>DO60*VLOOKUP('Données projet'!$B$14,Paramètres!$A$1:$I$89,3,0)*VLOOKUP('Données projet'!$B$14,Paramètres!$A$1:$I$89,5,0)</f>
        <v>218.63087999999991</v>
      </c>
      <c r="DQ60" s="14">
        <f t="shared" si="43"/>
        <v>53.817206223982794</v>
      </c>
      <c r="DR60" s="22">
        <f t="shared" si="16"/>
        <v>474.51375017343656</v>
      </c>
      <c r="DS60" s="62">
        <f t="shared" si="17"/>
        <v>767.84708350676988</v>
      </c>
      <c r="DT60" s="62">
        <f ca="1">AVERAGE(OFFSET($DS$3,0,0,'Données projet'!$E$14+1,1))-AVERAGE(OFFSET($H$3,0,0,'Données projet'!$E$14+1,1))</f>
        <v>352.5736659365665</v>
      </c>
      <c r="DU60" s="62">
        <f t="shared" si="44"/>
        <v>343.77208530767069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2.2737367544323206E-13</v>
      </c>
      <c r="EK60" s="18">
        <f>EJ60*VLOOKUP('Données projet'!$B$15,Paramètres!$A$1:$I$89,3,0)*VLOOKUP('Données projet'!$B$15,Paramètres!$A$1:$I$89,5,0)</f>
        <v>2.0572770154103635E-13</v>
      </c>
      <c r="EL60" s="14">
        <f t="shared" si="45"/>
        <v>2.8416956338469711E-12</v>
      </c>
      <c r="EM60" s="22">
        <f t="shared" si="19"/>
        <v>5.3075956424674458E-12</v>
      </c>
      <c r="EN60" s="62">
        <f t="shared" si="20"/>
        <v>293.3333333333386</v>
      </c>
      <c r="EO60" s="62">
        <f ca="1">AVERAGE(OFFSET($EN$3,0,0,'Données projet'!$E$15+1,1))-AVERAGE(OFFSET($H$3,0,0,'Données projet'!$E$15+1,1))</f>
        <v>436.23918637269577</v>
      </c>
      <c r="EP60" s="62">
        <f t="shared" si="46"/>
        <v>611.43967996341894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2.7536768918752523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2.7536768918752523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6.8</v>
      </c>
      <c r="FE60" s="13">
        <f>IF('Données projet'!$A$218&gt;35,FE59+FD60-FM59,IF(A60&lt;'Données projet'!$A$218,$FB$205^A60,IF(A60='Données projet'!$A$218,'Données projet'!$B$218,FE59+FD60-FM59)))</f>
        <v>221.60000000000022</v>
      </c>
      <c r="FF60" s="18">
        <f>FE60*VLOOKUP('Données projet'!$B$16,Paramètres!$A$1:$I$89,3,0)*VLOOKUP('Données projet'!$B$16,Paramètres!$A$1:$I$89,5,0)</f>
        <v>193.58976000000021</v>
      </c>
      <c r="FG60" s="14">
        <f t="shared" si="47"/>
        <v>48.332731202087132</v>
      </c>
      <c r="FH60" s="22">
        <f t="shared" si="22"/>
        <v>421.34833884363542</v>
      </c>
      <c r="FI60" s="62">
        <f t="shared" si="23"/>
        <v>714.68167217696873</v>
      </c>
      <c r="FJ60" s="62">
        <f ca="1">AVERAGE(OFFSET($FI$3,0,0,'Données projet'!$E$16+1,1))-AVERAGE(OFFSET($H$3,0,0,'Données projet'!$E$16+1,1))</f>
        <v>321.23599968992932</v>
      </c>
      <c r="FK60" s="62">
        <f t="shared" si="48"/>
        <v>388.05195847800502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18.58285714285714</v>
      </c>
      <c r="N61" s="14">
        <f>IF('Données projet'!$A$36&gt;35,N60+M61-V60,IF(A61&lt;'Données projet'!$A$36,$K$205^A61,IF(A61='Données projet'!$A$36,'Données projet'!$B$36,N60+M61-V60)))</f>
        <v>476.08571428571435</v>
      </c>
      <c r="O61" s="14">
        <f>N61*VLOOKUP('Données projet'!$B$9,Paramètres!$A$1:$I$89,3,0)*VLOOKUP('Données projet'!$B$9,Paramètres!$A$1:$I$89,5,0)</f>
        <v>266.13191428571434</v>
      </c>
      <c r="P61" s="14">
        <f t="shared" si="33"/>
        <v>64.027675737818782</v>
      </c>
      <c r="Q61" s="22">
        <f t="shared" si="53"/>
        <v>575.02795262432016</v>
      </c>
      <c r="R61" s="62">
        <f t="shared" si="0"/>
        <v>868.36128595765354</v>
      </c>
      <c r="S61" s="62">
        <f ca="1">AVERAGE(OFFSET($R$3,0,0,'Données projet'!$E$9+1,1))-AVERAGE(OFFSET($H$3,0,0,'Données projet'!$E$9+1,1))</f>
        <v>389.06620927245814</v>
      </c>
      <c r="T61" s="62">
        <f t="shared" si="34"/>
        <v>356.08144160383193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14.266874195869789</v>
      </c>
      <c r="AB61" s="23">
        <f>EXP(-LN(2)/2)*AB60+(1-EXP(-LN(2)/2))/(LN(2)/2)*V61*Y61*VLOOKUP('Données projet'!$B$9,Paramètres!$A$1:$I$89,3,0)*0.475*44/12</f>
        <v>3.1630556019086702E-4</v>
      </c>
      <c r="AC61" s="24">
        <f t="shared" si="3"/>
        <v>14.26719050142998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-5.6843418860808015E-14</v>
      </c>
      <c r="AJ61" s="14">
        <f>AI61*VLOOKUP('Données projet'!$B$10,Paramètres!$A$1:$I$89,3,0)*VLOOKUP('Données projet'!$B$10,Paramètres!$A$1:$I$89,5,0)</f>
        <v>-3.1036506698001178E-14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293.73480285950245</v>
      </c>
      <c r="AO61" s="62">
        <f t="shared" si="36"/>
        <v>425.99823184414191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9.7212083803208458</v>
      </c>
      <c r="AW61" s="23">
        <f>EXP(-LN(2)/2)*AW60+(1-EXP(-LN(2)/2))/(LN(2)/2)*AQ61*AT61*VLOOKUP('Données projet'!$B$10,Paramètres!$A$1:$I$89,3,0)*0.475*44/12</f>
        <v>1.1798031622011651E-3</v>
      </c>
      <c r="AX61" s="23">
        <f t="shared" si="6"/>
        <v>9.7223881834830461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230.00015999999997</v>
      </c>
      <c r="BF61" s="14">
        <f t="shared" si="37"/>
        <v>56.282716126880423</v>
      </c>
      <c r="BG61" s="22">
        <f t="shared" si="7"/>
        <v>498.60934258765002</v>
      </c>
      <c r="BH61" s="62">
        <f t="shared" si="8"/>
        <v>791.94267592098333</v>
      </c>
      <c r="BI61" s="62">
        <f ca="1">AVERAGE(OFFSET($BH$3,0,0,'Données projet'!$E$11+1,1))-AVERAGE(OFFSET($H$3,0,0,'Données projet'!$E$11+1,1))</f>
        <v>438.70522838726322</v>
      </c>
      <c r="BJ61" s="62">
        <f t="shared" si="38"/>
        <v>278.21741231699929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245.86223999999999</v>
      </c>
      <c r="CA61" s="14">
        <f t="shared" si="39"/>
        <v>59.699043025687963</v>
      </c>
      <c r="CB61" s="22">
        <f t="shared" si="10"/>
        <v>532.18590126973982</v>
      </c>
      <c r="CC61" s="62">
        <f t="shared" si="11"/>
        <v>825.51923460307307</v>
      </c>
      <c r="CD61" s="62">
        <f ca="1">AVERAGE(OFFSET($CC$3,0,0,'Données projet'!$E$12+1,1))-AVERAGE(OFFSET($H$3,0,0,'Données projet'!$E$12+1,1))</f>
        <v>466.10838191274445</v>
      </c>
      <c r="CE61" s="62">
        <f t="shared" si="40"/>
        <v>294.45557293177131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7.4</v>
      </c>
      <c r="CT61" s="13">
        <f>IF('Données projet'!$A$140&gt;35,CT60+CS61-DB60,IF(A61&lt;'Données projet'!$A$140,$CQ$205^A61,IF(A61='Données projet'!$A$140,'Données projet'!$B$140,CT60+CS61-DB60)))</f>
        <v>328.19999999999976</v>
      </c>
      <c r="CU61" s="18">
        <f>CT61*VLOOKUP('Données projet'!$B$13,Paramètres!$A$1:$I$89,3,0)*VLOOKUP('Données projet'!$B$13,Paramètres!$A$1:$I$89,5,0)</f>
        <v>240.63623999999982</v>
      </c>
      <c r="CV61" s="14">
        <f t="shared" si="41"/>
        <v>58.576399517863109</v>
      </c>
      <c r="CW61" s="22">
        <f t="shared" si="13"/>
        <v>521.12868049361134</v>
      </c>
      <c r="CX61" s="62">
        <f t="shared" si="14"/>
        <v>814.46201382694471</v>
      </c>
      <c r="CY61" s="62">
        <f ca="1">AVERAGE(OFFSET($CX$3,0,0,'Données projet'!$E$13+1,1))-AVERAGE(OFFSET($H$3,0,0,'Données projet'!$E$13+1,1))</f>
        <v>376.5422416541544</v>
      </c>
      <c r="CZ61" s="62">
        <f t="shared" si="42"/>
        <v>365.76175372075869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6.4</v>
      </c>
      <c r="DO61" s="13">
        <f>IF('Données projet'!$A$166&gt;35,DO60+DN61-DW60,IF(A61&lt;'Données projet'!$A$166,$DL$205^A61,IF(A61='Données projet'!$A$166,'Données projet'!$B$166,DO60+DN61-DW60)))</f>
        <v>281.19999999999987</v>
      </c>
      <c r="DP61" s="18">
        <f>DO61*VLOOKUP('Données projet'!$B$14,Paramètres!$A$1:$I$89,3,0)*VLOOKUP('Données projet'!$B$14,Paramètres!$A$1:$I$89,5,0)</f>
        <v>223.72271999999992</v>
      </c>
      <c r="DQ61" s="14">
        <f t="shared" si="43"/>
        <v>54.923208653192283</v>
      </c>
      <c r="DR61" s="22">
        <f t="shared" si="16"/>
        <v>485.30832573764309</v>
      </c>
      <c r="DS61" s="62">
        <f t="shared" si="17"/>
        <v>778.6416590709764</v>
      </c>
      <c r="DT61" s="62">
        <f ca="1">AVERAGE(OFFSET($DS$3,0,0,'Données projet'!$E$14+1,1))-AVERAGE(OFFSET($H$3,0,0,'Données projet'!$E$14+1,1))</f>
        <v>352.5736659365665</v>
      </c>
      <c r="DU61" s="62">
        <f t="shared" si="44"/>
        <v>343.77208530767069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2.2737367544323206E-13</v>
      </c>
      <c r="EK61" s="18">
        <f>EJ61*VLOOKUP('Données projet'!$B$15,Paramètres!$A$1:$I$89,3,0)*VLOOKUP('Données projet'!$B$15,Paramètres!$A$1:$I$89,5,0)</f>
        <v>2.0572770154103635E-13</v>
      </c>
      <c r="EL61" s="14">
        <f t="shared" si="45"/>
        <v>2.8416956338469711E-12</v>
      </c>
      <c r="EM61" s="22">
        <f t="shared" si="19"/>
        <v>5.3075956424674458E-12</v>
      </c>
      <c r="EN61" s="62">
        <f t="shared" si="20"/>
        <v>293.3333333333386</v>
      </c>
      <c r="EO61" s="62">
        <f ca="1">AVERAGE(OFFSET($EN$3,0,0,'Données projet'!$E$15+1,1))-AVERAGE(OFFSET($H$3,0,0,'Données projet'!$E$15+1,1))</f>
        <v>436.23918637269577</v>
      </c>
      <c r="EP61" s="62">
        <f t="shared" si="46"/>
        <v>611.43967996341894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2.699678967602638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2.699678967602638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6.8</v>
      </c>
      <c r="FE61" s="13">
        <f>IF('Données projet'!$A$218&gt;35,FE60+FD61-FM60,IF(A61&lt;'Données projet'!$A$218,$FB$205^A61,IF(A61='Données projet'!$A$218,'Données projet'!$B$218,FE60+FD61-FM60)))</f>
        <v>228.40000000000023</v>
      </c>
      <c r="FF61" s="18">
        <f>FE61*VLOOKUP('Données projet'!$B$16,Paramètres!$A$1:$I$89,3,0)*VLOOKUP('Données projet'!$B$16,Paramètres!$A$1:$I$89,5,0)</f>
        <v>199.53024000000022</v>
      </c>
      <c r="FG61" s="14">
        <f t="shared" si="47"/>
        <v>49.640914570461312</v>
      </c>
      <c r="FH61" s="22">
        <f t="shared" si="22"/>
        <v>433.97309421022049</v>
      </c>
      <c r="FI61" s="62">
        <f t="shared" si="23"/>
        <v>727.30642754355381</v>
      </c>
      <c r="FJ61" s="62">
        <f ca="1">AVERAGE(OFFSET($FI$3,0,0,'Données projet'!$E$16+1,1))-AVERAGE(OFFSET($H$3,0,0,'Données projet'!$E$16+1,1))</f>
        <v>321.23599968992932</v>
      </c>
      <c r="FK61" s="62">
        <f t="shared" si="48"/>
        <v>388.05195847800502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18.58285714285714</v>
      </c>
      <c r="N62" s="14">
        <f>IF('Données projet'!$A$36&gt;35,N61+M62-V61,IF(A62&lt;'Données projet'!$A$36,$K$205^A62,IF(A62='Données projet'!$A$36,'Données projet'!$B$36,N61+M62-V61)))</f>
        <v>494.66857142857151</v>
      </c>
      <c r="O62" s="14">
        <f>N62*VLOOKUP('Données projet'!$B$9,Paramètres!$A$1:$I$89,3,0)*VLOOKUP('Données projet'!$B$9,Paramètres!$A$1:$I$89,5,0)</f>
        <v>276.5197314285715</v>
      </c>
      <c r="P62" s="14">
        <f t="shared" si="33"/>
        <v>66.230993562988985</v>
      </c>
      <c r="Q62" s="22">
        <f t="shared" si="53"/>
        <v>596.9575126936345</v>
      </c>
      <c r="R62" s="62">
        <f t="shared" si="0"/>
        <v>890.29084602696776</v>
      </c>
      <c r="S62" s="62">
        <f ca="1">AVERAGE(OFFSET($R$3,0,0,'Données projet'!$E$9+1,1))-AVERAGE(OFFSET($H$3,0,0,'Données projet'!$E$9+1,1))</f>
        <v>389.06620927245814</v>
      </c>
      <c r="T62" s="62">
        <f t="shared" si="34"/>
        <v>356.08144160383193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13.876745770721424</v>
      </c>
      <c r="AB62" s="23">
        <f>EXP(-LN(2)/2)*AB61+(1-EXP(-LN(2)/2))/(LN(2)/2)*V62*Y62*VLOOKUP('Données projet'!$B$9,Paramètres!$A$1:$I$89,3,0)*0.475*44/12</f>
        <v>2.2366180653797174E-4</v>
      </c>
      <c r="AC62" s="24">
        <f t="shared" si="3"/>
        <v>13.876969432527963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-5.6843418860808015E-14</v>
      </c>
      <c r="AJ62" s="14">
        <f>AI62*VLOOKUP('Données projet'!$B$10,Paramètres!$A$1:$I$89,3,0)*VLOOKUP('Données projet'!$B$10,Paramètres!$A$1:$I$89,5,0)</f>
        <v>-3.1036506698001178E-14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293.73480285950245</v>
      </c>
      <c r="AO62" s="62">
        <f t="shared" si="36"/>
        <v>425.99823184414191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9.4553814259448412</v>
      </c>
      <c r="AW62" s="23">
        <f>EXP(-LN(2)/2)*AW61+(1-EXP(-LN(2)/2))/(LN(2)/2)*AQ62*AT62*VLOOKUP('Données projet'!$B$10,Paramètres!$A$1:$I$89,3,0)*0.475*44/12</f>
        <v>8.3424681645777614E-4</v>
      </c>
      <c r="AX62" s="23">
        <f t="shared" si="6"/>
        <v>9.4562156727612994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238.50527999999997</v>
      </c>
      <c r="BF62" s="14">
        <f t="shared" si="37"/>
        <v>58.117817352909881</v>
      </c>
      <c r="BG62" s="22">
        <f t="shared" si="7"/>
        <v>516.61856122298457</v>
      </c>
      <c r="BH62" s="62">
        <f t="shared" si="8"/>
        <v>809.95189455631794</v>
      </c>
      <c r="BI62" s="62">
        <f ca="1">AVERAGE(OFFSET($BH$3,0,0,'Données projet'!$E$11+1,1))-AVERAGE(OFFSET($H$3,0,0,'Données projet'!$E$11+1,1))</f>
        <v>438.70522838726322</v>
      </c>
      <c r="BJ62" s="62">
        <f t="shared" si="38"/>
        <v>278.21741231699929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254.95391999999998</v>
      </c>
      <c r="CA62" s="14">
        <f t="shared" si="39"/>
        <v>61.645533788540583</v>
      </c>
      <c r="CB62" s="22">
        <f t="shared" si="10"/>
        <v>551.41071534837477</v>
      </c>
      <c r="CC62" s="62">
        <f t="shared" si="11"/>
        <v>844.74404868170814</v>
      </c>
      <c r="CD62" s="62">
        <f ca="1">AVERAGE(OFFSET($CC$3,0,0,'Données projet'!$E$12+1,1))-AVERAGE(OFFSET($H$3,0,0,'Données projet'!$E$12+1,1))</f>
        <v>466.10838191274445</v>
      </c>
      <c r="CE62" s="62">
        <f t="shared" si="40"/>
        <v>294.45557293177131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7.4</v>
      </c>
      <c r="CT62" s="13">
        <f>IF('Données projet'!$A$140&gt;35,CT61+CS62-DB61,IF(A62&lt;'Données projet'!$A$140,$CQ$205^A62,IF(A62='Données projet'!$A$140,'Données projet'!$B$140,CT61+CS62-DB61)))</f>
        <v>335.59999999999974</v>
      </c>
      <c r="CU62" s="18">
        <f>CT62*VLOOKUP('Données projet'!$B$13,Paramètres!$A$1:$I$89,3,0)*VLOOKUP('Données projet'!$B$13,Paramètres!$A$1:$I$89,5,0)</f>
        <v>246.06191999999979</v>
      </c>
      <c r="CV62" s="14">
        <f t="shared" si="41"/>
        <v>59.741882613953308</v>
      </c>
      <c r="CW62" s="22">
        <f t="shared" si="13"/>
        <v>532.60828955263503</v>
      </c>
      <c r="CX62" s="62">
        <f t="shared" si="14"/>
        <v>825.9416228859684</v>
      </c>
      <c r="CY62" s="62">
        <f ca="1">AVERAGE(OFFSET($CX$3,0,0,'Données projet'!$E$13+1,1))-AVERAGE(OFFSET($H$3,0,0,'Données projet'!$E$13+1,1))</f>
        <v>376.5422416541544</v>
      </c>
      <c r="CZ62" s="62">
        <f t="shared" si="42"/>
        <v>365.76175372075869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6.4</v>
      </c>
      <c r="DO62" s="13">
        <f>IF('Données projet'!$A$166&gt;35,DO61+DN62-DW61,IF(A62&lt;'Données projet'!$A$166,$DL$205^A62,IF(A62='Données projet'!$A$166,'Données projet'!$B$166,DO61+DN62-DW61)))</f>
        <v>287.59999999999985</v>
      </c>
      <c r="DP62" s="18">
        <f>DO62*VLOOKUP('Données projet'!$B$14,Paramètres!$A$1:$I$89,3,0)*VLOOKUP('Données projet'!$B$14,Paramètres!$A$1:$I$89,5,0)</f>
        <v>228.81455999999989</v>
      </c>
      <c r="DQ62" s="14">
        <f t="shared" si="43"/>
        <v>56.026284651959251</v>
      </c>
      <c r="DR62" s="22">
        <f t="shared" si="16"/>
        <v>496.09780443549545</v>
      </c>
      <c r="DS62" s="62">
        <f t="shared" si="17"/>
        <v>789.43113776882876</v>
      </c>
      <c r="DT62" s="62">
        <f ca="1">AVERAGE(OFFSET($DS$3,0,0,'Données projet'!$E$14+1,1))-AVERAGE(OFFSET($H$3,0,0,'Données projet'!$E$14+1,1))</f>
        <v>352.5736659365665</v>
      </c>
      <c r="DU62" s="62">
        <f t="shared" si="44"/>
        <v>343.77208530767069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2.2737367544323206E-13</v>
      </c>
      <c r="EK62" s="18">
        <f>EJ62*VLOOKUP('Données projet'!$B$15,Paramètres!$A$1:$I$89,3,0)*VLOOKUP('Données projet'!$B$15,Paramètres!$A$1:$I$89,5,0)</f>
        <v>2.0572770154103635E-13</v>
      </c>
      <c r="EL62" s="14">
        <f t="shared" si="45"/>
        <v>2.8416956338469711E-12</v>
      </c>
      <c r="EM62" s="22">
        <f t="shared" si="19"/>
        <v>5.3075956424674458E-12</v>
      </c>
      <c r="EN62" s="62">
        <f t="shared" si="20"/>
        <v>293.3333333333386</v>
      </c>
      <c r="EO62" s="62">
        <f ca="1">AVERAGE(OFFSET($EN$3,0,0,'Données projet'!$E$15+1,1))-AVERAGE(OFFSET($H$3,0,0,'Données projet'!$E$15+1,1))</f>
        <v>436.23918637269577</v>
      </c>
      <c r="EP62" s="62">
        <f t="shared" si="46"/>
        <v>611.43967996341894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2.6467399096895283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2.6467399096895283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6.8</v>
      </c>
      <c r="FE62" s="13">
        <f>IF('Données projet'!$A$218&gt;35,FE61+FD62-FM61,IF(A62&lt;'Données projet'!$A$218,$FB$205^A62,IF(A62='Données projet'!$A$218,'Données projet'!$B$218,FE61+FD62-FM61)))</f>
        <v>235.20000000000024</v>
      </c>
      <c r="FF62" s="18">
        <f>FE62*VLOOKUP('Données projet'!$B$16,Paramètres!$A$1:$I$89,3,0)*VLOOKUP('Données projet'!$B$16,Paramètres!$A$1:$I$89,5,0)</f>
        <v>205.47072000000026</v>
      </c>
      <c r="FG62" s="14">
        <f t="shared" si="47"/>
        <v>50.944571570352757</v>
      </c>
      <c r="FH62" s="22">
        <f t="shared" si="22"/>
        <v>446.58996615169809</v>
      </c>
      <c r="FI62" s="62">
        <f t="shared" si="23"/>
        <v>739.92329948503141</v>
      </c>
      <c r="FJ62" s="62">
        <f ca="1">AVERAGE(OFFSET($FI$3,0,0,'Données projet'!$E$16+1,1))-AVERAGE(OFFSET($H$3,0,0,'Données projet'!$E$16+1,1))</f>
        <v>321.23599968992932</v>
      </c>
      <c r="FK62" s="62">
        <f t="shared" si="48"/>
        <v>388.05195847800502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18.58285714285714</v>
      </c>
      <c r="N63" s="14">
        <f>IF('Données projet'!$A$36&gt;35,N62+M63-V62,IF(A63&lt;'Données projet'!$A$36,$K$205^A63,IF(A63='Données projet'!$A$36,'Données projet'!$B$36,N62+M63-V62)))</f>
        <v>513.25142857142862</v>
      </c>
      <c r="O63" s="14">
        <f>N63*VLOOKUP('Données projet'!$B$9,Paramètres!$A$1:$I$89,3,0)*VLOOKUP('Données projet'!$B$9,Paramètres!$A$1:$I$89,5,0)</f>
        <v>286.90754857142861</v>
      </c>
      <c r="P63" s="14">
        <f t="shared" si="33"/>
        <v>68.424695552593661</v>
      </c>
      <c r="Q63" s="22">
        <f t="shared" si="53"/>
        <v>618.87032518267222</v>
      </c>
      <c r="R63" s="62">
        <f t="shared" si="0"/>
        <v>912.20365851600559</v>
      </c>
      <c r="S63" s="62">
        <f ca="1">AVERAGE(OFFSET($R$3,0,0,'Données projet'!$E$9+1,1))-AVERAGE(OFFSET($H$3,0,0,'Données projet'!$E$9+1,1))</f>
        <v>389.06620927245814</v>
      </c>
      <c r="T63" s="62">
        <f t="shared" si="34"/>
        <v>356.08144160383193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13.497285427874703</v>
      </c>
      <c r="AB63" s="23">
        <f>EXP(-LN(2)/2)*AB62+(1-EXP(-LN(2)/2))/(LN(2)/2)*V63*Y63*VLOOKUP('Données projet'!$B$9,Paramètres!$A$1:$I$89,3,0)*0.475*44/12</f>
        <v>1.5815278009543351E-4</v>
      </c>
      <c r="AC63" s="24">
        <f t="shared" si="3"/>
        <v>13.497443580654798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-5.6843418860808015E-14</v>
      </c>
      <c r="AJ63" s="14">
        <f>AI63*VLOOKUP('Données projet'!$B$10,Paramètres!$A$1:$I$89,3,0)*VLOOKUP('Données projet'!$B$10,Paramètres!$A$1:$I$89,5,0)</f>
        <v>-3.1036506698001178E-14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293.73480285950245</v>
      </c>
      <c r="AO63" s="62">
        <f t="shared" si="36"/>
        <v>425.99823184414191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9.1968235236154801</v>
      </c>
      <c r="AW63" s="23">
        <f>EXP(-LN(2)/2)*AW62+(1-EXP(-LN(2)/2))/(LN(2)/2)*AQ63*AT63*VLOOKUP('Données projet'!$B$10,Paramètres!$A$1:$I$89,3,0)*0.475*44/12</f>
        <v>5.8990158110058257E-4</v>
      </c>
      <c r="AX63" s="23">
        <f t="shared" si="6"/>
        <v>9.1974134251965811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247.01039999999992</v>
      </c>
      <c r="BF63" s="14">
        <f t="shared" si="37"/>
        <v>59.945315462121812</v>
      </c>
      <c r="BG63" s="22">
        <f t="shared" si="7"/>
        <v>534.61453776319524</v>
      </c>
      <c r="BH63" s="62">
        <f t="shared" si="8"/>
        <v>827.94787109652862</v>
      </c>
      <c r="BI63" s="62">
        <f ca="1">AVERAGE(OFFSET($BH$3,0,0,'Données projet'!$E$11+1,1))-AVERAGE(OFFSET($H$3,0,0,'Données projet'!$E$11+1,1))</f>
        <v>438.70522838726322</v>
      </c>
      <c r="BJ63" s="62">
        <f t="shared" si="38"/>
        <v>278.21741231699929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264.04559999999992</v>
      </c>
      <c r="CA63" s="14">
        <f t="shared" si="39"/>
        <v>63.58395992997368</v>
      </c>
      <c r="CB63" s="22">
        <f t="shared" si="10"/>
        <v>570.62148354470401</v>
      </c>
      <c r="CC63" s="62">
        <f t="shared" si="11"/>
        <v>863.95481687803726</v>
      </c>
      <c r="CD63" s="62">
        <f ca="1">AVERAGE(OFFSET($CC$3,0,0,'Données projet'!$E$12+1,1))-AVERAGE(OFFSET($H$3,0,0,'Données projet'!$E$12+1,1))</f>
        <v>466.10838191274445</v>
      </c>
      <c r="CE63" s="62">
        <f t="shared" si="40"/>
        <v>294.45557293177131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343</v>
      </c>
      <c r="CR63" s="13">
        <f>VLOOKUP(A63,'Données projet'!$A$139:$I$159,9,0)</f>
        <v>7.4</v>
      </c>
      <c r="CS63" s="13">
        <f t="array" ref="CS63">INDEX(CR:CR,MIN(IF(ISNUMBER(CR63:CR259),ROW(CR63:CR259),"")))</f>
        <v>7.4</v>
      </c>
      <c r="CT63" s="13">
        <f>IF('Données projet'!$A$140&gt;35,CT62+CS63-DB62,IF(A63&lt;'Données projet'!$A$140,$CQ$205^A63,IF(A63='Données projet'!$A$140,'Données projet'!$B$140,CT62+CS63-DB62)))</f>
        <v>342.99999999999972</v>
      </c>
      <c r="CU63" s="18">
        <f>CT63*VLOOKUP('Données projet'!$B$13,Paramètres!$A$1:$I$89,3,0)*VLOOKUP('Données projet'!$B$13,Paramètres!$A$1:$I$89,5,0)</f>
        <v>251.48759999999979</v>
      </c>
      <c r="CV63" s="14">
        <f t="shared" si="41"/>
        <v>60.904377929400603</v>
      </c>
      <c r="CW63" s="22">
        <f t="shared" si="13"/>
        <v>544.08269489370571</v>
      </c>
      <c r="CX63" s="62">
        <f t="shared" si="14"/>
        <v>837.41602822703908</v>
      </c>
      <c r="CY63" s="62">
        <f ca="1">AVERAGE(OFFSET($CX$3,0,0,'Données projet'!$E$13+1,1))-AVERAGE(OFFSET($H$3,0,0,'Données projet'!$E$13+1,1))</f>
        <v>376.5422416541544</v>
      </c>
      <c r="CZ63" s="62">
        <f t="shared" si="42"/>
        <v>365.76175372075869</v>
      </c>
      <c r="DA63" s="16">
        <f>IF(ISNA(VLOOKUP(A63,'Données projet'!$A$139:$I$159,3,0)),0,VLOOKUP(A63,'Données projet'!$A$139:$I$159,3,0))</f>
        <v>11</v>
      </c>
      <c r="DB63" s="16">
        <f>IF(ISNA(VLOOKUP(A63,'Données projet'!$A$139:$I$159,4,0)),0,VLOOKUP(A63,'Données projet'!$A$139:$I$159,4,0))</f>
        <v>17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294</v>
      </c>
      <c r="DM63" s="13">
        <f>VLOOKUP(A63,'Données projet'!$A$165:$I$185,9,0)</f>
        <v>6.4</v>
      </c>
      <c r="DN63" s="13">
        <f t="array" ref="DN63">INDEX(DM:DM,MIN(IF(ISNUMBER(DM63:DM259),ROW(DM63:DM259),"")))</f>
        <v>6.4</v>
      </c>
      <c r="DO63" s="13">
        <f>IF('Données projet'!$A$166&gt;35,DO62+DN63-DW62,IF(A63&lt;'Données projet'!$A$166,$DL$205^A63,IF(A63='Données projet'!$A$166,'Données projet'!$B$166,DO62+DN63-DW62)))</f>
        <v>293.99999999999983</v>
      </c>
      <c r="DP63" s="18">
        <f>DO63*VLOOKUP('Données projet'!$B$14,Paramètres!$A$1:$I$89,3,0)*VLOOKUP('Données projet'!$B$14,Paramètres!$A$1:$I$89,5,0)</f>
        <v>233.90639999999988</v>
      </c>
      <c r="DQ63" s="14">
        <f t="shared" si="43"/>
        <v>57.126506840778347</v>
      </c>
      <c r="DR63" s="22">
        <f t="shared" si="16"/>
        <v>506.88231274768867</v>
      </c>
      <c r="DS63" s="62">
        <f t="shared" si="17"/>
        <v>800.21564608102199</v>
      </c>
      <c r="DT63" s="62">
        <f ca="1">AVERAGE(OFFSET($DS$3,0,0,'Données projet'!$E$14+1,1))-AVERAGE(OFFSET($H$3,0,0,'Données projet'!$E$14+1,1))</f>
        <v>352.5736659365665</v>
      </c>
      <c r="DU63" s="62">
        <f t="shared" si="44"/>
        <v>343.77208530767069</v>
      </c>
      <c r="DV63" s="16">
        <f>IF(ISNA(VLOOKUP(A63,'Données projet'!$A$165:$I$185,3,0)),0,VLOOKUP(A63,'Données projet'!$A$165:$I$185,3,0))</f>
        <v>11</v>
      </c>
      <c r="DW63" s="16">
        <f>IF(ISNA(VLOOKUP(A63,'Données projet'!$A$165:$I$185,4,0)),0,VLOOKUP(A63,'Données projet'!$A$165:$I$185,4,0))</f>
        <v>14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2.2737367544323206E-13</v>
      </c>
      <c r="EK63" s="18">
        <f>EJ63*VLOOKUP('Données projet'!$B$15,Paramètres!$A$1:$I$89,3,0)*VLOOKUP('Données projet'!$B$15,Paramètres!$A$1:$I$89,5,0)</f>
        <v>2.0572770154103635E-13</v>
      </c>
      <c r="EL63" s="14">
        <f t="shared" si="45"/>
        <v>2.8416956338469711E-12</v>
      </c>
      <c r="EM63" s="22">
        <f t="shared" si="19"/>
        <v>5.3075956424674458E-12</v>
      </c>
      <c r="EN63" s="62">
        <f t="shared" si="20"/>
        <v>293.3333333333386</v>
      </c>
      <c r="EO63" s="62">
        <f ca="1">AVERAGE(OFFSET($EN$3,0,0,'Données projet'!$E$15+1,1))-AVERAGE(OFFSET($H$3,0,0,'Données projet'!$E$15+1,1))</f>
        <v>436.23918637269577</v>
      </c>
      <c r="EP63" s="62">
        <f t="shared" si="46"/>
        <v>611.43967996341894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2.5948389544124577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2.5948389544124577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242</v>
      </c>
      <c r="FC63" s="13">
        <f>VLOOKUP(A63,'Données projet'!$A$217:$I$237,9,0)</f>
        <v>6.8</v>
      </c>
      <c r="FD63" s="13">
        <f t="array" ref="FD63">INDEX(FC:FC,MIN(IF(ISNUMBER(FC63:FC259),ROW(FC63:FC259),"")))</f>
        <v>6.8</v>
      </c>
      <c r="FE63" s="13">
        <f>IF('Données projet'!$A$218&gt;35,FE62+FD63-FM62,IF(A63&lt;'Données projet'!$A$218,$FB$205^A63,IF(A63='Données projet'!$A$218,'Données projet'!$B$218,FE62+FD63-FM62)))</f>
        <v>242.00000000000026</v>
      </c>
      <c r="FF63" s="18">
        <f>FE63*VLOOKUP('Données projet'!$B$16,Paramètres!$A$1:$I$89,3,0)*VLOOKUP('Données projet'!$B$16,Paramètres!$A$1:$I$89,5,0)</f>
        <v>211.41120000000024</v>
      </c>
      <c r="FG63" s="14">
        <f t="shared" si="47"/>
        <v>52.243848094411206</v>
      </c>
      <c r="FH63" s="22">
        <f t="shared" si="22"/>
        <v>459.19920876443319</v>
      </c>
      <c r="FI63" s="62">
        <f t="shared" si="23"/>
        <v>752.53254209776651</v>
      </c>
      <c r="FJ63" s="62">
        <f ca="1">AVERAGE(OFFSET($FI$3,0,0,'Données projet'!$E$16+1,1))-AVERAGE(OFFSET($H$3,0,0,'Données projet'!$E$16+1,1))</f>
        <v>321.23599968992932</v>
      </c>
      <c r="FK63" s="62">
        <f t="shared" si="48"/>
        <v>388.05195847800502</v>
      </c>
      <c r="FL63" s="16">
        <f>IF(ISNA(VLOOKUP(A63,'Données projet'!$A$217:$I$237,3,0)),0,VLOOKUP(A63,'Données projet'!$A$217:$I$237,3,0))</f>
        <v>10</v>
      </c>
      <c r="FM63" s="16">
        <f>IF(ISNA(VLOOKUP(A63,'Données projet'!$A$217:$I$237,4,0)),0,VLOOKUP(A63,'Données projet'!$A$217:$I$237,4,0))</f>
        <v>26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18.58285714285714</v>
      </c>
      <c r="N64" s="14">
        <f>IF('Données projet'!$A$36&gt;35,N63+M64-V63,IF(A64&lt;'Données projet'!$A$36,$K$205^A64,IF(A64='Données projet'!$A$36,'Données projet'!$B$36,N63+M64-V63)))</f>
        <v>531.83428571428578</v>
      </c>
      <c r="O64" s="14">
        <f>N64*VLOOKUP('Données projet'!$B$9,Paramètres!$A$1:$I$89,3,0)*VLOOKUP('Données projet'!$B$9,Paramètres!$A$1:$I$89,5,0)</f>
        <v>297.29536571428577</v>
      </c>
      <c r="P64" s="14">
        <f t="shared" si="33"/>
        <v>70.609169738501635</v>
      </c>
      <c r="Q64" s="22">
        <f t="shared" si="53"/>
        <v>640.76706591360471</v>
      </c>
      <c r="R64" s="62">
        <f t="shared" si="0"/>
        <v>934.10039924693797</v>
      </c>
      <c r="S64" s="62">
        <f ca="1">AVERAGE(OFFSET($R$3,0,0,'Données projet'!$E$9+1,1))-AVERAGE(OFFSET($H$3,0,0,'Données projet'!$E$9+1,1))</f>
        <v>389.06620927245814</v>
      </c>
      <c r="T64" s="62">
        <f t="shared" si="34"/>
        <v>356.08144160383193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13.128201448058077</v>
      </c>
      <c r="AB64" s="23">
        <f>EXP(-LN(2)/2)*AB63+(1-EXP(-LN(2)/2))/(LN(2)/2)*V64*Y64*VLOOKUP('Données projet'!$B$9,Paramètres!$A$1:$I$89,3,0)*0.475*44/12</f>
        <v>1.1183090326898587E-4</v>
      </c>
      <c r="AC64" s="24">
        <f t="shared" si="3"/>
        <v>13.128313278961345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-5.6843418860808015E-14</v>
      </c>
      <c r="AJ64" s="14">
        <f>AI64*VLOOKUP('Données projet'!$B$10,Paramètres!$A$1:$I$89,3,0)*VLOOKUP('Données projet'!$B$10,Paramètres!$A$1:$I$89,5,0)</f>
        <v>-3.1036506698001178E-14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293.73480285950245</v>
      </c>
      <c r="AO64" s="62">
        <f t="shared" si="36"/>
        <v>425.99823184414191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8.9453359007222861</v>
      </c>
      <c r="AW64" s="23">
        <f>EXP(-LN(2)/2)*AW63+(1-EXP(-LN(2)/2))/(LN(2)/2)*AQ64*AT64*VLOOKUP('Données projet'!$B$10,Paramètres!$A$1:$I$89,3,0)*0.475*44/12</f>
        <v>4.1712340822888807E-4</v>
      </c>
      <c r="AX64" s="23">
        <f t="shared" si="6"/>
        <v>8.9457530241305143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229.63823999999994</v>
      </c>
      <c r="BF64" s="14">
        <f t="shared" si="37"/>
        <v>56.204453396569633</v>
      </c>
      <c r="BG64" s="22">
        <f t="shared" si="7"/>
        <v>497.84269099902531</v>
      </c>
      <c r="BH64" s="62">
        <f t="shared" si="8"/>
        <v>791.17602433235857</v>
      </c>
      <c r="BI64" s="62">
        <f ca="1">AVERAGE(OFFSET($BH$3,0,0,'Données projet'!$E$11+1,1))-AVERAGE(OFFSET($H$3,0,0,'Données projet'!$E$11+1,1))</f>
        <v>438.70522838726322</v>
      </c>
      <c r="BJ64" s="62">
        <f t="shared" si="38"/>
        <v>278.21741231699929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253.79999999999995</v>
      </c>
      <c r="BZ64" s="14">
        <f>BY64*VLOOKUP('Données projet'!$B$12,Paramètres!$A$1:$I$89,3,0)*VLOOKUP('Données projet'!$B$12,Paramètres!$A$1:$I$89,5,0)</f>
        <v>245.47535999999997</v>
      </c>
      <c r="CA64" s="14">
        <f t="shared" si="39"/>
        <v>59.616029794883758</v>
      </c>
      <c r="CB64" s="22">
        <f t="shared" si="10"/>
        <v>531.36750389275585</v>
      </c>
      <c r="CC64" s="62">
        <f t="shared" si="11"/>
        <v>824.70083722608911</v>
      </c>
      <c r="CD64" s="62">
        <f ca="1">AVERAGE(OFFSET($CC$3,0,0,'Données projet'!$E$12+1,1))-AVERAGE(OFFSET($H$3,0,0,'Données projet'!$E$12+1,1))</f>
        <v>466.10838191274445</v>
      </c>
      <c r="CE64" s="62">
        <f t="shared" si="40"/>
        <v>294.45557293177131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6</v>
      </c>
      <c r="CT64" s="13">
        <f>IF('Données projet'!$A$140&gt;35,CT63+CS64-DB63,IF(A64&lt;'Données projet'!$A$140,$CQ$205^A64,IF(A64='Données projet'!$A$140,'Données projet'!$B$140,CT63+CS64-DB63)))</f>
        <v>331.99999999999972</v>
      </c>
      <c r="CU64" s="18">
        <f>CT64*VLOOKUP('Données projet'!$B$13,Paramètres!$A$1:$I$89,3,0)*VLOOKUP('Données projet'!$B$13,Paramètres!$A$1:$I$89,5,0)</f>
        <v>243.42239999999978</v>
      </c>
      <c r="CV64" s="14">
        <f t="shared" si="41"/>
        <v>59.175268615646175</v>
      </c>
      <c r="CW64" s="22">
        <f t="shared" si="13"/>
        <v>527.02427283891677</v>
      </c>
      <c r="CX64" s="62">
        <f t="shared" si="14"/>
        <v>820.35760617225014</v>
      </c>
      <c r="CY64" s="62">
        <f ca="1">AVERAGE(OFFSET($CX$3,0,0,'Données projet'!$E$13+1,1))-AVERAGE(OFFSET($H$3,0,0,'Données projet'!$E$13+1,1))</f>
        <v>376.5422416541544</v>
      </c>
      <c r="CZ64" s="62">
        <f t="shared" si="42"/>
        <v>365.76175372075869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5.2</v>
      </c>
      <c r="DO64" s="13">
        <f>IF('Données projet'!$A$166&gt;35,DO63+DN64-DW63,IF(A64&lt;'Données projet'!$A$166,$DL$205^A64,IF(A64='Données projet'!$A$166,'Données projet'!$B$166,DO63+DN64-DW63)))</f>
        <v>285.19999999999982</v>
      </c>
      <c r="DP64" s="18">
        <f>DO64*VLOOKUP('Données projet'!$B$14,Paramètres!$A$1:$I$89,3,0)*VLOOKUP('Données projet'!$B$14,Paramètres!$A$1:$I$89,5,0)</f>
        <v>226.90511999999987</v>
      </c>
      <c r="DQ64" s="14">
        <f t="shared" si="43"/>
        <v>55.612969408444364</v>
      </c>
      <c r="DR64" s="22">
        <f t="shared" si="16"/>
        <v>492.05233905304038</v>
      </c>
      <c r="DS64" s="62">
        <f t="shared" si="17"/>
        <v>785.3856723863737</v>
      </c>
      <c r="DT64" s="62">
        <f ca="1">AVERAGE(OFFSET($DS$3,0,0,'Données projet'!$E$14+1,1))-AVERAGE(OFFSET($H$3,0,0,'Données projet'!$E$14+1,1))</f>
        <v>352.5736659365665</v>
      </c>
      <c r="DU64" s="62">
        <f t="shared" si="44"/>
        <v>343.77208530767069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2.2737367544323206E-13</v>
      </c>
      <c r="EK64" s="18">
        <f>EJ64*VLOOKUP('Données projet'!$B$15,Paramètres!$A$1:$I$89,3,0)*VLOOKUP('Données projet'!$B$15,Paramètres!$A$1:$I$89,5,0)</f>
        <v>2.0572770154103635E-13</v>
      </c>
      <c r="EL64" s="14">
        <f t="shared" si="45"/>
        <v>2.8416956338469711E-12</v>
      </c>
      <c r="EM64" s="22">
        <f t="shared" si="19"/>
        <v>5.3075956424674458E-12</v>
      </c>
      <c r="EN64" s="62">
        <f t="shared" si="20"/>
        <v>293.3333333333386</v>
      </c>
      <c r="EO64" s="62">
        <f ca="1">AVERAGE(OFFSET($EN$3,0,0,'Données projet'!$E$15+1,1))-AVERAGE(OFFSET($H$3,0,0,'Données projet'!$E$15+1,1))</f>
        <v>436.23918637269577</v>
      </c>
      <c r="EP64" s="62">
        <f t="shared" si="46"/>
        <v>611.43967996341894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2.5439557452119135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2.5439557452119135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6</v>
      </c>
      <c r="FE64" s="13">
        <f>IF('Données projet'!$A$218&gt;35,FE63+FD64-FM63,IF(A64&lt;'Données projet'!$A$218,$FB$205^A64,IF(A64='Données projet'!$A$218,'Données projet'!$B$218,FE63+FD64-FM63)))</f>
        <v>222.00000000000026</v>
      </c>
      <c r="FF64" s="18">
        <f>FE64*VLOOKUP('Données projet'!$B$16,Paramètres!$A$1:$I$89,3,0)*VLOOKUP('Données projet'!$B$16,Paramètres!$A$1:$I$89,5,0)</f>
        <v>193.93920000000023</v>
      </c>
      <c r="FG64" s="14">
        <f t="shared" si="47"/>
        <v>48.409811198069427</v>
      </c>
      <c r="FH64" s="22">
        <f t="shared" si="22"/>
        <v>422.09119450330468</v>
      </c>
      <c r="FI64" s="62">
        <f t="shared" si="23"/>
        <v>715.42452783663794</v>
      </c>
      <c r="FJ64" s="62">
        <f ca="1">AVERAGE(OFFSET($FI$3,0,0,'Données projet'!$E$16+1,1))-AVERAGE(OFFSET($H$3,0,0,'Données projet'!$E$16+1,1))</f>
        <v>321.23599968992932</v>
      </c>
      <c r="FK64" s="62">
        <f t="shared" si="48"/>
        <v>388.05195847800502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18.58285714285714</v>
      </c>
      <c r="N65" s="14">
        <f>IF('Données projet'!$A$36&gt;35,N64+M65-V64,IF(A65&lt;'Données projet'!$A$36,$K$205^A65,IF(A65='Données projet'!$A$36,'Données projet'!$B$36,N64+M65-V64)))</f>
        <v>550.41714285714295</v>
      </c>
      <c r="O65" s="14">
        <f>N65*VLOOKUP('Données projet'!$B$9,Paramètres!$A$1:$I$89,3,0)*VLOOKUP('Données projet'!$B$9,Paramètres!$A$1:$I$89,5,0)</f>
        <v>307.68318285714292</v>
      </c>
      <c r="P65" s="14">
        <f t="shared" si="33"/>
        <v>72.784775498421382</v>
      </c>
      <c r="Q65" s="22">
        <f t="shared" si="53"/>
        <v>662.64836080260773</v>
      </c>
      <c r="R65" s="62">
        <f t="shared" si="0"/>
        <v>955.9816941359411</v>
      </c>
      <c r="S65" s="62">
        <f ca="1">AVERAGE(OFFSET($R$3,0,0,'Données projet'!$E$9+1,1))-AVERAGE(OFFSET($H$3,0,0,'Données projet'!$E$9+1,1))</f>
        <v>389.06620927245814</v>
      </c>
      <c r="T65" s="62">
        <f t="shared" si="34"/>
        <v>356.08144160383193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12.76921008907882</v>
      </c>
      <c r="AB65" s="23">
        <f>EXP(-LN(2)/2)*AB64+(1-EXP(-LN(2)/2))/(LN(2)/2)*V65*Y65*VLOOKUP('Données projet'!$B$9,Paramètres!$A$1:$I$89,3,0)*0.475*44/12</f>
        <v>7.9076390047716754E-5</v>
      </c>
      <c r="AC65" s="24">
        <f t="shared" si="3"/>
        <v>12.769289165468868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-5.6843418860808015E-14</v>
      </c>
      <c r="AJ65" s="14">
        <f>AI65*VLOOKUP('Données projet'!$B$10,Paramètres!$A$1:$I$89,3,0)*VLOOKUP('Données projet'!$B$10,Paramètres!$A$1:$I$89,5,0)</f>
        <v>-3.1036506698001178E-14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293.73480285950245</v>
      </c>
      <c r="AO65" s="62">
        <f t="shared" si="36"/>
        <v>425.99823184414191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8.7007252201022656</v>
      </c>
      <c r="AW65" s="23">
        <f>EXP(-LN(2)/2)*AW64+(1-EXP(-LN(2)/2))/(LN(2)/2)*AQ65*AT65*VLOOKUP('Données projet'!$B$10,Paramètres!$A$1:$I$89,3,0)*0.475*44/12</f>
        <v>2.9495079055029129E-4</v>
      </c>
      <c r="AX65" s="23">
        <f t="shared" si="6"/>
        <v>8.7010201708928161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237.60047999999995</v>
      </c>
      <c r="BF65" s="14">
        <f t="shared" si="37"/>
        <v>57.922960533442058</v>
      </c>
      <c r="BG65" s="22">
        <f t="shared" si="7"/>
        <v>514.70332559574479</v>
      </c>
      <c r="BH65" s="62">
        <f t="shared" si="8"/>
        <v>808.03665892907816</v>
      </c>
      <c r="BI65" s="62">
        <f ca="1">AVERAGE(OFFSET($BH$3,0,0,'Données projet'!$E$11+1,1))-AVERAGE(OFFSET($H$3,0,0,'Données projet'!$E$11+1,1))</f>
        <v>438.70522838726322</v>
      </c>
      <c r="BJ65" s="62">
        <f t="shared" si="38"/>
        <v>278.21741231699929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262.59999999999997</v>
      </c>
      <c r="BZ65" s="14">
        <f>BY65*VLOOKUP('Données projet'!$B$12,Paramètres!$A$1:$I$89,3,0)*VLOOKUP('Données projet'!$B$12,Paramètres!$A$1:$I$89,5,0)</f>
        <v>253.98671999999999</v>
      </c>
      <c r="CA65" s="14">
        <f t="shared" si="39"/>
        <v>61.438849277739124</v>
      </c>
      <c r="CB65" s="22">
        <f t="shared" si="10"/>
        <v>549.3661998253956</v>
      </c>
      <c r="CC65" s="62">
        <f t="shared" si="11"/>
        <v>842.69953315872885</v>
      </c>
      <c r="CD65" s="62">
        <f ca="1">AVERAGE(OFFSET($CC$3,0,0,'Données projet'!$E$12+1,1))-AVERAGE(OFFSET($H$3,0,0,'Données projet'!$E$12+1,1))</f>
        <v>466.10838191274445</v>
      </c>
      <c r="CE65" s="62">
        <f t="shared" si="40"/>
        <v>294.45557293177131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6</v>
      </c>
      <c r="CT65" s="13">
        <f>IF('Données projet'!$A$140&gt;35,CT64+CS65-DB64,IF(A65&lt;'Données projet'!$A$140,$CQ$205^A65,IF(A65='Données projet'!$A$140,'Données projet'!$B$140,CT64+CS65-DB64)))</f>
        <v>337.99999999999972</v>
      </c>
      <c r="CU65" s="18">
        <f>CT65*VLOOKUP('Données projet'!$B$13,Paramètres!$A$1:$I$89,3,0)*VLOOKUP('Données projet'!$B$13,Paramètres!$A$1:$I$89,5,0)</f>
        <v>247.82159999999982</v>
      </c>
      <c r="CV65" s="14">
        <f t="shared" si="41"/>
        <v>60.119231945607517</v>
      </c>
      <c r="CW65" s="22">
        <f t="shared" si="13"/>
        <v>536.330282305266</v>
      </c>
      <c r="CX65" s="62">
        <f t="shared" si="14"/>
        <v>829.66361563859937</v>
      </c>
      <c r="CY65" s="62">
        <f ca="1">AVERAGE(OFFSET($CX$3,0,0,'Données projet'!$E$13+1,1))-AVERAGE(OFFSET($H$3,0,0,'Données projet'!$E$13+1,1))</f>
        <v>376.5422416541544</v>
      </c>
      <c r="CZ65" s="62">
        <f t="shared" si="42"/>
        <v>365.76175372075869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5.2</v>
      </c>
      <c r="DO65" s="13">
        <f>IF('Données projet'!$A$166&gt;35,DO64+DN65-DW64,IF(A65&lt;'Données projet'!$A$166,$DL$205^A65,IF(A65='Données projet'!$A$166,'Données projet'!$B$166,DO64+DN65-DW64)))</f>
        <v>290.39999999999981</v>
      </c>
      <c r="DP65" s="18">
        <f>DO65*VLOOKUP('Données projet'!$B$14,Paramètres!$A$1:$I$89,3,0)*VLOOKUP('Données projet'!$B$14,Paramètres!$A$1:$I$89,5,0)</f>
        <v>231.04223999999985</v>
      </c>
      <c r="DQ65" s="14">
        <f t="shared" si="43"/>
        <v>56.507978852931409</v>
      </c>
      <c r="DR65" s="22">
        <f t="shared" si="16"/>
        <v>500.81663116885534</v>
      </c>
      <c r="DS65" s="62">
        <f t="shared" si="17"/>
        <v>794.1499645021886</v>
      </c>
      <c r="DT65" s="62">
        <f ca="1">AVERAGE(OFFSET($DS$3,0,0,'Données projet'!$E$14+1,1))-AVERAGE(OFFSET($H$3,0,0,'Données projet'!$E$14+1,1))</f>
        <v>352.5736659365665</v>
      </c>
      <c r="DU65" s="62">
        <f t="shared" si="44"/>
        <v>343.77208530767069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2.2737367544323206E-13</v>
      </c>
      <c r="EK65" s="18">
        <f>EJ65*VLOOKUP('Données projet'!$B$15,Paramètres!$A$1:$I$89,3,0)*VLOOKUP('Données projet'!$B$15,Paramètres!$A$1:$I$89,5,0)</f>
        <v>2.0572770154103635E-13</v>
      </c>
      <c r="EL65" s="14">
        <f t="shared" si="45"/>
        <v>2.8416956338469711E-12</v>
      </c>
      <c r="EM65" s="22">
        <f t="shared" si="19"/>
        <v>5.3075956424674458E-12</v>
      </c>
      <c r="EN65" s="62">
        <f t="shared" si="20"/>
        <v>293.3333333333386</v>
      </c>
      <c r="EO65" s="62">
        <f ca="1">AVERAGE(OFFSET($EN$3,0,0,'Données projet'!$E$15+1,1))-AVERAGE(OFFSET($H$3,0,0,'Données projet'!$E$15+1,1))</f>
        <v>436.23918637269577</v>
      </c>
      <c r="EP65" s="62">
        <f t="shared" si="46"/>
        <v>611.43967996341894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2.4940703247080989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2.4940703247080989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6</v>
      </c>
      <c r="FE65" s="13">
        <f>IF('Données projet'!$A$218&gt;35,FE64+FD65-FM64,IF(A65&lt;'Données projet'!$A$218,$FB$205^A65,IF(A65='Données projet'!$A$218,'Données projet'!$B$218,FE64+FD65-FM64)))</f>
        <v>228.00000000000026</v>
      </c>
      <c r="FF65" s="18">
        <f>FE65*VLOOKUP('Données projet'!$B$16,Paramètres!$A$1:$I$89,3,0)*VLOOKUP('Données projet'!$B$16,Paramètres!$A$1:$I$89,5,0)</f>
        <v>199.18080000000023</v>
      </c>
      <c r="FG65" s="14">
        <f t="shared" si="47"/>
        <v>49.564089376413726</v>
      </c>
      <c r="FH65" s="22">
        <f t="shared" si="22"/>
        <v>433.23068233058763</v>
      </c>
      <c r="FI65" s="62">
        <f t="shared" si="23"/>
        <v>726.56401566392094</v>
      </c>
      <c r="FJ65" s="62">
        <f ca="1">AVERAGE(OFFSET($FI$3,0,0,'Données projet'!$E$16+1,1))-AVERAGE(OFFSET($H$3,0,0,'Données projet'!$E$16+1,1))</f>
        <v>321.23599968992932</v>
      </c>
      <c r="FK65" s="62">
        <f t="shared" si="48"/>
        <v>388.05195847800502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569</v>
      </c>
      <c r="L66" s="13">
        <f>VLOOKUP(A66,'Données projet'!$A$35:$I$55,9,0)</f>
        <v>18.58285714285714</v>
      </c>
      <c r="M66" s="13">
        <f t="array" ref="M66">INDEX(L:L,MIN(IF(ISNUMBER(L66:L262),ROW(L66:L262),"")))</f>
        <v>18.58285714285714</v>
      </c>
      <c r="N66" s="14">
        <f>IF('Données projet'!$A$36&gt;35,N65+M66-V65,IF(A66&lt;'Données projet'!$A$36,$K$205^A66,IF(A66='Données projet'!$A$36,'Données projet'!$B$36,N65+M66-V65)))</f>
        <v>569.00000000000011</v>
      </c>
      <c r="O66" s="14">
        <f>N66*VLOOKUP('Données projet'!$B$9,Paramètres!$A$1:$I$89,3,0)*VLOOKUP('Données projet'!$B$9,Paramètres!$A$1:$I$89,5,0)</f>
        <v>318.07100000000008</v>
      </c>
      <c r="P66" s="14">
        <f t="shared" si="33"/>
        <v>74.951846567144685</v>
      </c>
      <c r="Q66" s="22">
        <f t="shared" si="53"/>
        <v>684.51479110444382</v>
      </c>
      <c r="R66" s="62">
        <f t="shared" si="0"/>
        <v>977.84812443777719</v>
      </c>
      <c r="S66" s="62">
        <f ca="1">AVERAGE(OFFSET($R$3,0,0,'Données projet'!$E$9+1,1))-AVERAGE(OFFSET($H$3,0,0,'Données projet'!$E$9+1,1))</f>
        <v>389.06620927245814</v>
      </c>
      <c r="T66" s="62">
        <f t="shared" si="34"/>
        <v>356.08144160383193</v>
      </c>
      <c r="U66" s="16">
        <f>IF(ISNA(VLOOKUP(A66,'Données projet'!$A$35:$I$55,3,0)),0,VLOOKUP(A66,'Données projet'!$A$35:$I$55,3,0))</f>
        <v>8</v>
      </c>
      <c r="V66" s="16">
        <f>IF(ISNA(VLOOKUP(A66,'Données projet'!$A$35:$I$55,4,0)),0,VLOOKUP(A66,'Données projet'!$A$35:$I$55,4,0))</f>
        <v>99.49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12.420035367689385</v>
      </c>
      <c r="AB66" s="23">
        <f>EXP(-LN(2)/2)*AB65+(1-EXP(-LN(2)/2))/(LN(2)/2)*V66*Y66*VLOOKUP('Données projet'!$B$9,Paramètres!$A$1:$I$89,3,0)*0.475*44/12</f>
        <v>5.5915451634492936E-5</v>
      </c>
      <c r="AC66" s="24">
        <f t="shared" si="3"/>
        <v>12.420091283141019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-5.6843418860808015E-14</v>
      </c>
      <c r="AJ66" s="14">
        <f>AI66*VLOOKUP('Données projet'!$B$10,Paramètres!$A$1:$I$89,3,0)*VLOOKUP('Données projet'!$B$10,Paramètres!$A$1:$I$89,5,0)</f>
        <v>-3.1036506698001178E-14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293.73480285950245</v>
      </c>
      <c r="AO66" s="62">
        <f t="shared" si="36"/>
        <v>425.99823184414191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8.4628034314073162</v>
      </c>
      <c r="AW66" s="23">
        <f>EXP(-LN(2)/2)*AW65+(1-EXP(-LN(2)/2))/(LN(2)/2)*AQ66*AT66*VLOOKUP('Données projet'!$B$10,Paramètres!$A$1:$I$89,3,0)*0.475*44/12</f>
        <v>2.0856170411444403E-4</v>
      </c>
      <c r="AX66" s="23">
        <f t="shared" si="6"/>
        <v>8.4630119931114312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245.56271999999998</v>
      </c>
      <c r="BF66" s="14">
        <f t="shared" si="37"/>
        <v>59.634776048276898</v>
      </c>
      <c r="BG66" s="22">
        <f t="shared" si="7"/>
        <v>531.55230561741564</v>
      </c>
      <c r="BH66" s="62">
        <f t="shared" si="8"/>
        <v>824.8856389507489</v>
      </c>
      <c r="BI66" s="62">
        <f ca="1">AVERAGE(OFFSET($BH$3,0,0,'Données projet'!$E$11+1,1))-AVERAGE(OFFSET($H$3,0,0,'Données projet'!$E$11+1,1))</f>
        <v>438.70522838726322</v>
      </c>
      <c r="BJ66" s="62">
        <f t="shared" si="38"/>
        <v>278.21741231699929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271.39999999999998</v>
      </c>
      <c r="BZ66" s="14">
        <f>BY66*VLOOKUP('Données projet'!$B$12,Paramètres!$A$1:$I$89,3,0)*VLOOKUP('Données projet'!$B$12,Paramètres!$A$1:$I$89,5,0)</f>
        <v>262.49807999999996</v>
      </c>
      <c r="CA66" s="14">
        <f t="shared" si="39"/>
        <v>63.254570961138086</v>
      </c>
      <c r="CB66" s="22">
        <f t="shared" si="10"/>
        <v>567.35253375731543</v>
      </c>
      <c r="CC66" s="62">
        <f t="shared" si="11"/>
        <v>860.6858670906488</v>
      </c>
      <c r="CD66" s="62">
        <f ca="1">AVERAGE(OFFSET($CC$3,0,0,'Données projet'!$E$12+1,1))-AVERAGE(OFFSET($H$3,0,0,'Données projet'!$E$12+1,1))</f>
        <v>466.10838191274445</v>
      </c>
      <c r="CE66" s="62">
        <f t="shared" si="40"/>
        <v>294.45557293177131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6</v>
      </c>
      <c r="CT66" s="13">
        <f>IF('Données projet'!$A$140&gt;35,CT65+CS66-DB65,IF(A66&lt;'Données projet'!$A$140,$CQ$205^A66,IF(A66='Données projet'!$A$140,'Données projet'!$B$140,CT65+CS66-DB65)))</f>
        <v>343.99999999999972</v>
      </c>
      <c r="CU66" s="18">
        <f>CT66*VLOOKUP('Données projet'!$B$13,Paramètres!$A$1:$I$89,3,0)*VLOOKUP('Données projet'!$B$13,Paramètres!$A$1:$I$89,5,0)</f>
        <v>252.2207999999998</v>
      </c>
      <c r="CV66" s="14">
        <f t="shared" si="41"/>
        <v>61.061246695931573</v>
      </c>
      <c r="CW66" s="22">
        <f t="shared" si="13"/>
        <v>545.63289799541383</v>
      </c>
      <c r="CX66" s="62">
        <f t="shared" si="14"/>
        <v>838.9662313287472</v>
      </c>
      <c r="CY66" s="62">
        <f ca="1">AVERAGE(OFFSET($CX$3,0,0,'Données projet'!$E$13+1,1))-AVERAGE(OFFSET($H$3,0,0,'Données projet'!$E$13+1,1))</f>
        <v>376.5422416541544</v>
      </c>
      <c r="CZ66" s="62">
        <f t="shared" si="42"/>
        <v>365.76175372075869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5.2</v>
      </c>
      <c r="DO66" s="13">
        <f>IF('Données projet'!$A$166&gt;35,DO65+DN66-DW65,IF(A66&lt;'Données projet'!$A$166,$DL$205^A66,IF(A66='Données projet'!$A$166,'Données projet'!$B$166,DO65+DN66-DW65)))</f>
        <v>295.5999999999998</v>
      </c>
      <c r="DP66" s="18">
        <f>DO66*VLOOKUP('Données projet'!$B$14,Paramètres!$A$1:$I$89,3,0)*VLOOKUP('Données projet'!$B$14,Paramètres!$A$1:$I$89,5,0)</f>
        <v>235.17935999999983</v>
      </c>
      <c r="DQ66" s="14">
        <f t="shared" si="43"/>
        <v>57.401124668909425</v>
      </c>
      <c r="DR66" s="22">
        <f t="shared" si="16"/>
        <v>509.57767746501696</v>
      </c>
      <c r="DS66" s="62">
        <f t="shared" si="17"/>
        <v>802.91101079835028</v>
      </c>
      <c r="DT66" s="62">
        <f ca="1">AVERAGE(OFFSET($DS$3,0,0,'Données projet'!$E$14+1,1))-AVERAGE(OFFSET($H$3,0,0,'Données projet'!$E$14+1,1))</f>
        <v>352.5736659365665</v>
      </c>
      <c r="DU66" s="62">
        <f t="shared" si="44"/>
        <v>343.77208530767069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2.2737367544323206E-13</v>
      </c>
      <c r="EK66" s="18">
        <f>EJ66*VLOOKUP('Données projet'!$B$15,Paramètres!$A$1:$I$89,3,0)*VLOOKUP('Données projet'!$B$15,Paramètres!$A$1:$I$89,5,0)</f>
        <v>2.0572770154103635E-13</v>
      </c>
      <c r="EL66" s="14">
        <f t="shared" si="45"/>
        <v>2.8416956338469711E-12</v>
      </c>
      <c r="EM66" s="22">
        <f t="shared" si="19"/>
        <v>5.3075956424674458E-12</v>
      </c>
      <c r="EN66" s="62">
        <f t="shared" si="20"/>
        <v>293.3333333333386</v>
      </c>
      <c r="EO66" s="62">
        <f ca="1">AVERAGE(OFFSET($EN$3,0,0,'Données projet'!$E$15+1,1))-AVERAGE(OFFSET($H$3,0,0,'Données projet'!$E$15+1,1))</f>
        <v>436.23918637269577</v>
      </c>
      <c r="EP66" s="62">
        <f t="shared" si="46"/>
        <v>611.43967996341894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2.4451631268732616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2.4451631268732616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6</v>
      </c>
      <c r="FE66" s="13">
        <f>IF('Données projet'!$A$218&gt;35,FE65+FD66-FM65,IF(A66&lt;'Données projet'!$A$218,$FB$205^A66,IF(A66='Données projet'!$A$218,'Données projet'!$B$218,FE65+FD66-FM65)))</f>
        <v>234.00000000000026</v>
      </c>
      <c r="FF66" s="18">
        <f>FE66*VLOOKUP('Données projet'!$B$16,Paramètres!$A$1:$I$89,3,0)*VLOOKUP('Données projet'!$B$16,Paramètres!$A$1:$I$89,5,0)</f>
        <v>204.42240000000027</v>
      </c>
      <c r="FG66" s="14">
        <f t="shared" si="47"/>
        <v>50.714836797527354</v>
      </c>
      <c r="FH66" s="22">
        <f t="shared" si="22"/>
        <v>444.36402075569396</v>
      </c>
      <c r="FI66" s="62">
        <f t="shared" si="23"/>
        <v>737.69735408902727</v>
      </c>
      <c r="FJ66" s="62">
        <f ca="1">AVERAGE(OFFSET($FI$3,0,0,'Données projet'!$E$16+1,1))-AVERAGE(OFFSET($H$3,0,0,'Données projet'!$E$16+1,1))</f>
        <v>321.23599968992932</v>
      </c>
      <c r="FK66" s="62">
        <f t="shared" si="48"/>
        <v>388.05195847800502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16.745000000000005</v>
      </c>
      <c r="N67" s="14">
        <f>IF('Données projet'!$A$36&gt;35,N66+M67-V66,IF(A67&lt;'Données projet'!$A$36,$K$205^A67,IF(A67='Données projet'!$A$36,'Données projet'!$B$36,N66+M67-V66)))</f>
        <v>486.25500000000011</v>
      </c>
      <c r="O67" s="14">
        <f>N67*VLOOKUP('Données projet'!$B$9,Paramètres!$A$1:$I$89,3,0)*VLOOKUP('Données projet'!$B$9,Paramètres!$A$1:$I$89,5,0)</f>
        <v>271.81654500000008</v>
      </c>
      <c r="P67" s="14">
        <f t="shared" si="33"/>
        <v>65.234635404592368</v>
      </c>
      <c r="Q67" s="22">
        <f t="shared" ref="Q67:Q98" si="54">(O67+P67)*0.475*44/12</f>
        <v>587.03080587133184</v>
      </c>
      <c r="R67" s="62">
        <f t="shared" ref="R67:R130" si="55">Q67+(I67+J67)*44/12</f>
        <v>880.36413920466521</v>
      </c>
      <c r="S67" s="62">
        <f ca="1">AVERAGE(OFFSET($R$3,0,0,'Données projet'!$E$9+1,1))-AVERAGE(OFFSET($H$3,0,0,'Données projet'!$E$9+1,1))</f>
        <v>389.06620927245814</v>
      </c>
      <c r="T67" s="62">
        <f t="shared" si="34"/>
        <v>356.08144160383193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12.080408847418646</v>
      </c>
      <c r="AB67" s="23">
        <f>EXP(-LN(2)/2)*AB66+(1-EXP(-LN(2)/2))/(LN(2)/2)*V67*Y67*VLOOKUP('Données projet'!$B$9,Paramètres!$A$1:$I$89,3,0)*0.475*44/12</f>
        <v>3.9538195023858377E-5</v>
      </c>
      <c r="AC67" s="24">
        <f t="shared" si="3"/>
        <v>12.08044838561367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-5.6843418860808015E-14</v>
      </c>
      <c r="AJ67" s="14">
        <f>AI67*VLOOKUP('Données projet'!$B$10,Paramètres!$A$1:$I$89,3,0)*VLOOKUP('Données projet'!$B$10,Paramètres!$A$1:$I$89,5,0)</f>
        <v>-3.1036506698001178E-14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293.73480285950245</v>
      </c>
      <c r="AO67" s="62">
        <f t="shared" si="36"/>
        <v>425.99823184414191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8.2313876265359927</v>
      </c>
      <c r="AW67" s="23">
        <f>EXP(-LN(2)/2)*AW66+(1-EXP(-LN(2)/2))/(LN(2)/2)*AQ67*AT67*VLOOKUP('Données projet'!$B$10,Paramètres!$A$1:$I$89,3,0)*0.475*44/12</f>
        <v>1.4747539527514564E-4</v>
      </c>
      <c r="AX67" s="23">
        <f t="shared" si="6"/>
        <v>8.2315351019312679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253.52495999999999</v>
      </c>
      <c r="BF67" s="14">
        <f t="shared" si="37"/>
        <v>61.340141798422209</v>
      </c>
      <c r="BG67" s="22">
        <f t="shared" si="7"/>
        <v>548.39005229891859</v>
      </c>
      <c r="BH67" s="62">
        <f t="shared" si="8"/>
        <v>841.72338563225185</v>
      </c>
      <c r="BI67" s="62">
        <f ca="1">AVERAGE(OFFSET($BH$3,0,0,'Données projet'!$E$11+1,1))-AVERAGE(OFFSET($H$3,0,0,'Données projet'!$E$11+1,1))</f>
        <v>438.70522838726322</v>
      </c>
      <c r="BJ67" s="62">
        <f t="shared" si="38"/>
        <v>278.21741231699929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280.2</v>
      </c>
      <c r="BZ67" s="14">
        <f>BY67*VLOOKUP('Données projet'!$B$12,Paramètres!$A$1:$I$89,3,0)*VLOOKUP('Données projet'!$B$12,Paramètres!$A$1:$I$89,5,0)</f>
        <v>271.00943999999998</v>
      </c>
      <c r="CA67" s="14">
        <f t="shared" si="39"/>
        <v>65.063451383023647</v>
      </c>
      <c r="CB67" s="22">
        <f t="shared" si="10"/>
        <v>585.32695249209939</v>
      </c>
      <c r="CC67" s="62">
        <f t="shared" si="11"/>
        <v>878.66028582543277</v>
      </c>
      <c r="CD67" s="62">
        <f ca="1">AVERAGE(OFFSET($CC$3,0,0,'Données projet'!$E$12+1,1))-AVERAGE(OFFSET($H$3,0,0,'Données projet'!$E$12+1,1))</f>
        <v>466.10838191274445</v>
      </c>
      <c r="CE67" s="62">
        <f t="shared" si="40"/>
        <v>294.45557293177131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6</v>
      </c>
      <c r="CT67" s="13">
        <f>IF('Données projet'!$A$140&gt;35,CT66+CS67-DB66,IF(A67&lt;'Données projet'!$A$140,$CQ$205^A67,IF(A67='Données projet'!$A$140,'Données projet'!$B$140,CT66+CS67-DB66)))</f>
        <v>349.99999999999972</v>
      </c>
      <c r="CU67" s="18">
        <f>CT67*VLOOKUP('Données projet'!$B$13,Paramètres!$A$1:$I$89,3,0)*VLOOKUP('Données projet'!$B$13,Paramètres!$A$1:$I$89,5,0)</f>
        <v>256.61999999999978</v>
      </c>
      <c r="CV67" s="14">
        <f t="shared" si="41"/>
        <v>62.001350774926514</v>
      </c>
      <c r="CW67" s="22">
        <f t="shared" si="13"/>
        <v>554.9321859329965</v>
      </c>
      <c r="CX67" s="62">
        <f t="shared" si="14"/>
        <v>848.26551926632987</v>
      </c>
      <c r="CY67" s="62">
        <f ca="1">AVERAGE(OFFSET($CX$3,0,0,'Données projet'!$E$13+1,1))-AVERAGE(OFFSET($H$3,0,0,'Données projet'!$E$13+1,1))</f>
        <v>376.5422416541544</v>
      </c>
      <c r="CZ67" s="62">
        <f t="shared" si="42"/>
        <v>365.76175372075869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5.2</v>
      </c>
      <c r="DO67" s="13">
        <f>IF('Données projet'!$A$166&gt;35,DO66+DN67-DW66,IF(A67&lt;'Données projet'!$A$166,$DL$205^A67,IF(A67='Données projet'!$A$166,'Données projet'!$B$166,DO66+DN67-DW66)))</f>
        <v>300.79999999999978</v>
      </c>
      <c r="DP67" s="18">
        <f>DO67*VLOOKUP('Données projet'!$B$14,Paramètres!$A$1:$I$89,3,0)*VLOOKUP('Données projet'!$B$14,Paramètres!$A$1:$I$89,5,0)</f>
        <v>239.31647999999984</v>
      </c>
      <c r="DQ67" s="14">
        <f t="shared" si="43"/>
        <v>58.292443422481945</v>
      </c>
      <c r="DR67" s="22">
        <f t="shared" si="16"/>
        <v>518.33554162748908</v>
      </c>
      <c r="DS67" s="62">
        <f t="shared" si="17"/>
        <v>811.66887496082245</v>
      </c>
      <c r="DT67" s="62">
        <f ca="1">AVERAGE(OFFSET($DS$3,0,0,'Données projet'!$E$14+1,1))-AVERAGE(OFFSET($H$3,0,0,'Données projet'!$E$14+1,1))</f>
        <v>352.5736659365665</v>
      </c>
      <c r="DU67" s="62">
        <f t="shared" si="44"/>
        <v>343.77208530767069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2.2737367544323206E-13</v>
      </c>
      <c r="EK67" s="18">
        <f>EJ67*VLOOKUP('Données projet'!$B$15,Paramètres!$A$1:$I$89,3,0)*VLOOKUP('Données projet'!$B$15,Paramètres!$A$1:$I$89,5,0)</f>
        <v>2.0572770154103635E-13</v>
      </c>
      <c r="EL67" s="14">
        <f t="shared" si="45"/>
        <v>2.8416956338469711E-12</v>
      </c>
      <c r="EM67" s="22">
        <f t="shared" si="19"/>
        <v>5.3075956424674458E-12</v>
      </c>
      <c r="EN67" s="62">
        <f t="shared" si="20"/>
        <v>293.3333333333386</v>
      </c>
      <c r="EO67" s="62">
        <f ca="1">AVERAGE(OFFSET($EN$3,0,0,'Données projet'!$E$15+1,1))-AVERAGE(OFFSET($H$3,0,0,'Données projet'!$E$15+1,1))</f>
        <v>436.23918637269577</v>
      </c>
      <c r="EP67" s="62">
        <f t="shared" si="46"/>
        <v>611.43967996341894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2.3972149693575204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2.3972149693575204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6</v>
      </c>
      <c r="FE67" s="13">
        <f>IF('Données projet'!$A$218&gt;35,FE66+FD67-FM66,IF(A67&lt;'Données projet'!$A$218,$FB$205^A67,IF(A67='Données projet'!$A$218,'Données projet'!$B$218,FE66+FD67-FM66)))</f>
        <v>240.00000000000026</v>
      </c>
      <c r="FF67" s="18">
        <f>FE67*VLOOKUP('Données projet'!$B$16,Paramètres!$A$1:$I$89,3,0)*VLOOKUP('Données projet'!$B$16,Paramètres!$A$1:$I$89,5,0)</f>
        <v>209.66400000000024</v>
      </c>
      <c r="FG67" s="14">
        <f t="shared" si="47"/>
        <v>51.862154403304579</v>
      </c>
      <c r="FH67" s="22">
        <f t="shared" si="22"/>
        <v>455.49138558575584</v>
      </c>
      <c r="FI67" s="62">
        <f t="shared" si="23"/>
        <v>748.82471891908915</v>
      </c>
      <c r="FJ67" s="62">
        <f ca="1">AVERAGE(OFFSET($FI$3,0,0,'Données projet'!$E$16+1,1))-AVERAGE(OFFSET($H$3,0,0,'Données projet'!$E$16+1,1))</f>
        <v>321.23599968992932</v>
      </c>
      <c r="FK67" s="62">
        <f t="shared" si="48"/>
        <v>388.05195847800502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16.745000000000005</v>
      </c>
      <c r="N68" s="14">
        <f>IF('Données projet'!$A$36&gt;35,N67+M68-V67,IF(A68&lt;'Données projet'!$A$36,$K$205^A68,IF(A68='Données projet'!$A$36,'Données projet'!$B$36,N67+M68-V67)))</f>
        <v>503.00000000000011</v>
      </c>
      <c r="O68" s="14">
        <f>N68*VLOOKUP('Données projet'!$B$9,Paramètres!$A$1:$I$89,3,0)*VLOOKUP('Données projet'!$B$9,Paramètres!$A$1:$I$89,5,0)</f>
        <v>281.17700000000008</v>
      </c>
      <c r="P68" s="14">
        <f t="shared" si="33"/>
        <v>67.215682058608678</v>
      </c>
      <c r="Q68" s="22">
        <f t="shared" si="54"/>
        <v>606.78392125207699</v>
      </c>
      <c r="R68" s="62">
        <f t="shared" si="55"/>
        <v>900.11725458541036</v>
      </c>
      <c r="S68" s="62">
        <f ca="1">AVERAGE(OFFSET($R$3,0,0,'Données projet'!$E$9+1,1))-AVERAGE(OFFSET($H$3,0,0,'Données projet'!$E$9+1,1))</f>
        <v>389.06620927245814</v>
      </c>
      <c r="T68" s="62">
        <f t="shared" si="34"/>
        <v>356.08144160383193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11.750069432204892</v>
      </c>
      <c r="AB68" s="23">
        <f>EXP(-LN(2)/2)*AB67+(1-EXP(-LN(2)/2))/(LN(2)/2)*V68*Y68*VLOOKUP('Données projet'!$B$9,Paramètres!$A$1:$I$89,3,0)*0.475*44/12</f>
        <v>2.7957725817246468E-5</v>
      </c>
      <c r="AC68" s="24">
        <f t="shared" ref="AC68:AC131" si="57">SUM(Z68:AB68)</f>
        <v>11.75009738993071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-5.6843418860808015E-14</v>
      </c>
      <c r="AJ68" s="14">
        <f>AI68*VLOOKUP('Données projet'!$B$10,Paramètres!$A$1:$I$89,3,0)*VLOOKUP('Données projet'!$B$10,Paramètres!$A$1:$I$89,5,0)</f>
        <v>-3.1036506698001178E-14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293.73480285950245</v>
      </c>
      <c r="AO68" s="62">
        <f t="shared" si="36"/>
        <v>425.99823184414191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8.0062998990185044</v>
      </c>
      <c r="AW68" s="23">
        <f>EXP(-LN(2)/2)*AW67+(1-EXP(-LN(2)/2))/(LN(2)/2)*AQ68*AT68*VLOOKUP('Données projet'!$B$10,Paramètres!$A$1:$I$89,3,0)*0.475*44/12</f>
        <v>1.0428085205722202E-4</v>
      </c>
      <c r="AX68" s="23">
        <f t="shared" ref="AX68:AX131" si="60">SUM(AU68:AW68)</f>
        <v>8.006404179870561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261.48719999999997</v>
      </c>
      <c r="BF68" s="14">
        <f t="shared" si="37"/>
        <v>63.039283586802391</v>
      </c>
      <c r="BG68" s="22">
        <f t="shared" ref="BG68:BG131" si="61">(BE68+BF68)*0.475*44/12</f>
        <v>565.21695891368086</v>
      </c>
      <c r="BH68" s="62">
        <f t="shared" ref="BH68:BH131" si="62">BG68+(AY68+AZ68)*44/12</f>
        <v>858.55029224701411</v>
      </c>
      <c r="BI68" s="62">
        <f ca="1">AVERAGE(OFFSET($BH$3,0,0,'Données projet'!$E$11+1,1))-AVERAGE(OFFSET($H$3,0,0,'Données projet'!$E$11+1,1))</f>
        <v>438.70522838726322</v>
      </c>
      <c r="BJ68" s="62">
        <f t="shared" si="38"/>
        <v>278.21741231699929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289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289</v>
      </c>
      <c r="BZ68" s="14">
        <f>BY68*VLOOKUP('Données projet'!$B$12,Paramètres!$A$1:$I$89,3,0)*VLOOKUP('Données projet'!$B$12,Paramètres!$A$1:$I$89,5,0)</f>
        <v>279.52080000000001</v>
      </c>
      <c r="CA68" s="14">
        <f t="shared" si="39"/>
        <v>66.865730052421583</v>
      </c>
      <c r="CB68" s="22">
        <f t="shared" ref="CB68:CB131" si="64">(BZ68+CA68)*0.475*44/12</f>
        <v>603.28987317463418</v>
      </c>
      <c r="CC68" s="62">
        <f t="shared" ref="CC68:CC131" si="65">CB68+(BT68+BU68)*44/12</f>
        <v>896.62320650796755</v>
      </c>
      <c r="CD68" s="62">
        <f ca="1">AVERAGE(OFFSET($CC$3,0,0,'Données projet'!$E$12+1,1))-AVERAGE(OFFSET($H$3,0,0,'Données projet'!$E$12+1,1))</f>
        <v>466.10838191274445</v>
      </c>
      <c r="CE68" s="62">
        <f t="shared" si="40"/>
        <v>294.45557293177131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28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356</v>
      </c>
      <c r="CR68" s="13">
        <f>VLOOKUP(A68,'Données projet'!$A$139:$I$159,9,0)</f>
        <v>6</v>
      </c>
      <c r="CS68" s="13">
        <f t="array" ref="CS68">INDEX(CR:CR,MIN(IF(ISNUMBER(CR68:CR264),ROW(CR68:CR264),"")))</f>
        <v>6</v>
      </c>
      <c r="CT68" s="13">
        <f>IF('Données projet'!$A$140&gt;35,CT67+CS68-DB67,IF(A68&lt;'Données projet'!$A$140,$CQ$205^A68,IF(A68='Données projet'!$A$140,'Données projet'!$B$140,CT67+CS68-DB67)))</f>
        <v>355.99999999999972</v>
      </c>
      <c r="CU68" s="18">
        <f>CT68*VLOOKUP('Données projet'!$B$13,Paramètres!$A$1:$I$89,3,0)*VLOOKUP('Données projet'!$B$13,Paramètres!$A$1:$I$89,5,0)</f>
        <v>261.01919999999978</v>
      </c>
      <c r="CV68" s="14">
        <f t="shared" si="41"/>
        <v>62.939580716713571</v>
      </c>
      <c r="CW68" s="22">
        <f t="shared" ref="CW68:CW131" si="67">(CU68+CV68)*0.475*44/12</f>
        <v>564.22820974827573</v>
      </c>
      <c r="CX68" s="62">
        <f t="shared" ref="CX68:CX131" si="68">CW68+(CO68+CP68)*44/12</f>
        <v>857.56154308160899</v>
      </c>
      <c r="CY68" s="62">
        <f ca="1">AVERAGE(OFFSET($CX$3,0,0,'Données projet'!$E$13+1,1))-AVERAGE(OFFSET($H$3,0,0,'Données projet'!$E$13+1,1))</f>
        <v>376.5422416541544</v>
      </c>
      <c r="CZ68" s="62">
        <f t="shared" si="42"/>
        <v>365.76175372075869</v>
      </c>
      <c r="DA68" s="16">
        <f>IF(ISNA(VLOOKUP(A68,'Données projet'!$A$139:$I$159,3,0)),0,VLOOKUP(A68,'Données projet'!$A$139:$I$159,3,0))</f>
        <v>12</v>
      </c>
      <c r="DB68" s="16">
        <f>IF(ISNA(VLOOKUP(A68,'Données projet'!$A$139:$I$159,4,0)),0,VLOOKUP(A68,'Données projet'!$A$139:$I$159,4,0))</f>
        <v>16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306</v>
      </c>
      <c r="DM68" s="13">
        <f>VLOOKUP(A68,'Données projet'!$A$165:$I$185,9,0)</f>
        <v>5.2</v>
      </c>
      <c r="DN68" s="13">
        <f t="array" ref="DN68">INDEX(DM:DM,MIN(IF(ISNUMBER(DM68:DM264),ROW(DM68:DM264),"")))</f>
        <v>5.2</v>
      </c>
      <c r="DO68" s="13">
        <f>IF('Données projet'!$A$166&gt;35,DO67+DN68-DW67,IF(A68&lt;'Données projet'!$A$166,$DL$205^A68,IF(A68='Données projet'!$A$166,'Données projet'!$B$166,DO67+DN68-DW67)))</f>
        <v>305.99999999999977</v>
      </c>
      <c r="DP68" s="18">
        <f>DO68*VLOOKUP('Données projet'!$B$14,Paramètres!$A$1:$I$89,3,0)*VLOOKUP('Données projet'!$B$14,Paramètres!$A$1:$I$89,5,0)</f>
        <v>243.45359999999982</v>
      </c>
      <c r="DQ68" s="14">
        <f t="shared" si="43"/>
        <v>59.181970343065267</v>
      </c>
      <c r="DR68" s="22">
        <f t="shared" ref="DR68:DR131" si="70">(DP68+DQ68)*0.475*44/12</f>
        <v>527.09028501417163</v>
      </c>
      <c r="DS68" s="62">
        <f t="shared" ref="DS68:DS131" si="71">DR68+(DJ68+DK68)*44/12</f>
        <v>820.423618347505</v>
      </c>
      <c r="DT68" s="62">
        <f ca="1">AVERAGE(OFFSET($DS$3,0,0,'Données projet'!$E$14+1,1))-AVERAGE(OFFSET($H$3,0,0,'Données projet'!$E$14+1,1))</f>
        <v>352.5736659365665</v>
      </c>
      <c r="DU68" s="62">
        <f t="shared" si="44"/>
        <v>343.77208530767069</v>
      </c>
      <c r="DV68" s="16">
        <f>IF(ISNA(VLOOKUP(A68,'Données projet'!$A$165:$I$185,3,0)),0,VLOOKUP(A68,'Données projet'!$A$165:$I$185,3,0))</f>
        <v>12</v>
      </c>
      <c r="DW68" s="16">
        <f>IF(ISNA(VLOOKUP(A68,'Données projet'!$A$165:$I$185,4,0)),0,VLOOKUP(A68,'Données projet'!$A$165:$I$185,4,0))</f>
        <v>13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2.2737367544323206E-13</v>
      </c>
      <c r="EK68" s="18">
        <f>EJ68*VLOOKUP('Données projet'!$B$15,Paramètres!$A$1:$I$89,3,0)*VLOOKUP('Données projet'!$B$15,Paramètres!$A$1:$I$89,5,0)</f>
        <v>2.0572770154103635E-13</v>
      </c>
      <c r="EL68" s="14">
        <f t="shared" si="45"/>
        <v>2.8416956338469711E-12</v>
      </c>
      <c r="EM68" s="22">
        <f t="shared" ref="EM68:EM131" si="73">(EK68+EL68)*0.475*44/12</f>
        <v>5.3075956424674458E-12</v>
      </c>
      <c r="EN68" s="62">
        <f t="shared" ref="EN68:EN131" si="74">EM68+(EE68+EF68)*44/12</f>
        <v>293.3333333333386</v>
      </c>
      <c r="EO68" s="62">
        <f ca="1">AVERAGE(OFFSET($EN$3,0,0,'Données projet'!$E$15+1,1))-AVERAGE(OFFSET($H$3,0,0,'Données projet'!$E$15+1,1))</f>
        <v>436.23918637269577</v>
      </c>
      <c r="EP68" s="62">
        <f t="shared" si="46"/>
        <v>611.43967996341894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2.3502070459651749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2.3502070459651749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246</v>
      </c>
      <c r="FC68" s="13">
        <f>VLOOKUP(A68,'Données projet'!$A$217:$I$237,9,0)</f>
        <v>6</v>
      </c>
      <c r="FD68" s="13">
        <f t="array" ref="FD68">INDEX(FC:FC,MIN(IF(ISNUMBER(FC68:FC264),ROW(FC68:FC264),"")))</f>
        <v>6</v>
      </c>
      <c r="FE68" s="13">
        <f>IF('Données projet'!$A$218&gt;35,FE67+FD68-FM67,IF(A68&lt;'Données projet'!$A$218,$FB$205^A68,IF(A68='Données projet'!$A$218,'Données projet'!$B$218,FE67+FD68-FM67)))</f>
        <v>246.00000000000026</v>
      </c>
      <c r="FF68" s="18">
        <f>FE68*VLOOKUP('Données projet'!$B$16,Paramètres!$A$1:$I$89,3,0)*VLOOKUP('Données projet'!$B$16,Paramètres!$A$1:$I$89,5,0)</f>
        <v>214.90560000000025</v>
      </c>
      <c r="FG68" s="14">
        <f t="shared" si="47"/>
        <v>53.006137800892375</v>
      </c>
      <c r="FH68" s="22">
        <f t="shared" ref="FH68:FH131" si="76">(FF68+FG68)*0.475*44/12</f>
        <v>466.61294333655468</v>
      </c>
      <c r="FI68" s="62">
        <f t="shared" ref="FI68:FI131" si="77">FH68+(EZ68+FA68)*44/12</f>
        <v>759.94627666988799</v>
      </c>
      <c r="FJ68" s="62">
        <f ca="1">AVERAGE(OFFSET($FI$3,0,0,'Données projet'!$E$16+1,1))-AVERAGE(OFFSET($H$3,0,0,'Données projet'!$E$16+1,1))</f>
        <v>321.23599968992932</v>
      </c>
      <c r="FK68" s="62">
        <f t="shared" si="48"/>
        <v>388.05195847800502</v>
      </c>
      <c r="FL68" s="16">
        <f>IF(ISNA(VLOOKUP(A68,'Données projet'!$A$217:$I$237,3,0)),0,VLOOKUP(A68,'Données projet'!$A$217:$I$237,3,0))</f>
        <v>11</v>
      </c>
      <c r="FM68" s="16">
        <f>IF(ISNA(VLOOKUP(A68,'Données projet'!$A$217:$I$237,4,0)),0,VLOOKUP(A68,'Données projet'!$A$217:$I$237,4,0))</f>
        <v>23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16.745000000000005</v>
      </c>
      <c r="N69" s="14">
        <f>IF('Données projet'!$A$36&gt;35,N68+M69-V68,IF(A69&lt;'Données projet'!$A$36,$K$205^A69,IF(A69='Données projet'!$A$36,'Données projet'!$B$36,N68+M69-V68)))</f>
        <v>519.74500000000012</v>
      </c>
      <c r="O69" s="14">
        <f>N69*VLOOKUP('Données projet'!$B$9,Paramètres!$A$1:$I$89,3,0)*VLOOKUP('Données projet'!$B$9,Paramètres!$A$1:$I$89,5,0)</f>
        <v>290.53745500000008</v>
      </c>
      <c r="P69" s="14">
        <f t="shared" ref="P69:P132" si="87">EXP(-1.0587+0.8836*LN(O69)+0.284)</f>
        <v>69.189065543116882</v>
      </c>
      <c r="Q69" s="22">
        <f t="shared" si="54"/>
        <v>626.52368994592871</v>
      </c>
      <c r="R69" s="62">
        <f t="shared" si="55"/>
        <v>919.85702327926197</v>
      </c>
      <c r="S69" s="62">
        <f ca="1">AVERAGE(OFFSET($R$3,0,0,'Données projet'!$E$9+1,1))-AVERAGE(OFFSET($H$3,0,0,'Données projet'!$E$9+1,1))</f>
        <v>389.06620927245814</v>
      </c>
      <c r="T69" s="62">
        <f t="shared" ref="T69:T132" si="88">$T$3</f>
        <v>356.08144160383193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11.428763165671953</v>
      </c>
      <c r="AB69" s="23">
        <f>EXP(-LN(2)/2)*AB68+(1-EXP(-LN(2)/2))/(LN(2)/2)*V69*Y69*VLOOKUP('Données projet'!$B$9,Paramètres!$A$1:$I$89,3,0)*0.475*44/12</f>
        <v>1.9769097511929189E-5</v>
      </c>
      <c r="AC69" s="24">
        <f t="shared" si="57"/>
        <v>11.428782934769465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-5.6843418860808015E-14</v>
      </c>
      <c r="AJ69" s="14">
        <f>AI69*VLOOKUP('Données projet'!$B$10,Paramètres!$A$1:$I$89,3,0)*VLOOKUP('Données projet'!$B$10,Paramètres!$A$1:$I$89,5,0)</f>
        <v>-3.1036506698001178E-14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293.73480285950245</v>
      </c>
      <c r="AO69" s="62">
        <f t="shared" ref="AO69:AO132" si="90">$AO$3</f>
        <v>425.99823184414191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7.7873672072468301</v>
      </c>
      <c r="AW69" s="23">
        <f>EXP(-LN(2)/2)*AW68+(1-EXP(-LN(2)/2))/(LN(2)/2)*AQ69*AT69*VLOOKUP('Données projet'!$B$10,Paramètres!$A$1:$I$89,3,0)*0.475*44/12</f>
        <v>7.3737697637572822E-5</v>
      </c>
      <c r="AX69" s="23">
        <f t="shared" si="60"/>
        <v>7.7874409449444677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243.57216</v>
      </c>
      <c r="BF69" s="14">
        <f t="shared" ref="BF69:BF132" si="91">EXP(-1.0587+0.8836*LN(BE69)+0.284)</f>
        <v>59.207435995642292</v>
      </c>
      <c r="BG69" s="22">
        <f t="shared" si="61"/>
        <v>527.34112969241028</v>
      </c>
      <c r="BH69" s="62">
        <f t="shared" si="62"/>
        <v>820.67446302574353</v>
      </c>
      <c r="BI69" s="62">
        <f ca="1">AVERAGE(OFFSET($BH$3,0,0,'Données projet'!$E$11+1,1))-AVERAGE(OFFSET($H$3,0,0,'Données projet'!$E$11+1,1))</f>
        <v>438.70522838726322</v>
      </c>
      <c r="BJ69" s="62">
        <f t="shared" ref="BJ69:BJ132" si="92">$BJ$3</f>
        <v>278.21741231699929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260.37024000000002</v>
      </c>
      <c r="CA69" s="14">
        <f t="shared" ref="CA69:CA132" si="93">EXP(-1.0587+0.8836*LN(BZ69)+0.284)</f>
        <v>62.801291625234725</v>
      </c>
      <c r="CB69" s="22">
        <f t="shared" si="64"/>
        <v>562.85708424728386</v>
      </c>
      <c r="CC69" s="62">
        <f t="shared" si="65"/>
        <v>856.19041758061712</v>
      </c>
      <c r="CD69" s="62">
        <f ca="1">AVERAGE(OFFSET($CC$3,0,0,'Données projet'!$E$12+1,1))-AVERAGE(OFFSET($H$3,0,0,'Données projet'!$E$12+1,1))</f>
        <v>466.10838191274445</v>
      </c>
      <c r="CE69" s="62">
        <f t="shared" ref="CE69:CE132" si="94">$CE$3</f>
        <v>294.45557293177131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5.2</v>
      </c>
      <c r="CT69" s="13">
        <f>IF('Données projet'!$A$140&gt;35,CT68+CS69-DB68,IF(A69&lt;'Données projet'!$A$140,$CQ$205^A69,IF(A69='Données projet'!$A$140,'Données projet'!$B$140,CT68+CS69-DB68)))</f>
        <v>345.1999999999997</v>
      </c>
      <c r="CU69" s="18">
        <f>CT69*VLOOKUP('Données projet'!$B$13,Paramètres!$A$1:$I$89,3,0)*VLOOKUP('Données projet'!$B$13,Paramètres!$A$1:$I$89,5,0)</f>
        <v>253.1006399999998</v>
      </c>
      <c r="CV69" s="14">
        <f t="shared" ref="CV69:CV132" si="95">EXP(-1.0587+0.8836*LN(CU69)+0.284)</f>
        <v>61.249419177028884</v>
      </c>
      <c r="CW69" s="22">
        <f t="shared" si="67"/>
        <v>547.4930197333249</v>
      </c>
      <c r="CX69" s="62">
        <f t="shared" si="68"/>
        <v>840.82635306665816</v>
      </c>
      <c r="CY69" s="62">
        <f ca="1">AVERAGE(OFFSET($CX$3,0,0,'Données projet'!$E$13+1,1))-AVERAGE(OFFSET($H$3,0,0,'Données projet'!$E$13+1,1))</f>
        <v>376.5422416541544</v>
      </c>
      <c r="CZ69" s="62">
        <f t="shared" ref="CZ69:CZ132" si="96">$CZ$3</f>
        <v>365.76175372075869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4.4000000000000004</v>
      </c>
      <c r="DO69" s="13">
        <f>IF('Données projet'!$A$166&gt;35,DO68+DN69-DW68,IF(A69&lt;'Données projet'!$A$166,$DL$205^A69,IF(A69='Données projet'!$A$166,'Données projet'!$B$166,DO68+DN69-DW68)))</f>
        <v>297.39999999999975</v>
      </c>
      <c r="DP69" s="18">
        <f>DO69*VLOOKUP('Données projet'!$B$14,Paramètres!$A$1:$I$89,3,0)*VLOOKUP('Données projet'!$B$14,Paramètres!$A$1:$I$89,5,0)</f>
        <v>236.61143999999979</v>
      </c>
      <c r="DQ69" s="14">
        <f t="shared" ref="DQ69:DQ132" si="97">EXP(-1.0587+0.8836*LN(DP69)+0.284)</f>
        <v>57.70986302809164</v>
      </c>
      <c r="DR69" s="22">
        <f t="shared" si="70"/>
        <v>512.60960277392599</v>
      </c>
      <c r="DS69" s="62">
        <f t="shared" si="71"/>
        <v>805.94293610725936</v>
      </c>
      <c r="DT69" s="62">
        <f ca="1">AVERAGE(OFFSET($DS$3,0,0,'Données projet'!$E$14+1,1))-AVERAGE(OFFSET($H$3,0,0,'Données projet'!$E$14+1,1))</f>
        <v>352.5736659365665</v>
      </c>
      <c r="DU69" s="62">
        <f t="shared" ref="DU69:DU132" si="98">$DU$3</f>
        <v>343.77208530767069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2.2737367544323206E-13</v>
      </c>
      <c r="EK69" s="18">
        <f>EJ69*VLOOKUP('Données projet'!$B$15,Paramètres!$A$1:$I$89,3,0)*VLOOKUP('Données projet'!$B$15,Paramètres!$A$1:$I$89,5,0)</f>
        <v>2.0572770154103635E-13</v>
      </c>
      <c r="EL69" s="14">
        <f t="shared" ref="EL69:EL132" si="99">EXP(-1.0587+0.8836*LN(EK69)+0.284)</f>
        <v>2.8416956338469711E-12</v>
      </c>
      <c r="EM69" s="22">
        <f t="shared" si="73"/>
        <v>5.3075956424674458E-12</v>
      </c>
      <c r="EN69" s="62">
        <f t="shared" si="74"/>
        <v>293.3333333333386</v>
      </c>
      <c r="EO69" s="62">
        <f ca="1">AVERAGE(OFFSET($EN$3,0,0,'Données projet'!$E$15+1,1))-AVERAGE(OFFSET($H$3,0,0,'Données projet'!$E$15+1,1))</f>
        <v>436.23918637269577</v>
      </c>
      <c r="EP69" s="62">
        <f t="shared" ref="EP69:EP132" si="100">$EP$3</f>
        <v>611.43967996341894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2.3041209192785512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2.3041209192785512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5.2</v>
      </c>
      <c r="FE69" s="13">
        <f>IF('Données projet'!$A$218&gt;35,FE68+FD69-FM68,IF(A69&lt;'Données projet'!$A$218,$FB$205^A69,IF(A69='Données projet'!$A$218,'Données projet'!$B$218,FE68+FD69-FM68)))</f>
        <v>228.20000000000024</v>
      </c>
      <c r="FF69" s="18">
        <f>FE69*VLOOKUP('Données projet'!$B$16,Paramètres!$A$1:$I$89,3,0)*VLOOKUP('Données projet'!$B$16,Paramètres!$A$1:$I$89,5,0)</f>
        <v>199.35552000000024</v>
      </c>
      <c r="FG69" s="14">
        <f t="shared" ref="FG69:FG132" si="101">EXP(-1.0587+0.8836*LN(FF69)+0.284)</f>
        <v>49.602503932783272</v>
      </c>
      <c r="FH69" s="22">
        <f t="shared" si="76"/>
        <v>433.60189168293124</v>
      </c>
      <c r="FI69" s="62">
        <f t="shared" si="77"/>
        <v>726.93522501626455</v>
      </c>
      <c r="FJ69" s="62">
        <f ca="1">AVERAGE(OFFSET($FI$3,0,0,'Données projet'!$E$16+1,1))-AVERAGE(OFFSET($H$3,0,0,'Données projet'!$E$16+1,1))</f>
        <v>321.23599968992932</v>
      </c>
      <c r="FK69" s="62">
        <f t="shared" ref="FK69:FK132" si="102">$FK$3</f>
        <v>388.05195847800502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16.745000000000005</v>
      </c>
      <c r="N70" s="14">
        <f>IF('Données projet'!$A$36&gt;35,N69+M70-V69,IF(A70&lt;'Données projet'!$A$36,$K$205^A70,IF(A70='Données projet'!$A$36,'Données projet'!$B$36,N69+M70-V69)))</f>
        <v>536.49000000000012</v>
      </c>
      <c r="O70" s="14">
        <f>N70*VLOOKUP('Données projet'!$B$9,Paramètres!$A$1:$I$89,3,0)*VLOOKUP('Données projet'!$B$9,Paramètres!$A$1:$I$89,5,0)</f>
        <v>299.89791000000008</v>
      </c>
      <c r="P70" s="14">
        <f t="shared" si="87"/>
        <v>71.155061066438293</v>
      </c>
      <c r="Q70" s="22">
        <f t="shared" si="54"/>
        <v>646.25059127404677</v>
      </c>
      <c r="R70" s="62">
        <f t="shared" si="55"/>
        <v>939.58392460738014</v>
      </c>
      <c r="S70" s="62">
        <f ca="1">AVERAGE(OFFSET($R$3,0,0,'Données projet'!$E$9+1,1))-AVERAGE(OFFSET($H$3,0,0,'Données projet'!$E$9+1,1))</f>
        <v>389.06620927245814</v>
      </c>
      <c r="T70" s="62">
        <f t="shared" si="88"/>
        <v>356.08144160383193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11.116243035894119</v>
      </c>
      <c r="AB70" s="23">
        <f>EXP(-LN(2)/2)*AB69+(1-EXP(-LN(2)/2))/(LN(2)/2)*V70*Y70*VLOOKUP('Données projet'!$B$9,Paramètres!$A$1:$I$89,3,0)*0.475*44/12</f>
        <v>1.3978862908623234E-5</v>
      </c>
      <c r="AC70" s="24">
        <f t="shared" si="57"/>
        <v>11.116257014757027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-5.6843418860808015E-14</v>
      </c>
      <c r="AJ70" s="14">
        <f>AI70*VLOOKUP('Données projet'!$B$10,Paramètres!$A$1:$I$89,3,0)*VLOOKUP('Données projet'!$B$10,Paramètres!$A$1:$I$89,5,0)</f>
        <v>-3.1036506698001178E-14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293.73480285950245</v>
      </c>
      <c r="AO70" s="62">
        <f t="shared" si="90"/>
        <v>425.99823184414191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7.5744212414448224</v>
      </c>
      <c r="AW70" s="23">
        <f>EXP(-LN(2)/2)*AW69+(1-EXP(-LN(2)/2))/(LN(2)/2)*AQ70*AT70*VLOOKUP('Données projet'!$B$10,Paramètres!$A$1:$I$89,3,0)*0.475*44/12</f>
        <v>5.2140426028611009E-5</v>
      </c>
      <c r="AX70" s="23">
        <f t="shared" si="60"/>
        <v>7.5744733818708507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250.99151999999995</v>
      </c>
      <c r="BF70" s="14">
        <f t="shared" si="91"/>
        <v>60.798211000769406</v>
      </c>
      <c r="BG70" s="22">
        <f t="shared" si="61"/>
        <v>543.03378149300659</v>
      </c>
      <c r="BH70" s="62">
        <f t="shared" si="62"/>
        <v>836.36711482633996</v>
      </c>
      <c r="BI70" s="62">
        <f ca="1">AVERAGE(OFFSET($BH$3,0,0,'Données projet'!$E$11+1,1))-AVERAGE(OFFSET($H$3,0,0,'Données projet'!$E$11+1,1))</f>
        <v>438.70522838726322</v>
      </c>
      <c r="BJ70" s="62">
        <f t="shared" si="92"/>
        <v>278.21741231699929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268.30127999999996</v>
      </c>
      <c r="CA70" s="14">
        <f t="shared" si="93"/>
        <v>64.488625713042012</v>
      </c>
      <c r="CB70" s="22">
        <f t="shared" si="64"/>
        <v>579.60908578354815</v>
      </c>
      <c r="CC70" s="62">
        <f t="shared" si="65"/>
        <v>872.94241911688141</v>
      </c>
      <c r="CD70" s="62">
        <f ca="1">AVERAGE(OFFSET($CC$3,0,0,'Données projet'!$E$12+1,1))-AVERAGE(OFFSET($H$3,0,0,'Données projet'!$E$12+1,1))</f>
        <v>466.10838191274445</v>
      </c>
      <c r="CE70" s="62">
        <f t="shared" si="94"/>
        <v>294.45557293177131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5.2</v>
      </c>
      <c r="CT70" s="13">
        <f>IF('Données projet'!$A$140&gt;35,CT69+CS70-DB69,IF(A70&lt;'Données projet'!$A$140,$CQ$205^A70,IF(A70='Données projet'!$A$140,'Données projet'!$B$140,CT69+CS70-DB69)))</f>
        <v>350.39999999999969</v>
      </c>
      <c r="CU70" s="18">
        <f>CT70*VLOOKUP('Données projet'!$B$13,Paramètres!$A$1:$I$89,3,0)*VLOOKUP('Données projet'!$B$13,Paramètres!$A$1:$I$89,5,0)</f>
        <v>256.91327999999976</v>
      </c>
      <c r="CV70" s="14">
        <f t="shared" si="95"/>
        <v>62.063957347667916</v>
      </c>
      <c r="CW70" s="22">
        <f t="shared" si="67"/>
        <v>555.55202171385451</v>
      </c>
      <c r="CX70" s="62">
        <f t="shared" si="68"/>
        <v>848.88535504718789</v>
      </c>
      <c r="CY70" s="62">
        <f ca="1">AVERAGE(OFFSET($CX$3,0,0,'Données projet'!$E$13+1,1))-AVERAGE(OFFSET($H$3,0,0,'Données projet'!$E$13+1,1))</f>
        <v>376.5422416541544</v>
      </c>
      <c r="CZ70" s="62">
        <f t="shared" si="96"/>
        <v>365.76175372075869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4.4000000000000004</v>
      </c>
      <c r="DO70" s="13">
        <f>IF('Données projet'!$A$166&gt;35,DO69+DN70-DW69,IF(A70&lt;'Données projet'!$A$166,$DL$205^A70,IF(A70='Données projet'!$A$166,'Données projet'!$B$166,DO69+DN70-DW69)))</f>
        <v>301.79999999999973</v>
      </c>
      <c r="DP70" s="18">
        <f>DO70*VLOOKUP('Données projet'!$B$14,Paramètres!$A$1:$I$89,3,0)*VLOOKUP('Données projet'!$B$14,Paramètres!$A$1:$I$89,5,0)</f>
        <v>240.11207999999979</v>
      </c>
      <c r="DQ70" s="14">
        <f t="shared" si="97"/>
        <v>58.463644384894735</v>
      </c>
      <c r="DR70" s="22">
        <f t="shared" si="70"/>
        <v>520.0193866370247</v>
      </c>
      <c r="DS70" s="62">
        <f t="shared" si="71"/>
        <v>813.35271997035807</v>
      </c>
      <c r="DT70" s="62">
        <f ca="1">AVERAGE(OFFSET($DS$3,0,0,'Données projet'!$E$14+1,1))-AVERAGE(OFFSET($H$3,0,0,'Données projet'!$E$14+1,1))</f>
        <v>352.5736659365665</v>
      </c>
      <c r="DU70" s="62">
        <f t="shared" si="98"/>
        <v>343.77208530767069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2.2737367544323206E-13</v>
      </c>
      <c r="EK70" s="18">
        <f>EJ70*VLOOKUP('Données projet'!$B$15,Paramètres!$A$1:$I$89,3,0)*VLOOKUP('Données projet'!$B$15,Paramètres!$A$1:$I$89,5,0)</f>
        <v>2.0572770154103635E-13</v>
      </c>
      <c r="EL70" s="14">
        <f t="shared" si="99"/>
        <v>2.8416956338469711E-12</v>
      </c>
      <c r="EM70" s="22">
        <f t="shared" si="73"/>
        <v>5.3075956424674458E-12</v>
      </c>
      <c r="EN70" s="62">
        <f t="shared" si="74"/>
        <v>293.3333333333386</v>
      </c>
      <c r="EO70" s="62">
        <f ca="1">AVERAGE(OFFSET($EN$3,0,0,'Données projet'!$E$15+1,1))-AVERAGE(OFFSET($H$3,0,0,'Données projet'!$E$15+1,1))</f>
        <v>436.23918637269577</v>
      </c>
      <c r="EP70" s="62">
        <f t="shared" si="100"/>
        <v>611.43967996341894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2.2589385134264903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2.2589385134264903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5.2</v>
      </c>
      <c r="FE70" s="13">
        <f>IF('Données projet'!$A$218&gt;35,FE69+FD70-FM69,IF(A70&lt;'Données projet'!$A$218,$FB$205^A70,IF(A70='Données projet'!$A$218,'Données projet'!$B$218,FE69+FD70-FM69)))</f>
        <v>233.40000000000023</v>
      </c>
      <c r="FF70" s="18">
        <f>FE70*VLOOKUP('Données projet'!$B$16,Paramètres!$A$1:$I$89,3,0)*VLOOKUP('Données projet'!$B$16,Paramètres!$A$1:$I$89,5,0)</f>
        <v>203.89824000000024</v>
      </c>
      <c r="FG70" s="14">
        <f t="shared" si="101"/>
        <v>50.599918019430255</v>
      </c>
      <c r="FH70" s="22">
        <f t="shared" si="76"/>
        <v>443.25095855050807</v>
      </c>
      <c r="FI70" s="62">
        <f t="shared" si="77"/>
        <v>736.58429188384139</v>
      </c>
      <c r="FJ70" s="62">
        <f ca="1">AVERAGE(OFFSET($FI$3,0,0,'Données projet'!$E$16+1,1))-AVERAGE(OFFSET($H$3,0,0,'Données projet'!$E$16+1,1))</f>
        <v>321.23599968992932</v>
      </c>
      <c r="FK70" s="62">
        <f t="shared" si="102"/>
        <v>388.05195847800502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16.745000000000005</v>
      </c>
      <c r="N71" s="14">
        <f>IF('Données projet'!$A$36&gt;35,N70+M71-V70,IF(A71&lt;'Données projet'!$A$36,$K$205^A71,IF(A71='Données projet'!$A$36,'Données projet'!$B$36,N70+M71-V70)))</f>
        <v>553.23500000000013</v>
      </c>
      <c r="O71" s="14">
        <f>N71*VLOOKUP('Données projet'!$B$9,Paramètres!$A$1:$I$89,3,0)*VLOOKUP('Données projet'!$B$9,Paramètres!$A$1:$I$89,5,0)</f>
        <v>309.25836500000008</v>
      </c>
      <c r="P71" s="14">
        <f t="shared" si="87"/>
        <v>73.113925681396637</v>
      </c>
      <c r="Q71" s="22">
        <f t="shared" si="54"/>
        <v>665.96507293676598</v>
      </c>
      <c r="R71" s="62">
        <f t="shared" si="55"/>
        <v>959.29840627009935</v>
      </c>
      <c r="S71" s="62">
        <f ca="1">AVERAGE(OFFSET($R$3,0,0,'Données projet'!$E$9+1,1))-AVERAGE(OFFSET($H$3,0,0,'Données projet'!$E$9+1,1))</f>
        <v>389.06620927245814</v>
      </c>
      <c r="T71" s="62">
        <f t="shared" si="88"/>
        <v>356.08144160383193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10.812268785499779</v>
      </c>
      <c r="AB71" s="23">
        <f>EXP(-LN(2)/2)*AB70+(1-EXP(-LN(2)/2))/(LN(2)/2)*V71*Y71*VLOOKUP('Données projet'!$B$9,Paramètres!$A$1:$I$89,3,0)*0.475*44/12</f>
        <v>9.8845487559645943E-6</v>
      </c>
      <c r="AC71" s="24">
        <f t="shared" si="57"/>
        <v>10.812278670048535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-5.6843418860808015E-14</v>
      </c>
      <c r="AJ71" s="14">
        <f>AI71*VLOOKUP('Données projet'!$B$10,Paramètres!$A$1:$I$89,3,0)*VLOOKUP('Données projet'!$B$10,Paramètres!$A$1:$I$89,5,0)</f>
        <v>-3.1036506698001178E-14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293.73480285950245</v>
      </c>
      <c r="AO71" s="62">
        <f t="shared" si="90"/>
        <v>425.99823184414191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7.3672982942760123</v>
      </c>
      <c r="AW71" s="23">
        <f>EXP(-LN(2)/2)*AW70+(1-EXP(-LN(2)/2))/(LN(2)/2)*AQ71*AT71*VLOOKUP('Données projet'!$B$10,Paramètres!$A$1:$I$89,3,0)*0.475*44/12</f>
        <v>3.6868848818786411E-5</v>
      </c>
      <c r="AX71" s="23">
        <f t="shared" si="60"/>
        <v>7.3673351631248307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258.41087999999996</v>
      </c>
      <c r="BF71" s="14">
        <f t="shared" si="91"/>
        <v>62.383521020316756</v>
      </c>
      <c r="BG71" s="22">
        <f t="shared" si="61"/>
        <v>558.71691511038489</v>
      </c>
      <c r="BH71" s="62">
        <f t="shared" si="62"/>
        <v>852.05024844371815</v>
      </c>
      <c r="BI71" s="62">
        <f ca="1">AVERAGE(OFFSET($BH$3,0,0,'Données projet'!$E$11+1,1))-AVERAGE(OFFSET($H$3,0,0,'Données projet'!$E$11+1,1))</f>
        <v>438.70522838726322</v>
      </c>
      <c r="BJ71" s="62">
        <f t="shared" si="92"/>
        <v>278.21741231699929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276.23231999999996</v>
      </c>
      <c r="CA71" s="14">
        <f t="shared" si="93"/>
        <v>66.170163093943458</v>
      </c>
      <c r="CB71" s="22">
        <f t="shared" si="64"/>
        <v>596.35099138861813</v>
      </c>
      <c r="CC71" s="62">
        <f t="shared" si="65"/>
        <v>889.6843247219515</v>
      </c>
      <c r="CD71" s="62">
        <f ca="1">AVERAGE(OFFSET($CC$3,0,0,'Données projet'!$E$12+1,1))-AVERAGE(OFFSET($H$3,0,0,'Données projet'!$E$12+1,1))</f>
        <v>466.10838191274445</v>
      </c>
      <c r="CE71" s="62">
        <f t="shared" si="94"/>
        <v>294.45557293177131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5.2</v>
      </c>
      <c r="CT71" s="13">
        <f>IF('Données projet'!$A$140&gt;35,CT70+CS71-DB70,IF(A71&lt;'Données projet'!$A$140,$CQ$205^A71,IF(A71='Données projet'!$A$140,'Données projet'!$B$140,CT70+CS71-DB70)))</f>
        <v>355.59999999999968</v>
      </c>
      <c r="CU71" s="18">
        <f>CT71*VLOOKUP('Données projet'!$B$13,Paramètres!$A$1:$I$89,3,0)*VLOOKUP('Données projet'!$B$13,Paramètres!$A$1:$I$89,5,0)</f>
        <v>260.72591999999975</v>
      </c>
      <c r="CV71" s="14">
        <f t="shared" si="95"/>
        <v>62.877089647292053</v>
      </c>
      <c r="CW71" s="22">
        <f t="shared" si="67"/>
        <v>563.60857513569988</v>
      </c>
      <c r="CX71" s="62">
        <f t="shared" si="68"/>
        <v>856.94190846903325</v>
      </c>
      <c r="CY71" s="62">
        <f ca="1">AVERAGE(OFFSET($CX$3,0,0,'Données projet'!$E$13+1,1))-AVERAGE(OFFSET($H$3,0,0,'Données projet'!$E$13+1,1))</f>
        <v>376.5422416541544</v>
      </c>
      <c r="CZ71" s="62">
        <f t="shared" si="96"/>
        <v>365.76175372075869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4.4000000000000004</v>
      </c>
      <c r="DO71" s="13">
        <f>IF('Données projet'!$A$166&gt;35,DO70+DN71-DW70,IF(A71&lt;'Données projet'!$A$166,$DL$205^A71,IF(A71='Données projet'!$A$166,'Données projet'!$B$166,DO70+DN71-DW70)))</f>
        <v>306.1999999999997</v>
      </c>
      <c r="DP71" s="18">
        <f>DO71*VLOOKUP('Données projet'!$B$14,Paramètres!$A$1:$I$89,3,0)*VLOOKUP('Données projet'!$B$14,Paramètres!$A$1:$I$89,5,0)</f>
        <v>243.6127199999998</v>
      </c>
      <c r="DQ71" s="14">
        <f t="shared" si="97"/>
        <v>59.216147598154699</v>
      </c>
      <c r="DR71" s="22">
        <f t="shared" si="70"/>
        <v>527.42694440011905</v>
      </c>
      <c r="DS71" s="62">
        <f t="shared" si="71"/>
        <v>820.76027773345231</v>
      </c>
      <c r="DT71" s="62">
        <f ca="1">AVERAGE(OFFSET($DS$3,0,0,'Données projet'!$E$14+1,1))-AVERAGE(OFFSET($H$3,0,0,'Données projet'!$E$14+1,1))</f>
        <v>352.5736659365665</v>
      </c>
      <c r="DU71" s="62">
        <f t="shared" si="98"/>
        <v>343.77208530767069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2.2737367544323206E-13</v>
      </c>
      <c r="EK71" s="18">
        <f>EJ71*VLOOKUP('Données projet'!$B$15,Paramètres!$A$1:$I$89,3,0)*VLOOKUP('Données projet'!$B$15,Paramètres!$A$1:$I$89,5,0)</f>
        <v>2.0572770154103635E-13</v>
      </c>
      <c r="EL71" s="14">
        <f t="shared" si="99"/>
        <v>2.8416956338469711E-12</v>
      </c>
      <c r="EM71" s="22">
        <f t="shared" si="73"/>
        <v>5.3075956424674458E-12</v>
      </c>
      <c r="EN71" s="62">
        <f t="shared" si="74"/>
        <v>293.3333333333386</v>
      </c>
      <c r="EO71" s="62">
        <f ca="1">AVERAGE(OFFSET($EN$3,0,0,'Données projet'!$E$15+1,1))-AVERAGE(OFFSET($H$3,0,0,'Données projet'!$E$15+1,1))</f>
        <v>436.23918637269577</v>
      </c>
      <c r="EP71" s="62">
        <f t="shared" si="100"/>
        <v>611.43967996341894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2.214642106994642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2.214642106994642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5.2</v>
      </c>
      <c r="FE71" s="13">
        <f>IF('Données projet'!$A$218&gt;35,FE70+FD71-FM70,IF(A71&lt;'Données projet'!$A$218,$FB$205^A71,IF(A71='Données projet'!$A$218,'Données projet'!$B$218,FE70+FD71-FM70)))</f>
        <v>238.60000000000022</v>
      </c>
      <c r="FF71" s="18">
        <f>FE71*VLOOKUP('Données projet'!$B$16,Paramètres!$A$1:$I$89,3,0)*VLOOKUP('Données projet'!$B$16,Paramètres!$A$1:$I$89,5,0)</f>
        <v>208.44096000000022</v>
      </c>
      <c r="FG71" s="14">
        <f t="shared" si="101"/>
        <v>51.594748621124261</v>
      </c>
      <c r="FH71" s="22">
        <f t="shared" si="76"/>
        <v>452.89552584845842</v>
      </c>
      <c r="FI71" s="62">
        <f t="shared" si="77"/>
        <v>746.22885918179168</v>
      </c>
      <c r="FJ71" s="62">
        <f ca="1">AVERAGE(OFFSET($FI$3,0,0,'Données projet'!$E$16+1,1))-AVERAGE(OFFSET($H$3,0,0,'Données projet'!$E$16+1,1))</f>
        <v>321.23599968992932</v>
      </c>
      <c r="FK71" s="62">
        <f t="shared" si="102"/>
        <v>388.05195847800502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>
        <f>VLOOKUP(A72,'Données projet'!$A$35:$I$55,2,0)</f>
        <v>569.98</v>
      </c>
      <c r="L72" s="13">
        <f>VLOOKUP(A72,'Données projet'!$A$35:$I$55,9,0)</f>
        <v>16.745000000000005</v>
      </c>
      <c r="M72" s="13">
        <f t="array" ref="M72">INDEX(L:L,MIN(IF(ISNUMBER(L72:L268),ROW(L72:L268),"")))</f>
        <v>16.745000000000005</v>
      </c>
      <c r="N72" s="14">
        <f>IF('Données projet'!$A$36&gt;35,N71+M72-V71,IF(A72&lt;'Données projet'!$A$36,$K$205^A72,IF(A72='Données projet'!$A$36,'Données projet'!$B$36,N71+M72-V71)))</f>
        <v>569.98000000000013</v>
      </c>
      <c r="O72" s="14">
        <f>N72*VLOOKUP('Données projet'!$B$9,Paramètres!$A$1:$I$89,3,0)*VLOOKUP('Données projet'!$B$9,Paramètres!$A$1:$I$89,5,0)</f>
        <v>318.61882000000008</v>
      </c>
      <c r="P72" s="14">
        <f t="shared" si="87"/>
        <v>75.065899995891868</v>
      </c>
      <c r="Q72" s="22">
        <f t="shared" si="54"/>
        <v>685.66755399284511</v>
      </c>
      <c r="R72" s="62">
        <f t="shared" si="55"/>
        <v>979.00088732617837</v>
      </c>
      <c r="S72" s="62">
        <f ca="1">AVERAGE(OFFSET($R$3,0,0,'Données projet'!$E$9+1,1))-AVERAGE(OFFSET($H$3,0,0,'Données projet'!$E$9+1,1))</f>
        <v>389.06620927245814</v>
      </c>
      <c r="T72" s="62">
        <f t="shared" si="88"/>
        <v>356.08144160383193</v>
      </c>
      <c r="U72" s="16">
        <f>IF(ISNA(VLOOKUP(A72,'Données projet'!$A$35:$I$55,3,0)),0,VLOOKUP(A72,'Données projet'!$A$35:$I$55,3,0))</f>
        <v>9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10.516606726967783</v>
      </c>
      <c r="AB72" s="23">
        <f>EXP(-LN(2)/2)*AB71+(1-EXP(-LN(2)/2))/(LN(2)/2)*V72*Y72*VLOOKUP('Données projet'!$B$9,Paramètres!$A$1:$I$89,3,0)*0.475*44/12</f>
        <v>6.989431454311617E-6</v>
      </c>
      <c r="AC72" s="24">
        <f t="shared" si="57"/>
        <v>10.516613716399238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-5.6843418860808015E-14</v>
      </c>
      <c r="AJ72" s="14">
        <f>AI72*VLOOKUP('Données projet'!$B$10,Paramètres!$A$1:$I$89,3,0)*VLOOKUP('Données projet'!$B$10,Paramètres!$A$1:$I$89,5,0)</f>
        <v>-3.1036506698001178E-14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293.73480285950245</v>
      </c>
      <c r="AO72" s="62">
        <f t="shared" si="90"/>
        <v>425.99823184414191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7.165839134989656</v>
      </c>
      <c r="AW72" s="23">
        <f>EXP(-LN(2)/2)*AW71+(1-EXP(-LN(2)/2))/(LN(2)/2)*AQ72*AT72*VLOOKUP('Données projet'!$B$10,Paramètres!$A$1:$I$89,3,0)*0.475*44/12</f>
        <v>2.6070213014305504E-5</v>
      </c>
      <c r="AX72" s="23">
        <f t="shared" si="60"/>
        <v>7.1658652052026701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265.83023999999995</v>
      </c>
      <c r="BF72" s="14">
        <f t="shared" si="91"/>
        <v>63.963540982526439</v>
      </c>
      <c r="BG72" s="22">
        <f t="shared" si="61"/>
        <v>574.39083521123348</v>
      </c>
      <c r="BH72" s="62">
        <f t="shared" si="62"/>
        <v>867.72416854456674</v>
      </c>
      <c r="BI72" s="62">
        <f ca="1">AVERAGE(OFFSET($BH$3,0,0,'Données projet'!$E$11+1,1))-AVERAGE(OFFSET($H$3,0,0,'Données projet'!$E$11+1,1))</f>
        <v>438.70522838726322</v>
      </c>
      <c r="BJ72" s="62">
        <f t="shared" si="92"/>
        <v>278.21741231699929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284.16335999999995</v>
      </c>
      <c r="CA72" s="14">
        <f t="shared" si="93"/>
        <v>67.846089314219739</v>
      </c>
      <c r="CB72" s="22">
        <f t="shared" si="64"/>
        <v>613.08312422226595</v>
      </c>
      <c r="CC72" s="62">
        <f t="shared" si="65"/>
        <v>906.41645755559921</v>
      </c>
      <c r="CD72" s="62">
        <f ca="1">AVERAGE(OFFSET($CC$3,0,0,'Données projet'!$E$12+1,1))-AVERAGE(OFFSET($H$3,0,0,'Données projet'!$E$12+1,1))</f>
        <v>466.10838191274445</v>
      </c>
      <c r="CE72" s="62">
        <f t="shared" si="94"/>
        <v>294.45557293177131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5.2</v>
      </c>
      <c r="CT72" s="13">
        <f>IF('Données projet'!$A$140&gt;35,CT71+CS72-DB71,IF(A72&lt;'Données projet'!$A$140,$CQ$205^A72,IF(A72='Données projet'!$A$140,'Données projet'!$B$140,CT71+CS72-DB71)))</f>
        <v>360.79999999999967</v>
      </c>
      <c r="CU72" s="18">
        <f>CT72*VLOOKUP('Données projet'!$B$13,Paramètres!$A$1:$I$89,3,0)*VLOOKUP('Données projet'!$B$13,Paramètres!$A$1:$I$89,5,0)</f>
        <v>264.53855999999973</v>
      </c>
      <c r="CV72" s="14">
        <f t="shared" si="95"/>
        <v>63.688839009304033</v>
      </c>
      <c r="CW72" s="22">
        <f t="shared" si="67"/>
        <v>571.66271994120405</v>
      </c>
      <c r="CX72" s="62">
        <f t="shared" si="68"/>
        <v>864.99605327453742</v>
      </c>
      <c r="CY72" s="62">
        <f ca="1">AVERAGE(OFFSET($CX$3,0,0,'Données projet'!$E$13+1,1))-AVERAGE(OFFSET($H$3,0,0,'Données projet'!$E$13+1,1))</f>
        <v>376.5422416541544</v>
      </c>
      <c r="CZ72" s="62">
        <f t="shared" si="96"/>
        <v>365.76175372075869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4.4000000000000004</v>
      </c>
      <c r="DO72" s="13">
        <f>IF('Données projet'!$A$166&gt;35,DO71+DN72-DW71,IF(A72&lt;'Données projet'!$A$166,$DL$205^A72,IF(A72='Données projet'!$A$166,'Données projet'!$B$166,DO71+DN72-DW71)))</f>
        <v>310.59999999999968</v>
      </c>
      <c r="DP72" s="18">
        <f>DO72*VLOOKUP('Données projet'!$B$14,Paramètres!$A$1:$I$89,3,0)*VLOOKUP('Données projet'!$B$14,Paramètres!$A$1:$I$89,5,0)</f>
        <v>247.11335999999974</v>
      </c>
      <c r="DQ72" s="14">
        <f t="shared" si="97"/>
        <v>59.967393156546734</v>
      </c>
      <c r="DR72" s="22">
        <f t="shared" si="70"/>
        <v>534.83231174765172</v>
      </c>
      <c r="DS72" s="62">
        <f t="shared" si="71"/>
        <v>828.16564508098509</v>
      </c>
      <c r="DT72" s="62">
        <f ca="1">AVERAGE(OFFSET($DS$3,0,0,'Données projet'!$E$14+1,1))-AVERAGE(OFFSET($H$3,0,0,'Données projet'!$E$14+1,1))</f>
        <v>352.5736659365665</v>
      </c>
      <c r="DU72" s="62">
        <f t="shared" si="98"/>
        <v>343.77208530767069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2.2737367544323206E-13</v>
      </c>
      <c r="EK72" s="18">
        <f>EJ72*VLOOKUP('Données projet'!$B$15,Paramètres!$A$1:$I$89,3,0)*VLOOKUP('Données projet'!$B$15,Paramètres!$A$1:$I$89,5,0)</f>
        <v>2.0572770154103635E-13</v>
      </c>
      <c r="EL72" s="14">
        <f t="shared" si="99"/>
        <v>2.8416956338469711E-12</v>
      </c>
      <c r="EM72" s="22">
        <f t="shared" si="73"/>
        <v>5.3075956424674458E-12</v>
      </c>
      <c r="EN72" s="62">
        <f t="shared" si="74"/>
        <v>293.3333333333386</v>
      </c>
      <c r="EO72" s="62">
        <f ca="1">AVERAGE(OFFSET($EN$3,0,0,'Données projet'!$E$15+1,1))-AVERAGE(OFFSET($H$3,0,0,'Données projet'!$E$15+1,1))</f>
        <v>436.23918637269577</v>
      </c>
      <c r="EP72" s="62">
        <f t="shared" si="100"/>
        <v>611.43967996341894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2.1712143260747823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2.1712143260747823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5.2</v>
      </c>
      <c r="FE72" s="13">
        <f>IF('Données projet'!$A$218&gt;35,FE71+FD72-FM71,IF(A72&lt;'Données projet'!$A$218,$FB$205^A72,IF(A72='Données projet'!$A$218,'Données projet'!$B$218,FE71+FD72-FM71)))</f>
        <v>243.80000000000021</v>
      </c>
      <c r="FF72" s="18">
        <f>FE72*VLOOKUP('Données projet'!$B$16,Paramètres!$A$1:$I$89,3,0)*VLOOKUP('Données projet'!$B$16,Paramètres!$A$1:$I$89,5,0)</f>
        <v>212.98368000000022</v>
      </c>
      <c r="FG72" s="14">
        <f t="shared" si="101"/>
        <v>52.587058525970413</v>
      </c>
      <c r="FH72" s="22">
        <f t="shared" si="76"/>
        <v>462.53570293273214</v>
      </c>
      <c r="FI72" s="62">
        <f t="shared" si="77"/>
        <v>755.86903626606545</v>
      </c>
      <c r="FJ72" s="62">
        <f ca="1">AVERAGE(OFFSET($FI$3,0,0,'Données projet'!$E$16+1,1))-AVERAGE(OFFSET($H$3,0,0,'Données projet'!$E$16+1,1))</f>
        <v>321.23599968992932</v>
      </c>
      <c r="FK72" s="62">
        <f t="shared" si="102"/>
        <v>388.05195847800502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586.05999999999995</v>
      </c>
      <c r="L73" s="13">
        <f>VLOOKUP(A73,'Données projet'!$A$35:$I$55,9,0)</f>
        <v>16.079999999999927</v>
      </c>
      <c r="M73" s="13">
        <f t="array" ref="M73">INDEX(L:L,MIN(IF(ISNUMBER(L73:L269),ROW(L73:L269),"")))</f>
        <v>16.079999999999927</v>
      </c>
      <c r="N73" s="14">
        <f>IF('Données projet'!$A$36&gt;35,N72+M73-V72,IF(A73&lt;'Données projet'!$A$36,$K$205^A73,IF(A73='Données projet'!$A$36,'Données projet'!$B$36,N72+M73-V72)))</f>
        <v>586.06000000000006</v>
      </c>
      <c r="O73" s="14">
        <f>N73*VLOOKUP('Données projet'!$B$9,Paramètres!$A$1:$I$89,3,0)*VLOOKUP('Données projet'!$B$9,Paramètres!$A$1:$I$89,5,0)</f>
        <v>327.60754000000003</v>
      </c>
      <c r="P73" s="14">
        <f t="shared" si="87"/>
        <v>76.934079315946775</v>
      </c>
      <c r="Q73" s="22">
        <f t="shared" si="54"/>
        <v>704.57665364194065</v>
      </c>
      <c r="R73" s="62">
        <f t="shared" si="55"/>
        <v>997.90998697527402</v>
      </c>
      <c r="S73" s="62">
        <f ca="1">AVERAGE(OFFSET($R$3,0,0,'Données projet'!$E$9+1,1))-AVERAGE(OFFSET($H$3,0,0,'Données projet'!$E$9+1,1))</f>
        <v>389.06620927245814</v>
      </c>
      <c r="T73" s="62">
        <f t="shared" si="88"/>
        <v>356.08144160383193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586.05999999999995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10.229029562974537</v>
      </c>
      <c r="AB73" s="23">
        <f>EXP(-LN(2)/2)*AB72+(1-EXP(-LN(2)/2))/(LN(2)/2)*V73*Y73*VLOOKUP('Données projet'!$B$9,Paramètres!$A$1:$I$89,3,0)*0.475*44/12</f>
        <v>4.9422743779822971E-6</v>
      </c>
      <c r="AC73" s="24">
        <f t="shared" si="57"/>
        <v>10.229034505248915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-5.6843418860808015E-14</v>
      </c>
      <c r="AJ73" s="14">
        <f>AI73*VLOOKUP('Données projet'!$B$10,Paramètres!$A$1:$I$89,3,0)*VLOOKUP('Données projet'!$B$10,Paramètres!$A$1:$I$89,5,0)</f>
        <v>-3.1036506698001178E-14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293.73480285950245</v>
      </c>
      <c r="AO73" s="62">
        <f t="shared" si="90"/>
        <v>425.99823184414191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6.9698888870082616</v>
      </c>
      <c r="AW73" s="23">
        <f>EXP(-LN(2)/2)*AW72+(1-EXP(-LN(2)/2))/(LN(2)/2)*AQ73*AT73*VLOOKUP('Données projet'!$B$10,Paramètres!$A$1:$I$89,3,0)*0.475*44/12</f>
        <v>1.8434424409393205E-5</v>
      </c>
      <c r="AX73" s="23">
        <f t="shared" si="60"/>
        <v>6.9699073214326708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273.24959999999999</v>
      </c>
      <c r="BF73" s="14">
        <f t="shared" si="91"/>
        <v>65.538435495514321</v>
      </c>
      <c r="BG73" s="22">
        <f t="shared" si="61"/>
        <v>590.05582848802067</v>
      </c>
      <c r="BH73" s="62">
        <f t="shared" si="62"/>
        <v>883.38916182135404</v>
      </c>
      <c r="BI73" s="62">
        <f ca="1">AVERAGE(OFFSET($BH$3,0,0,'Données projet'!$E$11+1,1))-AVERAGE(OFFSET($H$3,0,0,'Données projet'!$E$11+1,1))</f>
        <v>438.70522838726322</v>
      </c>
      <c r="BJ73" s="62">
        <f t="shared" si="92"/>
        <v>278.21741231699929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292.09439999999995</v>
      </c>
      <c r="CA73" s="14">
        <f t="shared" si="93"/>
        <v>69.516578973599849</v>
      </c>
      <c r="CB73" s="22">
        <f t="shared" si="64"/>
        <v>629.80578837901965</v>
      </c>
      <c r="CC73" s="62">
        <f t="shared" si="65"/>
        <v>923.13912171235302</v>
      </c>
      <c r="CD73" s="62">
        <f ca="1">AVERAGE(OFFSET($CC$3,0,0,'Données projet'!$E$12+1,1))-AVERAGE(OFFSET($H$3,0,0,'Données projet'!$E$12+1,1))</f>
        <v>466.10838191274445</v>
      </c>
      <c r="CE73" s="62">
        <f t="shared" si="94"/>
        <v>294.45557293177131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366</v>
      </c>
      <c r="CR73" s="13">
        <f>VLOOKUP(A73,'Données projet'!$A$139:$I$159,9,0)</f>
        <v>5.2</v>
      </c>
      <c r="CS73" s="13">
        <f t="array" ref="CS73">INDEX(CR:CR,MIN(IF(ISNUMBER(CR73:CR269),ROW(CR73:CR269),"")))</f>
        <v>5.2</v>
      </c>
      <c r="CT73" s="13">
        <f>IF('Données projet'!$A$140&gt;35,CT72+CS73-DB72,IF(A73&lt;'Données projet'!$A$140,$CQ$205^A73,IF(A73='Données projet'!$A$140,'Données projet'!$B$140,CT72+CS73-DB72)))</f>
        <v>365.99999999999966</v>
      </c>
      <c r="CU73" s="18">
        <f>CT73*VLOOKUP('Données projet'!$B$13,Paramètres!$A$1:$I$89,3,0)*VLOOKUP('Données projet'!$B$13,Paramètres!$A$1:$I$89,5,0)</f>
        <v>268.35119999999978</v>
      </c>
      <c r="CV73" s="14">
        <f t="shared" si="95"/>
        <v>64.499227668096069</v>
      </c>
      <c r="CW73" s="22">
        <f t="shared" si="67"/>
        <v>579.71449485526693</v>
      </c>
      <c r="CX73" s="62">
        <f t="shared" si="68"/>
        <v>873.04782818860031</v>
      </c>
      <c r="CY73" s="62">
        <f ca="1">AVERAGE(OFFSET($CX$3,0,0,'Données projet'!$E$13+1,1))-AVERAGE(OFFSET($H$3,0,0,'Données projet'!$E$13+1,1))</f>
        <v>376.5422416541544</v>
      </c>
      <c r="CZ73" s="62">
        <f t="shared" si="96"/>
        <v>365.76175372075869</v>
      </c>
      <c r="DA73" s="16">
        <f>IF(ISNA(VLOOKUP(A73,'Données projet'!$A$139:$I$159,3,0)),0,VLOOKUP(A73,'Données projet'!$A$139:$I$159,3,0))</f>
        <v>13</v>
      </c>
      <c r="DB73" s="16">
        <f>IF(ISNA(VLOOKUP(A73,'Données projet'!$A$139:$I$159,4,0)),0,VLOOKUP(A73,'Données projet'!$A$139:$I$159,4,0))</f>
        <v>15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315</v>
      </c>
      <c r="DM73" s="13">
        <f>VLOOKUP(A73,'Données projet'!$A$165:$I$185,9,0)</f>
        <v>4.4000000000000004</v>
      </c>
      <c r="DN73" s="13">
        <f t="array" ref="DN73">INDEX(DM:DM,MIN(IF(ISNUMBER(DM73:DM269),ROW(DM73:DM269),"")))</f>
        <v>4.4000000000000004</v>
      </c>
      <c r="DO73" s="13">
        <f>IF('Données projet'!$A$166&gt;35,DO72+DN73-DW72,IF(A73&lt;'Données projet'!$A$166,$DL$205^A73,IF(A73='Données projet'!$A$166,'Données projet'!$B$166,DO72+DN73-DW72)))</f>
        <v>314.99999999999966</v>
      </c>
      <c r="DP73" s="18">
        <f>DO73*VLOOKUP('Données projet'!$B$14,Paramètres!$A$1:$I$89,3,0)*VLOOKUP('Données projet'!$B$14,Paramètres!$A$1:$I$89,5,0)</f>
        <v>250.61399999999975</v>
      </c>
      <c r="DQ73" s="14">
        <f t="shared" si="97"/>
        <v>60.717400934915986</v>
      </c>
      <c r="DR73" s="22">
        <f t="shared" si="70"/>
        <v>542.23552329497818</v>
      </c>
      <c r="DS73" s="62">
        <f t="shared" si="71"/>
        <v>835.56885662831155</v>
      </c>
      <c r="DT73" s="62">
        <f ca="1">AVERAGE(OFFSET($DS$3,0,0,'Données projet'!$E$14+1,1))-AVERAGE(OFFSET($H$3,0,0,'Données projet'!$E$14+1,1))</f>
        <v>352.5736659365665</v>
      </c>
      <c r="DU73" s="62">
        <f t="shared" si="98"/>
        <v>343.77208530767069</v>
      </c>
      <c r="DV73" s="16">
        <f>IF(ISNA(VLOOKUP(A73,'Données projet'!$A$165:$I$185,3,0)),0,VLOOKUP(A73,'Données projet'!$A$165:$I$185,3,0))</f>
        <v>13</v>
      </c>
      <c r="DW73" s="16">
        <f>IF(ISNA(VLOOKUP(A73,'Données projet'!$A$165:$I$185,4,0)),0,VLOOKUP(A73,'Données projet'!$A$165:$I$185,4,0))</f>
        <v>13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2.2737367544323206E-13</v>
      </c>
      <c r="EK73" s="18">
        <f>EJ73*VLOOKUP('Données projet'!$B$15,Paramètres!$A$1:$I$89,3,0)*VLOOKUP('Données projet'!$B$15,Paramètres!$A$1:$I$89,5,0)</f>
        <v>2.0572770154103635E-13</v>
      </c>
      <c r="EL73" s="14">
        <f t="shared" si="99"/>
        <v>2.8416956338469711E-12</v>
      </c>
      <c r="EM73" s="22">
        <f t="shared" si="73"/>
        <v>5.3075956424674458E-12</v>
      </c>
      <c r="EN73" s="62">
        <f t="shared" si="74"/>
        <v>293.3333333333386</v>
      </c>
      <c r="EO73" s="62">
        <f ca="1">AVERAGE(OFFSET($EN$3,0,0,'Données projet'!$E$15+1,1))-AVERAGE(OFFSET($H$3,0,0,'Données projet'!$E$15+1,1))</f>
        <v>436.23918637269577</v>
      </c>
      <c r="EP73" s="62">
        <f t="shared" si="100"/>
        <v>611.43967996341894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2.1286381374504297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2.1286381374504297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249</v>
      </c>
      <c r="FC73" s="13">
        <f>VLOOKUP(A73,'Données projet'!$A$217:$I$237,9,0)</f>
        <v>5.2</v>
      </c>
      <c r="FD73" s="13">
        <f t="array" ref="FD73">INDEX(FC:FC,MIN(IF(ISNUMBER(FC73:FC269),ROW(FC73:FC269),"")))</f>
        <v>5.2</v>
      </c>
      <c r="FE73" s="13">
        <f>IF('Données projet'!$A$218&gt;35,FE72+FD73-FM72,IF(A73&lt;'Données projet'!$A$218,$FB$205^A73,IF(A73='Données projet'!$A$218,'Données projet'!$B$218,FE72+FD73-FM72)))</f>
        <v>249.0000000000002</v>
      </c>
      <c r="FF73" s="18">
        <f>FE73*VLOOKUP('Données projet'!$B$16,Paramètres!$A$1:$I$89,3,0)*VLOOKUP('Données projet'!$B$16,Paramètres!$A$1:$I$89,5,0)</f>
        <v>217.52640000000019</v>
      </c>
      <c r="FG73" s="14">
        <f t="shared" si="101"/>
        <v>53.576907690651304</v>
      </c>
      <c r="FH73" s="22">
        <f t="shared" si="76"/>
        <v>472.17159422788467</v>
      </c>
      <c r="FI73" s="62">
        <f t="shared" si="77"/>
        <v>765.50492756121798</v>
      </c>
      <c r="FJ73" s="62">
        <f ca="1">AVERAGE(OFFSET($FI$3,0,0,'Données projet'!$E$16+1,1))-AVERAGE(OFFSET($H$3,0,0,'Données projet'!$E$16+1,1))</f>
        <v>321.23599968992932</v>
      </c>
      <c r="FK73" s="62">
        <f t="shared" si="102"/>
        <v>388.05195847800502</v>
      </c>
      <c r="FL73" s="16">
        <f>IF(ISNA(VLOOKUP(A73,'Données projet'!$A$217:$I$237,3,0)),0,VLOOKUP(A73,'Données projet'!$A$217:$I$237,3,0))</f>
        <v>12</v>
      </c>
      <c r="FM73" s="16">
        <f>IF(ISNA(VLOOKUP(A73,'Données projet'!$A$217:$I$237,4,0)),0,VLOOKUP(A73,'Données projet'!$A$217:$I$237,4,0))</f>
        <v>249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6.3550942286383367E-14</v>
      </c>
      <c r="P74" s="14">
        <f t="shared" si="87"/>
        <v>1.0064464192543978E-12</v>
      </c>
      <c r="Q74" s="22">
        <f t="shared" si="54"/>
        <v>1.8635787380168604E-12</v>
      </c>
      <c r="R74" s="62">
        <f t="shared" si="55"/>
        <v>293.33333333333519</v>
      </c>
      <c r="S74" s="62">
        <f ca="1">AVERAGE(OFFSET($R$3,0,0,'Données projet'!$E$9+1,1))-AVERAGE(OFFSET($H$3,0,0,'Données projet'!$E$9+1,1))</f>
        <v>389.06620927245814</v>
      </c>
      <c r="T74" s="62">
        <f t="shared" si="88"/>
        <v>356.08144160383193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9.9493162116537128</v>
      </c>
      <c r="AB74" s="23">
        <f>EXP(-LN(2)/2)*AB73+(1-EXP(-LN(2)/2))/(LN(2)/2)*V74*Y74*VLOOKUP('Données projet'!$B$9,Paramètres!$A$1:$I$89,3,0)*0.475*44/12</f>
        <v>3.4947157271558085E-6</v>
      </c>
      <c r="AC74" s="24">
        <f t="shared" si="57"/>
        <v>9.9493197063694403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-5.6843418860808015E-14</v>
      </c>
      <c r="AJ74" s="14">
        <f>AI74*VLOOKUP('Données projet'!$B$10,Paramètres!$A$1:$I$89,3,0)*VLOOKUP('Données projet'!$B$10,Paramètres!$A$1:$I$89,5,0)</f>
        <v>-3.1036506698001178E-14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293.73480285950245</v>
      </c>
      <c r="AO74" s="62">
        <f t="shared" si="90"/>
        <v>425.99823184414191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6.7792969088624941</v>
      </c>
      <c r="AW74" s="23">
        <f>EXP(-LN(2)/2)*AW73+(1-EXP(-LN(2)/2))/(LN(2)/2)*AQ74*AT74*VLOOKUP('Données projet'!$B$10,Paramètres!$A$1:$I$89,3,0)*0.475*44/12</f>
        <v>1.3035106507152752E-5</v>
      </c>
      <c r="AX74" s="23">
        <f t="shared" si="60"/>
        <v>6.7793099439690012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254.79167999999996</v>
      </c>
      <c r="BF74" s="14">
        <f t="shared" si="91"/>
        <v>61.610870508448471</v>
      </c>
      <c r="BG74" s="22">
        <f t="shared" si="61"/>
        <v>551.067775468881</v>
      </c>
      <c r="BH74" s="62">
        <f t="shared" si="62"/>
        <v>844.40110880221437</v>
      </c>
      <c r="BI74" s="62">
        <f ca="1">AVERAGE(OFFSET($BH$3,0,0,'Données projet'!$E$11+1,1))-AVERAGE(OFFSET($H$3,0,0,'Données projet'!$E$11+1,1))</f>
        <v>438.70522838726322</v>
      </c>
      <c r="BJ74" s="62">
        <f t="shared" si="92"/>
        <v>278.21741231699929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281.59999999999997</v>
      </c>
      <c r="BZ74" s="14">
        <f>BY74*VLOOKUP('Données projet'!$B$12,Paramètres!$A$1:$I$89,3,0)*VLOOKUP('Données projet'!$B$12,Paramètres!$A$1:$I$89,5,0)</f>
        <v>272.36351999999999</v>
      </c>
      <c r="CA74" s="14">
        <f t="shared" si="93"/>
        <v>65.350613162347059</v>
      </c>
      <c r="CB74" s="22">
        <f t="shared" si="64"/>
        <v>588.18544859108772</v>
      </c>
      <c r="CC74" s="62">
        <f t="shared" si="65"/>
        <v>881.51878192442109</v>
      </c>
      <c r="CD74" s="62">
        <f ca="1">AVERAGE(OFFSET($CC$3,0,0,'Données projet'!$E$12+1,1))-AVERAGE(OFFSET($H$3,0,0,'Données projet'!$E$12+1,1))</f>
        <v>466.10838191274445</v>
      </c>
      <c r="CE74" s="62">
        <f t="shared" si="94"/>
        <v>294.45557293177131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4.8</v>
      </c>
      <c r="CT74" s="13">
        <f>IF('Données projet'!$A$140&gt;35,CT73+CS74-DB73,IF(A74&lt;'Données projet'!$A$140,$CQ$205^A74,IF(A74='Données projet'!$A$140,'Données projet'!$B$140,CT73+CS74-DB73)))</f>
        <v>355.79999999999967</v>
      </c>
      <c r="CU74" s="18">
        <f>CT74*VLOOKUP('Données projet'!$B$13,Paramètres!$A$1:$I$89,3,0)*VLOOKUP('Données projet'!$B$13,Paramètres!$A$1:$I$89,5,0)</f>
        <v>260.87255999999974</v>
      </c>
      <c r="CV74" s="14">
        <f t="shared" si="95"/>
        <v>62.908336204200786</v>
      </c>
      <c r="CW74" s="22">
        <f t="shared" si="67"/>
        <v>563.9183942223159</v>
      </c>
      <c r="CX74" s="62">
        <f t="shared" si="68"/>
        <v>857.25172755564927</v>
      </c>
      <c r="CY74" s="62">
        <f ca="1">AVERAGE(OFFSET($CX$3,0,0,'Données projet'!$E$13+1,1))-AVERAGE(OFFSET($H$3,0,0,'Données projet'!$E$13+1,1))</f>
        <v>376.5422416541544</v>
      </c>
      <c r="CZ74" s="62">
        <f t="shared" si="96"/>
        <v>365.76175372075869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4.2</v>
      </c>
      <c r="DO74" s="13">
        <f>IF('Données projet'!$A$166&gt;35,DO73+DN74-DW73,IF(A74&lt;'Données projet'!$A$166,$DL$205^A74,IF(A74='Données projet'!$A$166,'Données projet'!$B$166,DO73+DN74-DW73)))</f>
        <v>306.19999999999965</v>
      </c>
      <c r="DP74" s="18">
        <f>DO74*VLOOKUP('Données projet'!$B$14,Paramètres!$A$1:$I$89,3,0)*VLOOKUP('Données projet'!$B$14,Paramètres!$A$1:$I$89,5,0)</f>
        <v>243.61271999999974</v>
      </c>
      <c r="DQ74" s="14">
        <f t="shared" si="97"/>
        <v>59.216147598154699</v>
      </c>
      <c r="DR74" s="22">
        <f t="shared" si="70"/>
        <v>527.42694440011894</v>
      </c>
      <c r="DS74" s="62">
        <f t="shared" si="71"/>
        <v>820.76027773345231</v>
      </c>
      <c r="DT74" s="62">
        <f ca="1">AVERAGE(OFFSET($DS$3,0,0,'Données projet'!$E$14+1,1))-AVERAGE(OFFSET($H$3,0,0,'Données projet'!$E$14+1,1))</f>
        <v>352.5736659365665</v>
      </c>
      <c r="DU74" s="62">
        <f t="shared" si="98"/>
        <v>343.77208530767069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2.2737367544323206E-13</v>
      </c>
      <c r="EK74" s="18">
        <f>EJ74*VLOOKUP('Données projet'!$B$15,Paramètres!$A$1:$I$89,3,0)*VLOOKUP('Données projet'!$B$15,Paramètres!$A$1:$I$89,5,0)</f>
        <v>2.0572770154103635E-13</v>
      </c>
      <c r="EL74" s="14">
        <f t="shared" si="99"/>
        <v>2.8416956338469711E-12</v>
      </c>
      <c r="EM74" s="22">
        <f t="shared" si="73"/>
        <v>5.3075956424674458E-12</v>
      </c>
      <c r="EN74" s="62">
        <f t="shared" si="74"/>
        <v>293.3333333333386</v>
      </c>
      <c r="EO74" s="62">
        <f ca="1">AVERAGE(OFFSET($EN$3,0,0,'Données projet'!$E$15+1,1))-AVERAGE(OFFSET($H$3,0,0,'Données projet'!$E$15+1,1))</f>
        <v>436.23918637269577</v>
      </c>
      <c r="EP74" s="62">
        <f t="shared" si="100"/>
        <v>611.43967996341894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2.08689684191609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2.08689684191609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1.9895196601282805E-13</v>
      </c>
      <c r="FF74" s="18">
        <f>FE74*VLOOKUP('Données projet'!$B$16,Paramètres!$A$1:$I$89,3,0)*VLOOKUP('Données projet'!$B$16,Paramètres!$A$1:$I$89,5,0)</f>
        <v>1.738044375088066E-13</v>
      </c>
      <c r="FG74" s="14">
        <f t="shared" si="101"/>
        <v>2.4483293633950478E-12</v>
      </c>
      <c r="FH74" s="22">
        <f t="shared" si="76"/>
        <v>4.566883036574213E-12</v>
      </c>
      <c r="FI74" s="62">
        <f t="shared" si="77"/>
        <v>293.33333333333786</v>
      </c>
      <c r="FJ74" s="62">
        <f ca="1">AVERAGE(OFFSET($FI$3,0,0,'Données projet'!$E$16+1,1))-AVERAGE(OFFSET($H$3,0,0,'Données projet'!$E$16+1,1))</f>
        <v>321.23599968992932</v>
      </c>
      <c r="FK74" s="62">
        <f t="shared" si="102"/>
        <v>388.05195847800502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6.3550942286383367E-14</v>
      </c>
      <c r="P75" s="14">
        <f t="shared" si="87"/>
        <v>1.0064464192543978E-12</v>
      </c>
      <c r="Q75" s="22">
        <f t="shared" si="54"/>
        <v>1.8635787380168604E-12</v>
      </c>
      <c r="R75" s="62">
        <f t="shared" si="55"/>
        <v>293.33333333333519</v>
      </c>
      <c r="S75" s="62">
        <f ca="1">AVERAGE(OFFSET($R$3,0,0,'Données projet'!$E$9+1,1))-AVERAGE(OFFSET($H$3,0,0,'Données projet'!$E$9+1,1))</f>
        <v>389.06620927245814</v>
      </c>
      <c r="T75" s="62">
        <f t="shared" si="88"/>
        <v>356.08144160383193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9.6772516366342423</v>
      </c>
      <c r="AB75" s="23">
        <f>EXP(-LN(2)/2)*AB74+(1-EXP(-LN(2)/2))/(LN(2)/2)*V75*Y75*VLOOKUP('Données projet'!$B$9,Paramètres!$A$1:$I$89,3,0)*0.475*44/12</f>
        <v>2.4711371889911486E-6</v>
      </c>
      <c r="AC75" s="24">
        <f t="shared" si="57"/>
        <v>9.6772541077714305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-5.6843418860808015E-14</v>
      </c>
      <c r="AJ75" s="14">
        <f>AI75*VLOOKUP('Données projet'!$B$10,Paramètres!$A$1:$I$89,3,0)*VLOOKUP('Données projet'!$B$10,Paramètres!$A$1:$I$89,5,0)</f>
        <v>-3.1036506698001178E-14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293.73480285950245</v>
      </c>
      <c r="AO75" s="62">
        <f t="shared" si="90"/>
        <v>425.99823184414191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6.5939166783819188</v>
      </c>
      <c r="AW75" s="23">
        <f>EXP(-LN(2)/2)*AW74+(1-EXP(-LN(2)/2))/(LN(2)/2)*AQ75*AT75*VLOOKUP('Données projet'!$B$10,Paramètres!$A$1:$I$89,3,0)*0.475*44/12</f>
        <v>9.2172122046966027E-6</v>
      </c>
      <c r="AX75" s="23">
        <f t="shared" si="60"/>
        <v>6.5939258955941238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261.66816</v>
      </c>
      <c r="BF75" s="14">
        <f t="shared" si="91"/>
        <v>63.077829793082856</v>
      </c>
      <c r="BG75" s="22">
        <f t="shared" si="61"/>
        <v>565.5992655562859</v>
      </c>
      <c r="BH75" s="62">
        <f t="shared" si="62"/>
        <v>858.93259888961916</v>
      </c>
      <c r="BI75" s="62">
        <f ca="1">AVERAGE(OFFSET($BH$3,0,0,'Données projet'!$E$11+1,1))-AVERAGE(OFFSET($H$3,0,0,'Données projet'!$E$11+1,1))</f>
        <v>438.70522838726322</v>
      </c>
      <c r="BJ75" s="62">
        <f t="shared" si="92"/>
        <v>278.21741231699929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289.2</v>
      </c>
      <c r="BZ75" s="14">
        <f>BY75*VLOOKUP('Données projet'!$B$12,Paramètres!$A$1:$I$89,3,0)*VLOOKUP('Données projet'!$B$12,Paramètres!$A$1:$I$89,5,0)</f>
        <v>279.71424000000002</v>
      </c>
      <c r="CA75" s="14">
        <f t="shared" si="93"/>
        <v>66.906615990158315</v>
      </c>
      <c r="CB75" s="22">
        <f t="shared" si="64"/>
        <v>603.69799084952581</v>
      </c>
      <c r="CC75" s="62">
        <f t="shared" si="65"/>
        <v>897.03132418285918</v>
      </c>
      <c r="CD75" s="62">
        <f ca="1">AVERAGE(OFFSET($CC$3,0,0,'Données projet'!$E$12+1,1))-AVERAGE(OFFSET($H$3,0,0,'Données projet'!$E$12+1,1))</f>
        <v>466.10838191274445</v>
      </c>
      <c r="CE75" s="62">
        <f t="shared" si="94"/>
        <v>294.45557293177131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4.8</v>
      </c>
      <c r="CT75" s="13">
        <f>IF('Données projet'!$A$140&gt;35,CT74+CS75-DB74,IF(A75&lt;'Données projet'!$A$140,$CQ$205^A75,IF(A75='Données projet'!$A$140,'Données projet'!$B$140,CT74+CS75-DB74)))</f>
        <v>360.59999999999968</v>
      </c>
      <c r="CU75" s="18">
        <f>CT75*VLOOKUP('Données projet'!$B$13,Paramètres!$A$1:$I$89,3,0)*VLOOKUP('Données projet'!$B$13,Paramètres!$A$1:$I$89,5,0)</f>
        <v>264.39191999999974</v>
      </c>
      <c r="CV75" s="14">
        <f t="shared" si="95"/>
        <v>63.657643181110089</v>
      </c>
      <c r="CW75" s="22">
        <f t="shared" si="67"/>
        <v>571.35298920709954</v>
      </c>
      <c r="CX75" s="62">
        <f t="shared" si="68"/>
        <v>864.68632254043291</v>
      </c>
      <c r="CY75" s="62">
        <f ca="1">AVERAGE(OFFSET($CX$3,0,0,'Données projet'!$E$13+1,1))-AVERAGE(OFFSET($H$3,0,0,'Données projet'!$E$13+1,1))</f>
        <v>376.5422416541544</v>
      </c>
      <c r="CZ75" s="62">
        <f t="shared" si="96"/>
        <v>365.76175372075869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4.2</v>
      </c>
      <c r="DO75" s="13">
        <f>IF('Données projet'!$A$166&gt;35,DO74+DN75-DW74,IF(A75&lt;'Données projet'!$A$166,$DL$205^A75,IF(A75='Données projet'!$A$166,'Données projet'!$B$166,DO74+DN75-DW74)))</f>
        <v>310.39999999999964</v>
      </c>
      <c r="DP75" s="18">
        <f>DO75*VLOOKUP('Données projet'!$B$14,Paramètres!$A$1:$I$89,3,0)*VLOOKUP('Données projet'!$B$14,Paramètres!$A$1:$I$89,5,0)</f>
        <v>246.95423999999971</v>
      </c>
      <c r="DQ75" s="14">
        <f t="shared" si="97"/>
        <v>59.933272631878836</v>
      </c>
      <c r="DR75" s="22">
        <f t="shared" si="70"/>
        <v>534.49575116718847</v>
      </c>
      <c r="DS75" s="62">
        <f t="shared" si="71"/>
        <v>827.82908450052173</v>
      </c>
      <c r="DT75" s="62">
        <f ca="1">AVERAGE(OFFSET($DS$3,0,0,'Données projet'!$E$14+1,1))-AVERAGE(OFFSET($H$3,0,0,'Données projet'!$E$14+1,1))</f>
        <v>352.5736659365665</v>
      </c>
      <c r="DU75" s="62">
        <f t="shared" si="98"/>
        <v>343.77208530767069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2.2737367544323206E-13</v>
      </c>
      <c r="EK75" s="18">
        <f>EJ75*VLOOKUP('Données projet'!$B$15,Paramètres!$A$1:$I$89,3,0)*VLOOKUP('Données projet'!$B$15,Paramètres!$A$1:$I$89,5,0)</f>
        <v>2.0572770154103635E-13</v>
      </c>
      <c r="EL75" s="14">
        <f t="shared" si="99"/>
        <v>2.8416956338469711E-12</v>
      </c>
      <c r="EM75" s="22">
        <f t="shared" si="73"/>
        <v>5.3075956424674458E-12</v>
      </c>
      <c r="EN75" s="62">
        <f t="shared" si="74"/>
        <v>293.3333333333386</v>
      </c>
      <c r="EO75" s="62">
        <f ca="1">AVERAGE(OFFSET($EN$3,0,0,'Données projet'!$E$15+1,1))-AVERAGE(OFFSET($H$3,0,0,'Données projet'!$E$15+1,1))</f>
        <v>436.23918637269577</v>
      </c>
      <c r="EP75" s="62">
        <f t="shared" si="100"/>
        <v>611.43967996341894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2.0459740677275025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2.0459740677275025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1.9895196601282805E-13</v>
      </c>
      <c r="FF75" s="18">
        <f>FE75*VLOOKUP('Données projet'!$B$16,Paramètres!$A$1:$I$89,3,0)*VLOOKUP('Données projet'!$B$16,Paramètres!$A$1:$I$89,5,0)</f>
        <v>1.738044375088066E-13</v>
      </c>
      <c r="FG75" s="14">
        <f t="shared" si="101"/>
        <v>2.4483293633950478E-12</v>
      </c>
      <c r="FH75" s="22">
        <f t="shared" si="76"/>
        <v>4.566883036574213E-12</v>
      </c>
      <c r="FI75" s="62">
        <f t="shared" si="77"/>
        <v>293.33333333333786</v>
      </c>
      <c r="FJ75" s="62">
        <f ca="1">AVERAGE(OFFSET($FI$3,0,0,'Données projet'!$E$16+1,1))-AVERAGE(OFFSET($H$3,0,0,'Données projet'!$E$16+1,1))</f>
        <v>321.23599968992932</v>
      </c>
      <c r="FK75" s="62">
        <f t="shared" si="102"/>
        <v>388.05195847800502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6.3550942286383367E-14</v>
      </c>
      <c r="P76" s="14">
        <f t="shared" si="87"/>
        <v>1.0064464192543978E-12</v>
      </c>
      <c r="Q76" s="22">
        <f t="shared" si="54"/>
        <v>1.8635787380168604E-12</v>
      </c>
      <c r="R76" s="62">
        <f t="shared" si="55"/>
        <v>293.33333333333519</v>
      </c>
      <c r="S76" s="62">
        <f ca="1">AVERAGE(OFFSET($R$3,0,0,'Données projet'!$E$9+1,1))-AVERAGE(OFFSET($H$3,0,0,'Données projet'!$E$9+1,1))</f>
        <v>389.06620927245814</v>
      </c>
      <c r="T76" s="62">
        <f t="shared" si="88"/>
        <v>356.08144160383193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9.4126266817259339</v>
      </c>
      <c r="AB76" s="23">
        <f>EXP(-LN(2)/2)*AB75+(1-EXP(-LN(2)/2))/(LN(2)/2)*V76*Y76*VLOOKUP('Données projet'!$B$9,Paramètres!$A$1:$I$89,3,0)*0.475*44/12</f>
        <v>1.7473578635779042E-6</v>
      </c>
      <c r="AC76" s="24">
        <f t="shared" si="57"/>
        <v>9.4126284290837976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-5.6843418860808015E-14</v>
      </c>
      <c r="AJ76" s="14">
        <f>AI76*VLOOKUP('Données projet'!$B$10,Paramètres!$A$1:$I$89,3,0)*VLOOKUP('Données projet'!$B$10,Paramètres!$A$1:$I$89,5,0)</f>
        <v>-3.1036506698001178E-14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293.73480285950245</v>
      </c>
      <c r="AO76" s="62">
        <f t="shared" si="90"/>
        <v>425.99823184414191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6.4136056800525578</v>
      </c>
      <c r="AW76" s="23">
        <f>EXP(-LN(2)/2)*AW75+(1-EXP(-LN(2)/2))/(LN(2)/2)*AQ76*AT76*VLOOKUP('Données projet'!$B$10,Paramètres!$A$1:$I$89,3,0)*0.475*44/12</f>
        <v>6.5175532535763761E-6</v>
      </c>
      <c r="AX76" s="23">
        <f t="shared" si="60"/>
        <v>6.4136121976058114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268.54464000000002</v>
      </c>
      <c r="BF76" s="14">
        <f t="shared" si="91"/>
        <v>64.54030807605065</v>
      </c>
      <c r="BG76" s="22">
        <f t="shared" si="61"/>
        <v>580.12295123245474</v>
      </c>
      <c r="BH76" s="62">
        <f t="shared" si="62"/>
        <v>873.45628456578811</v>
      </c>
      <c r="BI76" s="62">
        <f ca="1">AVERAGE(OFFSET($BH$3,0,0,'Données projet'!$E$11+1,1))-AVERAGE(OFFSET($H$3,0,0,'Données projet'!$E$11+1,1))</f>
        <v>438.70522838726322</v>
      </c>
      <c r="BJ76" s="62">
        <f t="shared" si="92"/>
        <v>278.21741231699929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296.8</v>
      </c>
      <c r="BZ76" s="14">
        <f>BY76*VLOOKUP('Données projet'!$B$12,Paramètres!$A$1:$I$89,3,0)*VLOOKUP('Données projet'!$B$12,Paramètres!$A$1:$I$89,5,0)</f>
        <v>287.06496000000004</v>
      </c>
      <c r="CA76" s="14">
        <f t="shared" si="93"/>
        <v>68.457865822206315</v>
      </c>
      <c r="CB76" s="22">
        <f t="shared" si="64"/>
        <v>619.20225497367608</v>
      </c>
      <c r="CC76" s="62">
        <f t="shared" si="65"/>
        <v>912.53558830700945</v>
      </c>
      <c r="CD76" s="62">
        <f ca="1">AVERAGE(OFFSET($CC$3,0,0,'Données projet'!$E$12+1,1))-AVERAGE(OFFSET($H$3,0,0,'Données projet'!$E$12+1,1))</f>
        <v>466.10838191274445</v>
      </c>
      <c r="CE76" s="62">
        <f t="shared" si="94"/>
        <v>294.45557293177131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4.8</v>
      </c>
      <c r="CT76" s="13">
        <f>IF('Données projet'!$A$140&gt;35,CT75+CS76-DB75,IF(A76&lt;'Données projet'!$A$140,$CQ$205^A76,IF(A76='Données projet'!$A$140,'Données projet'!$B$140,CT75+CS76-DB75)))</f>
        <v>365.39999999999969</v>
      </c>
      <c r="CU76" s="18">
        <f>CT76*VLOOKUP('Données projet'!$B$13,Paramètres!$A$1:$I$89,3,0)*VLOOKUP('Données projet'!$B$13,Paramètres!$A$1:$I$89,5,0)</f>
        <v>267.91127999999981</v>
      </c>
      <c r="CV76" s="14">
        <f t="shared" si="95"/>
        <v>64.405790031310872</v>
      </c>
      <c r="CW76" s="22">
        <f t="shared" si="67"/>
        <v>578.78556363786606</v>
      </c>
      <c r="CX76" s="62">
        <f t="shared" si="68"/>
        <v>872.11889697119932</v>
      </c>
      <c r="CY76" s="62">
        <f ca="1">AVERAGE(OFFSET($CX$3,0,0,'Données projet'!$E$13+1,1))-AVERAGE(OFFSET($H$3,0,0,'Données projet'!$E$13+1,1))</f>
        <v>376.5422416541544</v>
      </c>
      <c r="CZ76" s="62">
        <f t="shared" si="96"/>
        <v>365.76175372075869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4.2</v>
      </c>
      <c r="DO76" s="13">
        <f>IF('Données projet'!$A$166&gt;35,DO75+DN76-DW75,IF(A76&lt;'Données projet'!$A$166,$DL$205^A76,IF(A76='Données projet'!$A$166,'Données projet'!$B$166,DO75+DN76-DW75)))</f>
        <v>314.59999999999962</v>
      </c>
      <c r="DP76" s="18">
        <f>DO76*VLOOKUP('Données projet'!$B$14,Paramètres!$A$1:$I$89,3,0)*VLOOKUP('Données projet'!$B$14,Paramètres!$A$1:$I$89,5,0)</f>
        <v>250.29575999999969</v>
      </c>
      <c r="DQ76" s="14">
        <f t="shared" si="97"/>
        <v>60.649269046250886</v>
      </c>
      <c r="DR76" s="22">
        <f t="shared" si="70"/>
        <v>541.56259225555311</v>
      </c>
      <c r="DS76" s="62">
        <f t="shared" si="71"/>
        <v>834.89592558888648</v>
      </c>
      <c r="DT76" s="62">
        <f ca="1">AVERAGE(OFFSET($DS$3,0,0,'Données projet'!$E$14+1,1))-AVERAGE(OFFSET($H$3,0,0,'Données projet'!$E$14+1,1))</f>
        <v>352.5736659365665</v>
      </c>
      <c r="DU76" s="62">
        <f t="shared" si="98"/>
        <v>343.77208530767069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2.2737367544323206E-13</v>
      </c>
      <c r="EK76" s="18">
        <f>EJ76*VLOOKUP('Données projet'!$B$15,Paramètres!$A$1:$I$89,3,0)*VLOOKUP('Données projet'!$B$15,Paramètres!$A$1:$I$89,5,0)</f>
        <v>2.0572770154103635E-13</v>
      </c>
      <c r="EL76" s="14">
        <f t="shared" si="99"/>
        <v>2.8416956338469711E-12</v>
      </c>
      <c r="EM76" s="22">
        <f t="shared" si="73"/>
        <v>5.3075956424674458E-12</v>
      </c>
      <c r="EN76" s="62">
        <f t="shared" si="74"/>
        <v>293.3333333333386</v>
      </c>
      <c r="EO76" s="62">
        <f ca="1">AVERAGE(OFFSET($EN$3,0,0,'Données projet'!$E$15+1,1))-AVERAGE(OFFSET($H$3,0,0,'Données projet'!$E$15+1,1))</f>
        <v>436.23918637269577</v>
      </c>
      <c r="EP76" s="62">
        <f t="shared" si="100"/>
        <v>611.43967996341894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2.0058537641803253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2.0058537641803253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1.9895196601282805E-13</v>
      </c>
      <c r="FF76" s="18">
        <f>FE76*VLOOKUP('Données projet'!$B$16,Paramètres!$A$1:$I$89,3,0)*VLOOKUP('Données projet'!$B$16,Paramètres!$A$1:$I$89,5,0)</f>
        <v>1.738044375088066E-13</v>
      </c>
      <c r="FG76" s="14">
        <f t="shared" si="101"/>
        <v>2.4483293633950478E-12</v>
      </c>
      <c r="FH76" s="22">
        <f t="shared" si="76"/>
        <v>4.566883036574213E-12</v>
      </c>
      <c r="FI76" s="62">
        <f t="shared" si="77"/>
        <v>293.33333333333786</v>
      </c>
      <c r="FJ76" s="62">
        <f ca="1">AVERAGE(OFFSET($FI$3,0,0,'Données projet'!$E$16+1,1))-AVERAGE(OFFSET($H$3,0,0,'Données projet'!$E$16+1,1))</f>
        <v>321.23599968992932</v>
      </c>
      <c r="FK76" s="62">
        <f t="shared" si="102"/>
        <v>388.05195847800502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6.3550942286383367E-14</v>
      </c>
      <c r="P77" s="14">
        <f t="shared" si="87"/>
        <v>1.0064464192543978E-12</v>
      </c>
      <c r="Q77" s="22">
        <f t="shared" si="54"/>
        <v>1.8635787380168604E-12</v>
      </c>
      <c r="R77" s="62">
        <f t="shared" si="55"/>
        <v>293.33333333333519</v>
      </c>
      <c r="S77" s="62">
        <f ca="1">AVERAGE(OFFSET($R$3,0,0,'Données projet'!$E$9+1,1))-AVERAGE(OFFSET($H$3,0,0,'Données projet'!$E$9+1,1))</f>
        <v>389.06620927245814</v>
      </c>
      <c r="T77" s="62">
        <f t="shared" si="88"/>
        <v>356.08144160383193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9.1552379101256136</v>
      </c>
      <c r="AB77" s="23">
        <f>EXP(-LN(2)/2)*AB76+(1-EXP(-LN(2)/2))/(LN(2)/2)*V77*Y77*VLOOKUP('Données projet'!$B$9,Paramètres!$A$1:$I$89,3,0)*0.475*44/12</f>
        <v>1.2355685944955743E-6</v>
      </c>
      <c r="AC77" s="24">
        <f t="shared" si="57"/>
        <v>9.1552391456942086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-5.6843418860808015E-14</v>
      </c>
      <c r="AJ77" s="14">
        <f>AI77*VLOOKUP('Données projet'!$B$10,Paramètres!$A$1:$I$89,3,0)*VLOOKUP('Données projet'!$B$10,Paramètres!$A$1:$I$89,5,0)</f>
        <v>-3.1036506698001178E-14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293.73480285950245</v>
      </c>
      <c r="AO77" s="62">
        <f t="shared" si="90"/>
        <v>425.99823184414191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6.2382252954546562</v>
      </c>
      <c r="AW77" s="23">
        <f>EXP(-LN(2)/2)*AW76+(1-EXP(-LN(2)/2))/(LN(2)/2)*AQ77*AT77*VLOOKUP('Données projet'!$B$10,Paramètres!$A$1:$I$89,3,0)*0.475*44/12</f>
        <v>4.6086061023483013E-6</v>
      </c>
      <c r="AX77" s="23">
        <f t="shared" si="60"/>
        <v>6.2382299040607583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275.42112000000003</v>
      </c>
      <c r="BF77" s="14">
        <f t="shared" si="91"/>
        <v>65.998433293601067</v>
      </c>
      <c r="BG77" s="22">
        <f t="shared" si="61"/>
        <v>594.63905531968851</v>
      </c>
      <c r="BH77" s="62">
        <f t="shared" si="62"/>
        <v>887.97238865302188</v>
      </c>
      <c r="BI77" s="62">
        <f ca="1">AVERAGE(OFFSET($BH$3,0,0,'Données projet'!$E$11+1,1))-AVERAGE(OFFSET($H$3,0,0,'Données projet'!$E$11+1,1))</f>
        <v>438.70522838726322</v>
      </c>
      <c r="BJ77" s="62">
        <f t="shared" si="92"/>
        <v>278.21741231699929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304.40000000000003</v>
      </c>
      <c r="BZ77" s="14">
        <f>BY77*VLOOKUP('Données projet'!$B$12,Paramètres!$A$1:$I$89,3,0)*VLOOKUP('Données projet'!$B$12,Paramètres!$A$1:$I$89,5,0)</f>
        <v>294.41568000000001</v>
      </c>
      <c r="CA77" s="14">
        <f t="shared" si="93"/>
        <v>70.004498360393455</v>
      </c>
      <c r="CB77" s="22">
        <f t="shared" si="64"/>
        <v>634.69847731101868</v>
      </c>
      <c r="CC77" s="62">
        <f t="shared" si="65"/>
        <v>928.03181064435194</v>
      </c>
      <c r="CD77" s="62">
        <f ca="1">AVERAGE(OFFSET($CC$3,0,0,'Données projet'!$E$12+1,1))-AVERAGE(OFFSET($H$3,0,0,'Données projet'!$E$12+1,1))</f>
        <v>466.10838191274445</v>
      </c>
      <c r="CE77" s="62">
        <f t="shared" si="94"/>
        <v>294.45557293177131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4.8</v>
      </c>
      <c r="CT77" s="13">
        <f>IF('Données projet'!$A$140&gt;35,CT76+CS77-DB76,IF(A77&lt;'Données projet'!$A$140,$CQ$205^A77,IF(A77='Données projet'!$A$140,'Données projet'!$B$140,CT76+CS77-DB76)))</f>
        <v>370.1999999999997</v>
      </c>
      <c r="CU77" s="18">
        <f>CT77*VLOOKUP('Données projet'!$B$13,Paramètres!$A$1:$I$89,3,0)*VLOOKUP('Données projet'!$B$13,Paramètres!$A$1:$I$89,5,0)</f>
        <v>271.43063999999981</v>
      </c>
      <c r="CV77" s="14">
        <f t="shared" si="95"/>
        <v>65.152793756453633</v>
      </c>
      <c r="CW77" s="22">
        <f t="shared" si="67"/>
        <v>586.21614712582311</v>
      </c>
      <c r="CX77" s="62">
        <f t="shared" si="68"/>
        <v>879.54948045915648</v>
      </c>
      <c r="CY77" s="62">
        <f ca="1">AVERAGE(OFFSET($CX$3,0,0,'Données projet'!$E$13+1,1))-AVERAGE(OFFSET($H$3,0,0,'Données projet'!$E$13+1,1))</f>
        <v>376.5422416541544</v>
      </c>
      <c r="CZ77" s="62">
        <f t="shared" si="96"/>
        <v>365.76175372075869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4.2</v>
      </c>
      <c r="DO77" s="13">
        <f>IF('Données projet'!$A$166&gt;35,DO76+DN77-DW76,IF(A77&lt;'Données projet'!$A$166,$DL$205^A77,IF(A77='Données projet'!$A$166,'Données projet'!$B$166,DO76+DN77-DW76)))</f>
        <v>318.79999999999961</v>
      </c>
      <c r="DP77" s="18">
        <f>DO77*VLOOKUP('Données projet'!$B$14,Paramètres!$A$1:$I$89,3,0)*VLOOKUP('Données projet'!$B$14,Paramètres!$A$1:$I$89,5,0)</f>
        <v>253.63727999999969</v>
      </c>
      <c r="DQ77" s="14">
        <f t="shared" si="97"/>
        <v>61.364153650447946</v>
      </c>
      <c r="DR77" s="22">
        <f t="shared" si="70"/>
        <v>548.62749694119634</v>
      </c>
      <c r="DS77" s="62">
        <f t="shared" si="71"/>
        <v>841.9608302745296</v>
      </c>
      <c r="DT77" s="62">
        <f ca="1">AVERAGE(OFFSET($DS$3,0,0,'Données projet'!$E$14+1,1))-AVERAGE(OFFSET($H$3,0,0,'Données projet'!$E$14+1,1))</f>
        <v>352.5736659365665</v>
      </c>
      <c r="DU77" s="62">
        <f t="shared" si="98"/>
        <v>343.77208530767069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2.2737367544323206E-13</v>
      </c>
      <c r="EK77" s="18">
        <f>EJ77*VLOOKUP('Données projet'!$B$15,Paramètres!$A$1:$I$89,3,0)*VLOOKUP('Données projet'!$B$15,Paramètres!$A$1:$I$89,5,0)</f>
        <v>2.0572770154103635E-13</v>
      </c>
      <c r="EL77" s="14">
        <f t="shared" si="99"/>
        <v>2.8416956338469711E-12</v>
      </c>
      <c r="EM77" s="22">
        <f t="shared" si="73"/>
        <v>5.3075956424674458E-12</v>
      </c>
      <c r="EN77" s="62">
        <f t="shared" si="74"/>
        <v>293.3333333333386</v>
      </c>
      <c r="EO77" s="62">
        <f ca="1">AVERAGE(OFFSET($EN$3,0,0,'Données projet'!$E$15+1,1))-AVERAGE(OFFSET($H$3,0,0,'Données projet'!$E$15+1,1))</f>
        <v>436.23918637269577</v>
      </c>
      <c r="EP77" s="62">
        <f t="shared" si="100"/>
        <v>611.43967996341894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1.9665201953147398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1.9665201953147398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1.9895196601282805E-13</v>
      </c>
      <c r="FF77" s="18">
        <f>FE77*VLOOKUP('Données projet'!$B$16,Paramètres!$A$1:$I$89,3,0)*VLOOKUP('Données projet'!$B$16,Paramètres!$A$1:$I$89,5,0)</f>
        <v>1.738044375088066E-13</v>
      </c>
      <c r="FG77" s="14">
        <f t="shared" si="101"/>
        <v>2.4483293633950478E-12</v>
      </c>
      <c r="FH77" s="22">
        <f t="shared" si="76"/>
        <v>4.566883036574213E-12</v>
      </c>
      <c r="FI77" s="62">
        <f t="shared" si="77"/>
        <v>293.33333333333786</v>
      </c>
      <c r="FJ77" s="62">
        <f ca="1">AVERAGE(OFFSET($FI$3,0,0,'Données projet'!$E$16+1,1))-AVERAGE(OFFSET($H$3,0,0,'Données projet'!$E$16+1,1))</f>
        <v>321.23599968992932</v>
      </c>
      <c r="FK77" s="62">
        <f t="shared" si="102"/>
        <v>388.05195847800502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6.3550942286383367E-14</v>
      </c>
      <c r="P78" s="14">
        <f t="shared" si="87"/>
        <v>1.0064464192543978E-12</v>
      </c>
      <c r="Q78" s="22">
        <f t="shared" si="54"/>
        <v>1.8635787380168604E-12</v>
      </c>
      <c r="R78" s="62">
        <f t="shared" si="55"/>
        <v>293.33333333333519</v>
      </c>
      <c r="S78" s="62">
        <f ca="1">AVERAGE(OFFSET($R$3,0,0,'Données projet'!$E$9+1,1))-AVERAGE(OFFSET($H$3,0,0,'Données projet'!$E$9+1,1))</f>
        <v>389.06620927245814</v>
      </c>
      <c r="T78" s="62">
        <f t="shared" si="88"/>
        <v>356.08144160383193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8.9048874480201921</v>
      </c>
      <c r="AB78" s="23">
        <f>EXP(-LN(2)/2)*AB77+(1-EXP(-LN(2)/2))/(LN(2)/2)*V78*Y78*VLOOKUP('Données projet'!$B$9,Paramètres!$A$1:$I$89,3,0)*0.475*44/12</f>
        <v>8.7367893178895212E-7</v>
      </c>
      <c r="AC78" s="24">
        <f t="shared" si="57"/>
        <v>8.9048883216991239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-5.6843418860808015E-14</v>
      </c>
      <c r="AJ78" s="14">
        <f>AI78*VLOOKUP('Données projet'!$B$10,Paramètres!$A$1:$I$89,3,0)*VLOOKUP('Données projet'!$B$10,Paramètres!$A$1:$I$89,5,0)</f>
        <v>-3.1036506698001178E-14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293.73480285950245</v>
      </c>
      <c r="AO78" s="62">
        <f t="shared" si="90"/>
        <v>425.99823184414191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6.0676406966964382</v>
      </c>
      <c r="AW78" s="23">
        <f>EXP(-LN(2)/2)*AW77+(1-EXP(-LN(2)/2))/(LN(2)/2)*AQ78*AT78*VLOOKUP('Données projet'!$B$10,Paramètres!$A$1:$I$89,3,0)*0.475*44/12</f>
        <v>3.258776626788188E-6</v>
      </c>
      <c r="AX78" s="23">
        <f t="shared" si="60"/>
        <v>6.0676439554730655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282.29760000000005</v>
      </c>
      <c r="BF78" s="14">
        <f t="shared" si="91"/>
        <v>67.452326629470178</v>
      </c>
      <c r="BG78" s="22">
        <f t="shared" si="61"/>
        <v>609.14778887966054</v>
      </c>
      <c r="BH78" s="62">
        <f t="shared" si="62"/>
        <v>902.4811222129938</v>
      </c>
      <c r="BI78" s="62">
        <f ca="1">AVERAGE(OFFSET($BH$3,0,0,'Données projet'!$E$11+1,1))-AVERAGE(OFFSET($H$3,0,0,'Données projet'!$E$11+1,1))</f>
        <v>438.70522838726322</v>
      </c>
      <c r="BJ78" s="62">
        <f t="shared" si="92"/>
        <v>278.21741231699929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312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312.00000000000006</v>
      </c>
      <c r="BZ78" s="14">
        <f>BY78*VLOOKUP('Données projet'!$B$12,Paramètres!$A$1:$I$89,3,0)*VLOOKUP('Données projet'!$B$12,Paramètres!$A$1:$I$89,5,0)</f>
        <v>301.76640000000003</v>
      </c>
      <c r="CA78" s="14">
        <f t="shared" si="93"/>
        <v>71.546642144235364</v>
      </c>
      <c r="CB78" s="22">
        <f t="shared" si="64"/>
        <v>650.18688173454336</v>
      </c>
      <c r="CC78" s="62">
        <f t="shared" si="65"/>
        <v>943.52021506787673</v>
      </c>
      <c r="CD78" s="62">
        <f ca="1">AVERAGE(OFFSET($CC$3,0,0,'Données projet'!$E$12+1,1))-AVERAGE(OFFSET($H$3,0,0,'Données projet'!$E$12+1,1))</f>
        <v>466.10838191274445</v>
      </c>
      <c r="CE78" s="62">
        <f t="shared" si="94"/>
        <v>294.45557293177131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28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375</v>
      </c>
      <c r="CR78" s="13">
        <f>VLOOKUP(A78,'Données projet'!$A$139:$I$159,9,0)</f>
        <v>4.8</v>
      </c>
      <c r="CS78" s="13">
        <f t="array" ref="CS78">INDEX(CR:CR,MIN(IF(ISNUMBER(CR78:CR274),ROW(CR78:CR274),"")))</f>
        <v>4.8</v>
      </c>
      <c r="CT78" s="13">
        <f>IF('Données projet'!$A$140&gt;35,CT77+CS78-DB77,IF(A78&lt;'Données projet'!$A$140,$CQ$205^A78,IF(A78='Données projet'!$A$140,'Données projet'!$B$140,CT77+CS78-DB77)))</f>
        <v>374.99999999999972</v>
      </c>
      <c r="CU78" s="18">
        <f>CT78*VLOOKUP('Données projet'!$B$13,Paramètres!$A$1:$I$89,3,0)*VLOOKUP('Données projet'!$B$13,Paramètres!$A$1:$I$89,5,0)</f>
        <v>274.94999999999976</v>
      </c>
      <c r="CV78" s="14">
        <f t="shared" si="95"/>
        <v>65.898670891956897</v>
      </c>
      <c r="CW78" s="22">
        <f t="shared" si="67"/>
        <v>593.64476847015783</v>
      </c>
      <c r="CX78" s="62">
        <f t="shared" si="68"/>
        <v>886.9781018034912</v>
      </c>
      <c r="CY78" s="62">
        <f ca="1">AVERAGE(OFFSET($CX$3,0,0,'Données projet'!$E$13+1,1))-AVERAGE(OFFSET($H$3,0,0,'Données projet'!$E$13+1,1))</f>
        <v>376.5422416541544</v>
      </c>
      <c r="CZ78" s="62">
        <f t="shared" si="96"/>
        <v>365.76175372075869</v>
      </c>
      <c r="DA78" s="16">
        <f>IF(ISNA(VLOOKUP(A78,'Données projet'!$A$139:$I$159,3,0)),0,VLOOKUP(A78,'Données projet'!$A$139:$I$159,3,0))</f>
        <v>14</v>
      </c>
      <c r="DB78" s="16">
        <f>IF(ISNA(VLOOKUP(A78,'Données projet'!$A$139:$I$159,4,0)),0,VLOOKUP(A78,'Données projet'!$A$139:$I$159,4,0))</f>
        <v>14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323</v>
      </c>
      <c r="DM78" s="13">
        <f>VLOOKUP(A78,'Données projet'!$A$165:$I$185,9,0)</f>
        <v>4.2</v>
      </c>
      <c r="DN78" s="13">
        <f t="array" ref="DN78">INDEX(DM:DM,MIN(IF(ISNUMBER(DM78:DM274),ROW(DM78:DM274),"")))</f>
        <v>4.2</v>
      </c>
      <c r="DO78" s="13">
        <f>IF('Données projet'!$A$166&gt;35,DO77+DN78-DW77,IF(A78&lt;'Données projet'!$A$166,$DL$205^A78,IF(A78='Données projet'!$A$166,'Données projet'!$B$166,DO77+DN78-DW77)))</f>
        <v>322.9999999999996</v>
      </c>
      <c r="DP78" s="18">
        <f>DO78*VLOOKUP('Données projet'!$B$14,Paramètres!$A$1:$I$89,3,0)*VLOOKUP('Données projet'!$B$14,Paramètres!$A$1:$I$89,5,0)</f>
        <v>256.97879999999969</v>
      </c>
      <c r="DQ78" s="14">
        <f t="shared" si="97"/>
        <v>62.077942785287192</v>
      </c>
      <c r="DR78" s="22">
        <f t="shared" si="70"/>
        <v>555.69049368437459</v>
      </c>
      <c r="DS78" s="62">
        <f t="shared" si="71"/>
        <v>849.02382701770784</v>
      </c>
      <c r="DT78" s="62">
        <f ca="1">AVERAGE(OFFSET($DS$3,0,0,'Données projet'!$E$14+1,1))-AVERAGE(OFFSET($H$3,0,0,'Données projet'!$E$14+1,1))</f>
        <v>352.5736659365665</v>
      </c>
      <c r="DU78" s="62">
        <f t="shared" si="98"/>
        <v>343.77208530767069</v>
      </c>
      <c r="DV78" s="16">
        <f>IF(ISNA(VLOOKUP(A78,'Données projet'!$A$165:$I$185,3,0)),0,VLOOKUP(A78,'Données projet'!$A$165:$I$185,3,0))</f>
        <v>14</v>
      </c>
      <c r="DW78" s="16">
        <f>IF(ISNA(VLOOKUP(A78,'Données projet'!$A$165:$I$185,4,0)),0,VLOOKUP(A78,'Données projet'!$A$165:$I$185,4,0))</f>
        <v>12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2.2737367544323206E-13</v>
      </c>
      <c r="EK78" s="18">
        <f>EJ78*VLOOKUP('Données projet'!$B$15,Paramètres!$A$1:$I$89,3,0)*VLOOKUP('Données projet'!$B$15,Paramètres!$A$1:$I$89,5,0)</f>
        <v>2.0572770154103635E-13</v>
      </c>
      <c r="EL78" s="14">
        <f t="shared" si="99"/>
        <v>2.8416956338469711E-12</v>
      </c>
      <c r="EM78" s="22">
        <f t="shared" si="73"/>
        <v>5.3075956424674458E-12</v>
      </c>
      <c r="EN78" s="62">
        <f t="shared" si="74"/>
        <v>293.3333333333386</v>
      </c>
      <c r="EO78" s="62">
        <f ca="1">AVERAGE(OFFSET($EN$3,0,0,'Données projet'!$E$15+1,1))-AVERAGE(OFFSET($H$3,0,0,'Données projet'!$E$15+1,1))</f>
        <v>436.23918637269577</v>
      </c>
      <c r="EP78" s="62">
        <f t="shared" si="100"/>
        <v>611.43967996341894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1.9279579337435002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1.9279579337435002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1.9895196601282805E-13</v>
      </c>
      <c r="FF78" s="18">
        <f>FE78*VLOOKUP('Données projet'!$B$16,Paramètres!$A$1:$I$89,3,0)*VLOOKUP('Données projet'!$B$16,Paramètres!$A$1:$I$89,5,0)</f>
        <v>1.738044375088066E-13</v>
      </c>
      <c r="FG78" s="14">
        <f t="shared" si="101"/>
        <v>2.4483293633950478E-12</v>
      </c>
      <c r="FH78" s="22">
        <f t="shared" si="76"/>
        <v>4.566883036574213E-12</v>
      </c>
      <c r="FI78" s="62">
        <f t="shared" si="77"/>
        <v>293.33333333333786</v>
      </c>
      <c r="FJ78" s="62">
        <f ca="1">AVERAGE(OFFSET($FI$3,0,0,'Données projet'!$E$16+1,1))-AVERAGE(OFFSET($H$3,0,0,'Données projet'!$E$16+1,1))</f>
        <v>321.23599968992932</v>
      </c>
      <c r="FK78" s="62">
        <f t="shared" si="102"/>
        <v>388.05195847800502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6.3550942286383367E-14</v>
      </c>
      <c r="P79" s="14">
        <f t="shared" si="87"/>
        <v>1.0064464192543978E-12</v>
      </c>
      <c r="Q79" s="22">
        <f t="shared" si="54"/>
        <v>1.8635787380168604E-12</v>
      </c>
      <c r="R79" s="62">
        <f t="shared" si="55"/>
        <v>293.33333333333519</v>
      </c>
      <c r="S79" s="62">
        <f ca="1">AVERAGE(OFFSET($R$3,0,0,'Données projet'!$E$9+1,1))-AVERAGE(OFFSET($H$3,0,0,'Données projet'!$E$9+1,1))</f>
        <v>389.06620927245814</v>
      </c>
      <c r="T79" s="62">
        <f t="shared" si="88"/>
        <v>356.08144160383193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8.6613828324664013</v>
      </c>
      <c r="AB79" s="23">
        <f>EXP(-LN(2)/2)*AB78+(1-EXP(-LN(2)/2))/(LN(2)/2)*V79*Y79*VLOOKUP('Données projet'!$B$9,Paramètres!$A$1:$I$89,3,0)*0.475*44/12</f>
        <v>6.1778429724778714E-7</v>
      </c>
      <c r="AC79" s="24">
        <f t="shared" si="57"/>
        <v>8.6613834502506979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-5.6843418860808015E-14</v>
      </c>
      <c r="AJ79" s="14">
        <f>AI79*VLOOKUP('Données projet'!$B$10,Paramètres!$A$1:$I$89,3,0)*VLOOKUP('Données projet'!$B$10,Paramètres!$A$1:$I$89,5,0)</f>
        <v>-3.1036506698001178E-14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293.73480285950245</v>
      </c>
      <c r="AO79" s="62">
        <f t="shared" si="90"/>
        <v>425.99823184414191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5.9017207427619178</v>
      </c>
      <c r="AW79" s="23">
        <f>EXP(-LN(2)/2)*AW78+(1-EXP(-LN(2)/2))/(LN(2)/2)*AQ79*AT79*VLOOKUP('Données projet'!$B$10,Paramètres!$A$1:$I$89,3,0)*0.475*44/12</f>
        <v>2.3043030511741507E-6</v>
      </c>
      <c r="AX79" s="23">
        <f t="shared" si="60"/>
        <v>5.9017230470649693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263.47776000000005</v>
      </c>
      <c r="BF79" s="14">
        <f t="shared" si="91"/>
        <v>63.46312159763346</v>
      </c>
      <c r="BG79" s="22">
        <f t="shared" si="61"/>
        <v>569.42203544921165</v>
      </c>
      <c r="BH79" s="62">
        <f t="shared" si="62"/>
        <v>862.75536878254502</v>
      </c>
      <c r="BI79" s="62">
        <f ca="1">AVERAGE(OFFSET($BH$3,0,0,'Données projet'!$E$11+1,1))-AVERAGE(OFFSET($H$3,0,0,'Données projet'!$E$11+1,1))</f>
        <v>438.70522838726322</v>
      </c>
      <c r="BJ79" s="62">
        <f t="shared" si="92"/>
        <v>278.21741231699929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281.64864000000006</v>
      </c>
      <c r="CA79" s="14">
        <f t="shared" si="93"/>
        <v>67.315294774697747</v>
      </c>
      <c r="CB79" s="22">
        <f t="shared" si="64"/>
        <v>607.77885306593191</v>
      </c>
      <c r="CC79" s="62">
        <f t="shared" si="65"/>
        <v>901.11218639926528</v>
      </c>
      <c r="CD79" s="62">
        <f ca="1">AVERAGE(OFFSET($CC$3,0,0,'Données projet'!$E$12+1,1))-AVERAGE(OFFSET($H$3,0,0,'Données projet'!$E$12+1,1))</f>
        <v>466.10838191274445</v>
      </c>
      <c r="CE79" s="62">
        <f t="shared" si="94"/>
        <v>294.45557293177131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4.2</v>
      </c>
      <c r="CT79" s="13">
        <f>IF('Données projet'!$A$140&gt;35,CT78+CS79-DB78,IF(A79&lt;'Données projet'!$A$140,$CQ$205^A79,IF(A79='Données projet'!$A$140,'Données projet'!$B$140,CT78+CS79-DB78)))</f>
        <v>365.1999999999997</v>
      </c>
      <c r="CU79" s="18">
        <f>CT79*VLOOKUP('Données projet'!$B$13,Paramètres!$A$1:$I$89,3,0)*VLOOKUP('Données projet'!$B$13,Paramètres!$A$1:$I$89,5,0)</f>
        <v>267.76463999999982</v>
      </c>
      <c r="CV79" s="14">
        <f t="shared" si="95"/>
        <v>64.374640184948362</v>
      </c>
      <c r="CW79" s="22">
        <f t="shared" si="67"/>
        <v>578.47591298878478</v>
      </c>
      <c r="CX79" s="62">
        <f t="shared" si="68"/>
        <v>871.80924632211804</v>
      </c>
      <c r="CY79" s="62">
        <f ca="1">AVERAGE(OFFSET($CX$3,0,0,'Données projet'!$E$13+1,1))-AVERAGE(OFFSET($H$3,0,0,'Données projet'!$E$13+1,1))</f>
        <v>376.5422416541544</v>
      </c>
      <c r="CZ79" s="62">
        <f t="shared" si="96"/>
        <v>365.76175372075869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3.6</v>
      </c>
      <c r="DO79" s="13">
        <f>IF('Données projet'!$A$166&gt;35,DO78+DN79-DW78,IF(A79&lt;'Données projet'!$A$166,$DL$205^A79,IF(A79='Données projet'!$A$166,'Données projet'!$B$166,DO78+DN79-DW78)))</f>
        <v>314.59999999999962</v>
      </c>
      <c r="DP79" s="18">
        <f>DO79*VLOOKUP('Données projet'!$B$14,Paramètres!$A$1:$I$89,3,0)*VLOOKUP('Données projet'!$B$14,Paramètres!$A$1:$I$89,5,0)</f>
        <v>250.29575999999969</v>
      </c>
      <c r="DQ79" s="14">
        <f t="shared" si="97"/>
        <v>60.649269046250886</v>
      </c>
      <c r="DR79" s="22">
        <f t="shared" si="70"/>
        <v>541.56259225555311</v>
      </c>
      <c r="DS79" s="62">
        <f t="shared" si="71"/>
        <v>834.89592558888648</v>
      </c>
      <c r="DT79" s="62">
        <f ca="1">AVERAGE(OFFSET($DS$3,0,0,'Données projet'!$E$14+1,1))-AVERAGE(OFFSET($H$3,0,0,'Données projet'!$E$14+1,1))</f>
        <v>352.5736659365665</v>
      </c>
      <c r="DU79" s="62">
        <f t="shared" si="98"/>
        <v>343.77208530767069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2.2737367544323206E-13</v>
      </c>
      <c r="EK79" s="18">
        <f>EJ79*VLOOKUP('Données projet'!$B$15,Paramètres!$A$1:$I$89,3,0)*VLOOKUP('Données projet'!$B$15,Paramètres!$A$1:$I$89,5,0)</f>
        <v>2.0572770154103635E-13</v>
      </c>
      <c r="EL79" s="14">
        <f t="shared" si="99"/>
        <v>2.8416956338469711E-12</v>
      </c>
      <c r="EM79" s="22">
        <f t="shared" si="73"/>
        <v>5.3075956424674458E-12</v>
      </c>
      <c r="EN79" s="62">
        <f t="shared" si="74"/>
        <v>293.3333333333386</v>
      </c>
      <c r="EO79" s="62">
        <f ca="1">AVERAGE(OFFSET($EN$3,0,0,'Données projet'!$E$15+1,1))-AVERAGE(OFFSET($H$3,0,0,'Données projet'!$E$15+1,1))</f>
        <v>436.23918637269577</v>
      </c>
      <c r="EP79" s="62">
        <f t="shared" si="100"/>
        <v>611.43967996341894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1.8901518546010154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1.8901518546010154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1.9895196601282805E-13</v>
      </c>
      <c r="FF79" s="18">
        <f>FE79*VLOOKUP('Données projet'!$B$16,Paramètres!$A$1:$I$89,3,0)*VLOOKUP('Données projet'!$B$16,Paramètres!$A$1:$I$89,5,0)</f>
        <v>1.738044375088066E-13</v>
      </c>
      <c r="FG79" s="14">
        <f t="shared" si="101"/>
        <v>2.4483293633950478E-12</v>
      </c>
      <c r="FH79" s="22">
        <f t="shared" si="76"/>
        <v>4.566883036574213E-12</v>
      </c>
      <c r="FI79" s="62">
        <f t="shared" si="77"/>
        <v>293.33333333333786</v>
      </c>
      <c r="FJ79" s="62">
        <f ca="1">AVERAGE(OFFSET($FI$3,0,0,'Données projet'!$E$16+1,1))-AVERAGE(OFFSET($H$3,0,0,'Données projet'!$E$16+1,1))</f>
        <v>321.23599968992932</v>
      </c>
      <c r="FK79" s="62">
        <f t="shared" si="102"/>
        <v>388.05195847800502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6.3550942286383367E-14</v>
      </c>
      <c r="P80" s="14">
        <f t="shared" si="87"/>
        <v>1.0064464192543978E-12</v>
      </c>
      <c r="Q80" s="22">
        <f t="shared" si="54"/>
        <v>1.8635787380168604E-12</v>
      </c>
      <c r="R80" s="62">
        <f t="shared" si="55"/>
        <v>293.33333333333519</v>
      </c>
      <c r="S80" s="62">
        <f ca="1">AVERAGE(OFFSET($R$3,0,0,'Données projet'!$E$9+1,1))-AVERAGE(OFFSET($H$3,0,0,'Données projet'!$E$9+1,1))</f>
        <v>389.06620927245814</v>
      </c>
      <c r="T80" s="62">
        <f t="shared" si="88"/>
        <v>356.08144160383193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8.42453686343028</v>
      </c>
      <c r="AB80" s="23">
        <f>EXP(-LN(2)/2)*AB79+(1-EXP(-LN(2)/2))/(LN(2)/2)*V80*Y80*VLOOKUP('Données projet'!$B$9,Paramètres!$A$1:$I$89,3,0)*0.475*44/12</f>
        <v>4.3683946589447606E-7</v>
      </c>
      <c r="AC80" s="24">
        <f t="shared" si="57"/>
        <v>8.4245373002697459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-5.6843418860808015E-14</v>
      </c>
      <c r="AJ80" s="14">
        <f>AI80*VLOOKUP('Données projet'!$B$10,Paramètres!$A$1:$I$89,3,0)*VLOOKUP('Données projet'!$B$10,Paramètres!$A$1:$I$89,5,0)</f>
        <v>-3.1036506698001178E-14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293.73480285950245</v>
      </c>
      <c r="AO80" s="62">
        <f t="shared" si="90"/>
        <v>425.99823184414191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5.7403378786930883</v>
      </c>
      <c r="AW80" s="23">
        <f>EXP(-LN(2)/2)*AW79+(1-EXP(-LN(2)/2))/(LN(2)/2)*AQ80*AT80*VLOOKUP('Données projet'!$B$10,Paramètres!$A$1:$I$89,3,0)*0.475*44/12</f>
        <v>1.629388313394094E-6</v>
      </c>
      <c r="AX80" s="23">
        <f t="shared" si="60"/>
        <v>5.7403395080814015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269.99232000000001</v>
      </c>
      <c r="BF80" s="14">
        <f t="shared" si="91"/>
        <v>64.847639395310296</v>
      </c>
      <c r="BG80" s="22">
        <f t="shared" si="61"/>
        <v>583.17959594683214</v>
      </c>
      <c r="BH80" s="62">
        <f t="shared" si="62"/>
        <v>876.51292928016551</v>
      </c>
      <c r="BI80" s="62">
        <f ca="1">AVERAGE(OFFSET($BH$3,0,0,'Données projet'!$E$11+1,1))-AVERAGE(OFFSET($H$3,0,0,'Données projet'!$E$11+1,1))</f>
        <v>438.70522838726322</v>
      </c>
      <c r="BJ80" s="62">
        <f t="shared" si="92"/>
        <v>278.21741231699929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288.61248000000001</v>
      </c>
      <c r="CA80" s="14">
        <f t="shared" si="93"/>
        <v>68.783851967051476</v>
      </c>
      <c r="CB80" s="22">
        <f t="shared" si="64"/>
        <v>622.4652781759479</v>
      </c>
      <c r="CC80" s="62">
        <f t="shared" si="65"/>
        <v>915.79861150928127</v>
      </c>
      <c r="CD80" s="62">
        <f ca="1">AVERAGE(OFFSET($CC$3,0,0,'Données projet'!$E$12+1,1))-AVERAGE(OFFSET($H$3,0,0,'Données projet'!$E$12+1,1))</f>
        <v>466.10838191274445</v>
      </c>
      <c r="CE80" s="62">
        <f t="shared" si="94"/>
        <v>294.45557293177131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4.2</v>
      </c>
      <c r="CT80" s="13">
        <f>IF('Données projet'!$A$140&gt;35,CT79+CS80-DB79,IF(A80&lt;'Données projet'!$A$140,$CQ$205^A80,IF(A80='Données projet'!$A$140,'Données projet'!$B$140,CT79+CS80-DB79)))</f>
        <v>369.39999999999969</v>
      </c>
      <c r="CU80" s="18">
        <f>CT80*VLOOKUP('Données projet'!$B$13,Paramètres!$A$1:$I$89,3,0)*VLOOKUP('Données projet'!$B$13,Paramètres!$A$1:$I$89,5,0)</f>
        <v>270.84407999999979</v>
      </c>
      <c r="CV80" s="14">
        <f t="shared" si="95"/>
        <v>65.028371811908485</v>
      </c>
      <c r="CW80" s="22">
        <f t="shared" si="67"/>
        <v>584.97785357240684</v>
      </c>
      <c r="CX80" s="62">
        <f t="shared" si="68"/>
        <v>878.31118690574021</v>
      </c>
      <c r="CY80" s="62">
        <f ca="1">AVERAGE(OFFSET($CX$3,0,0,'Données projet'!$E$13+1,1))-AVERAGE(OFFSET($H$3,0,0,'Données projet'!$E$13+1,1))</f>
        <v>376.5422416541544</v>
      </c>
      <c r="CZ80" s="62">
        <f t="shared" si="96"/>
        <v>365.76175372075869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3.6</v>
      </c>
      <c r="DO80" s="13">
        <f>IF('Données projet'!$A$166&gt;35,DO79+DN80-DW79,IF(A80&lt;'Données projet'!$A$166,$DL$205^A80,IF(A80='Données projet'!$A$166,'Données projet'!$B$166,DO79+DN80-DW79)))</f>
        <v>318.19999999999965</v>
      </c>
      <c r="DP80" s="18">
        <f>DO80*VLOOKUP('Données projet'!$B$14,Paramètres!$A$1:$I$89,3,0)*VLOOKUP('Données projet'!$B$14,Paramètres!$A$1:$I$89,5,0)</f>
        <v>253.15991999999972</v>
      </c>
      <c r="DQ80" s="14">
        <f t="shared" si="97"/>
        <v>61.262094724147147</v>
      </c>
      <c r="DR80" s="22">
        <f t="shared" si="70"/>
        <v>547.61834231122236</v>
      </c>
      <c r="DS80" s="62">
        <f t="shared" si="71"/>
        <v>840.95167564455573</v>
      </c>
      <c r="DT80" s="62">
        <f ca="1">AVERAGE(OFFSET($DS$3,0,0,'Données projet'!$E$14+1,1))-AVERAGE(OFFSET($H$3,0,0,'Données projet'!$E$14+1,1))</f>
        <v>352.5736659365665</v>
      </c>
      <c r="DU80" s="62">
        <f t="shared" si="98"/>
        <v>343.77208530767069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2.2737367544323206E-13</v>
      </c>
      <c r="EK80" s="18">
        <f>EJ80*VLOOKUP('Données projet'!$B$15,Paramètres!$A$1:$I$89,3,0)*VLOOKUP('Données projet'!$B$15,Paramètres!$A$1:$I$89,5,0)</f>
        <v>2.0572770154103635E-13</v>
      </c>
      <c r="EL80" s="14">
        <f t="shared" si="99"/>
        <v>2.8416956338469711E-12</v>
      </c>
      <c r="EM80" s="22">
        <f t="shared" si="73"/>
        <v>5.3075956424674458E-12</v>
      </c>
      <c r="EN80" s="62">
        <f t="shared" si="74"/>
        <v>293.3333333333386</v>
      </c>
      <c r="EO80" s="62">
        <f ca="1">AVERAGE(OFFSET($EN$3,0,0,'Données projet'!$E$15+1,1))-AVERAGE(OFFSET($H$3,0,0,'Données projet'!$E$15+1,1))</f>
        <v>436.23918637269577</v>
      </c>
      <c r="EP80" s="62">
        <f t="shared" si="100"/>
        <v>611.43967996341894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1.8530871296110836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1.8530871296110836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1.9895196601282805E-13</v>
      </c>
      <c r="FF80" s="18">
        <f>FE80*VLOOKUP('Données projet'!$B$16,Paramètres!$A$1:$I$89,3,0)*VLOOKUP('Données projet'!$B$16,Paramètres!$A$1:$I$89,5,0)</f>
        <v>1.738044375088066E-13</v>
      </c>
      <c r="FG80" s="14">
        <f t="shared" si="101"/>
        <v>2.4483293633950478E-12</v>
      </c>
      <c r="FH80" s="22">
        <f t="shared" si="76"/>
        <v>4.566883036574213E-12</v>
      </c>
      <c r="FI80" s="62">
        <f t="shared" si="77"/>
        <v>293.33333333333786</v>
      </c>
      <c r="FJ80" s="62">
        <f ca="1">AVERAGE(OFFSET($FI$3,0,0,'Données projet'!$E$16+1,1))-AVERAGE(OFFSET($H$3,0,0,'Données projet'!$E$16+1,1))</f>
        <v>321.23599968992932</v>
      </c>
      <c r="FK80" s="62">
        <f t="shared" si="102"/>
        <v>388.05195847800502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6.3550942286383367E-14</v>
      </c>
      <c r="P81" s="14">
        <f t="shared" si="87"/>
        <v>1.0064464192543978E-12</v>
      </c>
      <c r="Q81" s="22">
        <f t="shared" si="54"/>
        <v>1.8635787380168604E-12</v>
      </c>
      <c r="R81" s="62">
        <f t="shared" si="55"/>
        <v>293.33333333333519</v>
      </c>
      <c r="S81" s="62">
        <f ca="1">AVERAGE(OFFSET($R$3,0,0,'Données projet'!$E$9+1,1))-AVERAGE(OFFSET($H$3,0,0,'Données projet'!$E$9+1,1))</f>
        <v>389.06620927245814</v>
      </c>
      <c r="T81" s="62">
        <f t="shared" si="88"/>
        <v>356.08144160383193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8.1941674598726397</v>
      </c>
      <c r="AB81" s="23">
        <f>EXP(-LN(2)/2)*AB80+(1-EXP(-LN(2)/2))/(LN(2)/2)*V81*Y81*VLOOKUP('Données projet'!$B$9,Paramètres!$A$1:$I$89,3,0)*0.475*44/12</f>
        <v>3.0889214862389357E-7</v>
      </c>
      <c r="AC81" s="24">
        <f t="shared" si="57"/>
        <v>8.1941677687647889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-5.6843418860808015E-14</v>
      </c>
      <c r="AJ81" s="14">
        <f>AI81*VLOOKUP('Données projet'!$B$10,Paramètres!$A$1:$I$89,3,0)*VLOOKUP('Données projet'!$B$10,Paramètres!$A$1:$I$89,5,0)</f>
        <v>-3.1036506698001178E-14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293.73480285950245</v>
      </c>
      <c r="AO81" s="62">
        <f t="shared" si="90"/>
        <v>425.99823184414191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5.5833680375289765</v>
      </c>
      <c r="AW81" s="23">
        <f>EXP(-LN(2)/2)*AW80+(1-EXP(-LN(2)/2))/(LN(2)/2)*AQ81*AT81*VLOOKUP('Données projet'!$B$10,Paramètres!$A$1:$I$89,3,0)*0.475*44/12</f>
        <v>1.1521515255870753E-6</v>
      </c>
      <c r="AX81" s="23">
        <f t="shared" si="60"/>
        <v>5.5833691896805018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276.50687999999997</v>
      </c>
      <c r="BF81" s="14">
        <f t="shared" si="91"/>
        <v>66.228273722513677</v>
      </c>
      <c r="BG81" s="22">
        <f t="shared" si="61"/>
        <v>596.93039273337797</v>
      </c>
      <c r="BH81" s="62">
        <f t="shared" si="62"/>
        <v>890.26372606671134</v>
      </c>
      <c r="BI81" s="62">
        <f ca="1">AVERAGE(OFFSET($BH$3,0,0,'Données projet'!$E$11+1,1))-AVERAGE(OFFSET($H$3,0,0,'Données projet'!$E$11+1,1))</f>
        <v>438.70522838726322</v>
      </c>
      <c r="BJ81" s="62">
        <f t="shared" si="92"/>
        <v>278.21741231699929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295.57632000000001</v>
      </c>
      <c r="CA81" s="14">
        <f t="shared" si="93"/>
        <v>70.24828996461811</v>
      </c>
      <c r="CB81" s="22">
        <f t="shared" si="64"/>
        <v>637.1445290217099</v>
      </c>
      <c r="CC81" s="62">
        <f t="shared" si="65"/>
        <v>930.47786235504327</v>
      </c>
      <c r="CD81" s="62">
        <f ca="1">AVERAGE(OFFSET($CC$3,0,0,'Données projet'!$E$12+1,1))-AVERAGE(OFFSET($H$3,0,0,'Données projet'!$E$12+1,1))</f>
        <v>466.10838191274445</v>
      </c>
      <c r="CE81" s="62">
        <f t="shared" si="94"/>
        <v>294.45557293177131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4.2</v>
      </c>
      <c r="CT81" s="13">
        <f>IF('Données projet'!$A$140&gt;35,CT80+CS81-DB80,IF(A81&lt;'Données projet'!$A$140,$CQ$205^A81,IF(A81='Données projet'!$A$140,'Données projet'!$B$140,CT80+CS81-DB80)))</f>
        <v>373.59999999999968</v>
      </c>
      <c r="CU81" s="18">
        <f>CT81*VLOOKUP('Données projet'!$B$13,Paramètres!$A$1:$I$89,3,0)*VLOOKUP('Données projet'!$B$13,Paramètres!$A$1:$I$89,5,0)</f>
        <v>273.92351999999977</v>
      </c>
      <c r="CV81" s="14">
        <f t="shared" si="95"/>
        <v>65.681238814600704</v>
      </c>
      <c r="CW81" s="22">
        <f t="shared" si="67"/>
        <v>591.47828826876241</v>
      </c>
      <c r="CX81" s="62">
        <f t="shared" si="68"/>
        <v>884.81162160209578</v>
      </c>
      <c r="CY81" s="62">
        <f ca="1">AVERAGE(OFFSET($CX$3,0,0,'Données projet'!$E$13+1,1))-AVERAGE(OFFSET($H$3,0,0,'Données projet'!$E$13+1,1))</f>
        <v>376.5422416541544</v>
      </c>
      <c r="CZ81" s="62">
        <f t="shared" si="96"/>
        <v>365.76175372075869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3.6</v>
      </c>
      <c r="DO81" s="13">
        <f>IF('Données projet'!$A$166&gt;35,DO80+DN81-DW80,IF(A81&lt;'Données projet'!$A$166,$DL$205^A81,IF(A81='Données projet'!$A$166,'Données projet'!$B$166,DO80+DN81-DW80)))</f>
        <v>321.79999999999967</v>
      </c>
      <c r="DP81" s="18">
        <f>DO81*VLOOKUP('Données projet'!$B$14,Paramètres!$A$1:$I$89,3,0)*VLOOKUP('Données projet'!$B$14,Paramètres!$A$1:$I$89,5,0)</f>
        <v>256.02407999999974</v>
      </c>
      <c r="DQ81" s="14">
        <f t="shared" si="97"/>
        <v>61.874113880213791</v>
      </c>
      <c r="DR81" s="22">
        <f t="shared" si="70"/>
        <v>553.67268767470523</v>
      </c>
      <c r="DS81" s="62">
        <f t="shared" si="71"/>
        <v>847.00602100803849</v>
      </c>
      <c r="DT81" s="62">
        <f ca="1">AVERAGE(OFFSET($DS$3,0,0,'Données projet'!$E$14+1,1))-AVERAGE(OFFSET($H$3,0,0,'Données projet'!$E$14+1,1))</f>
        <v>352.5736659365665</v>
      </c>
      <c r="DU81" s="62">
        <f t="shared" si="98"/>
        <v>343.77208530767069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2.2737367544323206E-13</v>
      </c>
      <c r="EK81" s="18">
        <f>EJ81*VLOOKUP('Données projet'!$B$15,Paramètres!$A$1:$I$89,3,0)*VLOOKUP('Données projet'!$B$15,Paramètres!$A$1:$I$89,5,0)</f>
        <v>2.0572770154103635E-13</v>
      </c>
      <c r="EL81" s="14">
        <f t="shared" si="99"/>
        <v>2.8416956338469711E-12</v>
      </c>
      <c r="EM81" s="22">
        <f t="shared" si="73"/>
        <v>5.3075956424674458E-12</v>
      </c>
      <c r="EN81" s="62">
        <f t="shared" si="74"/>
        <v>293.3333333333386</v>
      </c>
      <c r="EO81" s="62">
        <f ca="1">AVERAGE(OFFSET($EN$3,0,0,'Données projet'!$E$15+1,1))-AVERAGE(OFFSET($H$3,0,0,'Données projet'!$E$15+1,1))</f>
        <v>436.23918637269577</v>
      </c>
      <c r="EP81" s="62">
        <f t="shared" si="100"/>
        <v>611.43967996341894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1.8167492212709542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1.8167492212709542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1.9895196601282805E-13</v>
      </c>
      <c r="FF81" s="18">
        <f>FE81*VLOOKUP('Données projet'!$B$16,Paramètres!$A$1:$I$89,3,0)*VLOOKUP('Données projet'!$B$16,Paramètres!$A$1:$I$89,5,0)</f>
        <v>1.738044375088066E-13</v>
      </c>
      <c r="FG81" s="14">
        <f t="shared" si="101"/>
        <v>2.4483293633950478E-12</v>
      </c>
      <c r="FH81" s="22">
        <f t="shared" si="76"/>
        <v>4.566883036574213E-12</v>
      </c>
      <c r="FI81" s="62">
        <f t="shared" si="77"/>
        <v>293.33333333333786</v>
      </c>
      <c r="FJ81" s="62">
        <f ca="1">AVERAGE(OFFSET($FI$3,0,0,'Données projet'!$E$16+1,1))-AVERAGE(OFFSET($H$3,0,0,'Données projet'!$E$16+1,1))</f>
        <v>321.23599968992932</v>
      </c>
      <c r="FK81" s="62">
        <f t="shared" si="102"/>
        <v>388.05195847800502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6.3550942286383367E-14</v>
      </c>
      <c r="P82" s="14">
        <f t="shared" si="87"/>
        <v>1.0064464192543978E-12</v>
      </c>
      <c r="Q82" s="22">
        <f t="shared" si="54"/>
        <v>1.8635787380168604E-12</v>
      </c>
      <c r="R82" s="62">
        <f t="shared" si="55"/>
        <v>293.33333333333519</v>
      </c>
      <c r="S82" s="62">
        <f ca="1">AVERAGE(OFFSET($R$3,0,0,'Données projet'!$E$9+1,1))-AVERAGE(OFFSET($H$3,0,0,'Données projet'!$E$9+1,1))</f>
        <v>389.06620927245814</v>
      </c>
      <c r="T82" s="62">
        <f t="shared" si="88"/>
        <v>356.08144160383193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7.970097519769884</v>
      </c>
      <c r="AB82" s="23">
        <f>EXP(-LN(2)/2)*AB81+(1-EXP(-LN(2)/2))/(LN(2)/2)*V82*Y82*VLOOKUP('Données projet'!$B$9,Paramètres!$A$1:$I$89,3,0)*0.475*44/12</f>
        <v>2.1841973294723803E-7</v>
      </c>
      <c r="AC82" s="24">
        <f t="shared" si="57"/>
        <v>7.970097738189617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-5.6843418860808015E-14</v>
      </c>
      <c r="AJ82" s="14">
        <f>AI82*VLOOKUP('Données projet'!$B$10,Paramètres!$A$1:$I$89,3,0)*VLOOKUP('Données projet'!$B$10,Paramètres!$A$1:$I$89,5,0)</f>
        <v>-3.1036506698001178E-14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293.73480285950245</v>
      </c>
      <c r="AO82" s="62">
        <f t="shared" si="90"/>
        <v>425.99823184414191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5.4306905449261826</v>
      </c>
      <c r="AW82" s="23">
        <f>EXP(-LN(2)/2)*AW81+(1-EXP(-LN(2)/2))/(LN(2)/2)*AQ82*AT82*VLOOKUP('Données projet'!$B$10,Paramètres!$A$1:$I$89,3,0)*0.475*44/12</f>
        <v>8.1469415669704701E-7</v>
      </c>
      <c r="AX82" s="23">
        <f t="shared" si="60"/>
        <v>5.4306913596203392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283.02144000000004</v>
      </c>
      <c r="BF82" s="14">
        <f t="shared" si="91"/>
        <v>67.605126603830598</v>
      </c>
      <c r="BG82" s="22">
        <f t="shared" si="61"/>
        <v>610.67460350167164</v>
      </c>
      <c r="BH82" s="62">
        <f t="shared" si="62"/>
        <v>904.00793683500501</v>
      </c>
      <c r="BI82" s="62">
        <f ca="1">AVERAGE(OFFSET($BH$3,0,0,'Données projet'!$E$11+1,1))-AVERAGE(OFFSET($H$3,0,0,'Données projet'!$E$11+1,1))</f>
        <v>438.70522838726322</v>
      </c>
      <c r="BJ82" s="62">
        <f t="shared" si="92"/>
        <v>278.21741231699929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302.54016000000001</v>
      </c>
      <c r="CA82" s="14">
        <f t="shared" si="93"/>
        <v>71.708716984815311</v>
      </c>
      <c r="CB82" s="22">
        <f t="shared" si="64"/>
        <v>651.81679408188654</v>
      </c>
      <c r="CC82" s="62">
        <f t="shared" si="65"/>
        <v>945.15012741521991</v>
      </c>
      <c r="CD82" s="62">
        <f ca="1">AVERAGE(OFFSET($CC$3,0,0,'Données projet'!$E$12+1,1))-AVERAGE(OFFSET($H$3,0,0,'Données projet'!$E$12+1,1))</f>
        <v>466.10838191274445</v>
      </c>
      <c r="CE82" s="62">
        <f t="shared" si="94"/>
        <v>294.45557293177131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4.2</v>
      </c>
      <c r="CT82" s="13">
        <f>IF('Données projet'!$A$140&gt;35,CT81+CS82-DB81,IF(A82&lt;'Données projet'!$A$140,$CQ$205^A82,IF(A82='Données projet'!$A$140,'Données projet'!$B$140,CT81+CS82-DB81)))</f>
        <v>377.79999999999967</v>
      </c>
      <c r="CU82" s="18">
        <f>CT82*VLOOKUP('Données projet'!$B$13,Paramètres!$A$1:$I$89,3,0)*VLOOKUP('Données projet'!$B$13,Paramètres!$A$1:$I$89,5,0)</f>
        <v>277.00295999999975</v>
      </c>
      <c r="CV82" s="14">
        <f t="shared" si="95"/>
        <v>66.33325203788479</v>
      </c>
      <c r="CW82" s="22">
        <f t="shared" si="67"/>
        <v>597.97723596598223</v>
      </c>
      <c r="CX82" s="62">
        <f t="shared" si="68"/>
        <v>891.3105692993156</v>
      </c>
      <c r="CY82" s="62">
        <f ca="1">AVERAGE(OFFSET($CX$3,0,0,'Données projet'!$E$13+1,1))-AVERAGE(OFFSET($H$3,0,0,'Données projet'!$E$13+1,1))</f>
        <v>376.5422416541544</v>
      </c>
      <c r="CZ82" s="62">
        <f t="shared" si="96"/>
        <v>365.76175372075869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3.6</v>
      </c>
      <c r="DO82" s="13">
        <f>IF('Données projet'!$A$166&gt;35,DO81+DN82-DW81,IF(A82&lt;'Données projet'!$A$166,$DL$205^A82,IF(A82='Données projet'!$A$166,'Données projet'!$B$166,DO81+DN82-DW81)))</f>
        <v>325.39999999999969</v>
      </c>
      <c r="DP82" s="18">
        <f>DO82*VLOOKUP('Données projet'!$B$14,Paramètres!$A$1:$I$89,3,0)*VLOOKUP('Données projet'!$B$14,Paramètres!$A$1:$I$89,5,0)</f>
        <v>258.88823999999977</v>
      </c>
      <c r="DQ82" s="14">
        <f t="shared" si="97"/>
        <v>62.485336581168717</v>
      </c>
      <c r="DR82" s="22">
        <f t="shared" si="70"/>
        <v>559.72564587886836</v>
      </c>
      <c r="DS82" s="62">
        <f t="shared" si="71"/>
        <v>853.05897921220162</v>
      </c>
      <c r="DT82" s="62">
        <f ca="1">AVERAGE(OFFSET($DS$3,0,0,'Données projet'!$E$14+1,1))-AVERAGE(OFFSET($H$3,0,0,'Données projet'!$E$14+1,1))</f>
        <v>352.5736659365665</v>
      </c>
      <c r="DU82" s="62">
        <f t="shared" si="98"/>
        <v>343.77208530767069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2.2737367544323206E-13</v>
      </c>
      <c r="EK82" s="18">
        <f>EJ82*VLOOKUP('Données projet'!$B$15,Paramètres!$A$1:$I$89,3,0)*VLOOKUP('Données projet'!$B$15,Paramètres!$A$1:$I$89,5,0)</f>
        <v>2.0572770154103635E-13</v>
      </c>
      <c r="EL82" s="14">
        <f t="shared" si="99"/>
        <v>2.8416956338469711E-12</v>
      </c>
      <c r="EM82" s="22">
        <f t="shared" si="73"/>
        <v>5.3075956424674458E-12</v>
      </c>
      <c r="EN82" s="62">
        <f t="shared" si="74"/>
        <v>293.3333333333386</v>
      </c>
      <c r="EO82" s="62">
        <f ca="1">AVERAGE(OFFSET($EN$3,0,0,'Données projet'!$E$15+1,1))-AVERAGE(OFFSET($H$3,0,0,'Données projet'!$E$15+1,1))</f>
        <v>436.23918637269577</v>
      </c>
      <c r="EP82" s="62">
        <f t="shared" si="100"/>
        <v>611.43967996341894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1.7811238771494391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1.7811238771494391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1.9895196601282805E-13</v>
      </c>
      <c r="FF82" s="18">
        <f>FE82*VLOOKUP('Données projet'!$B$16,Paramètres!$A$1:$I$89,3,0)*VLOOKUP('Données projet'!$B$16,Paramètres!$A$1:$I$89,5,0)</f>
        <v>1.738044375088066E-13</v>
      </c>
      <c r="FG82" s="14">
        <f t="shared" si="101"/>
        <v>2.4483293633950478E-12</v>
      </c>
      <c r="FH82" s="22">
        <f t="shared" si="76"/>
        <v>4.566883036574213E-12</v>
      </c>
      <c r="FI82" s="62">
        <f t="shared" si="77"/>
        <v>293.33333333333786</v>
      </c>
      <c r="FJ82" s="62">
        <f ca="1">AVERAGE(OFFSET($FI$3,0,0,'Données projet'!$E$16+1,1))-AVERAGE(OFFSET($H$3,0,0,'Données projet'!$E$16+1,1))</f>
        <v>321.23599968992932</v>
      </c>
      <c r="FK82" s="62">
        <f t="shared" si="102"/>
        <v>388.05195847800502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6.3550942286383367E-14</v>
      </c>
      <c r="P83" s="14">
        <f t="shared" si="87"/>
        <v>1.0064464192543978E-12</v>
      </c>
      <c r="Q83" s="22">
        <f t="shared" si="54"/>
        <v>1.8635787380168604E-12</v>
      </c>
      <c r="R83" s="62">
        <f t="shared" si="55"/>
        <v>293.33333333333519</v>
      </c>
      <c r="S83" s="62">
        <f ca="1">AVERAGE(OFFSET($R$3,0,0,'Données projet'!$E$9+1,1))-AVERAGE(OFFSET($H$3,0,0,'Données projet'!$E$9+1,1))</f>
        <v>389.06620927245814</v>
      </c>
      <c r="T83" s="62">
        <f t="shared" si="88"/>
        <v>356.08144160383193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7.7521547839625642</v>
      </c>
      <c r="AB83" s="23">
        <f>EXP(-LN(2)/2)*AB82+(1-EXP(-LN(2)/2))/(LN(2)/2)*V83*Y83*VLOOKUP('Données projet'!$B$9,Paramètres!$A$1:$I$89,3,0)*0.475*44/12</f>
        <v>1.5444607431194679E-7</v>
      </c>
      <c r="AC83" s="24">
        <f t="shared" si="57"/>
        <v>7.7521549384086388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-5.6843418860808015E-14</v>
      </c>
      <c r="AJ83" s="14">
        <f>AI83*VLOOKUP('Données projet'!$B$10,Paramètres!$A$1:$I$89,3,0)*VLOOKUP('Données projet'!$B$10,Paramètres!$A$1:$I$89,5,0)</f>
        <v>-3.1036506698001178E-14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293.73480285950245</v>
      </c>
      <c r="AO83" s="62">
        <f t="shared" si="90"/>
        <v>425.99823184414191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5.2821880263875727</v>
      </c>
      <c r="AW83" s="23">
        <f>EXP(-LN(2)/2)*AW82+(1-EXP(-LN(2)/2))/(LN(2)/2)*AQ83*AT83*VLOOKUP('Données projet'!$B$10,Paramètres!$A$1:$I$89,3,0)*0.475*44/12</f>
        <v>5.7607576279353767E-7</v>
      </c>
      <c r="AX83" s="23">
        <f t="shared" si="60"/>
        <v>5.2821886024633358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289.536</v>
      </c>
      <c r="BF83" s="14">
        <f t="shared" si="91"/>
        <v>68.97829509904436</v>
      </c>
      <c r="BG83" s="22">
        <f t="shared" si="61"/>
        <v>624.41239729750225</v>
      </c>
      <c r="BH83" s="62">
        <f t="shared" si="62"/>
        <v>917.74573063083562</v>
      </c>
      <c r="BI83" s="62">
        <f ca="1">AVERAGE(OFFSET($BH$3,0,0,'Données projet'!$E$11+1,1))-AVERAGE(OFFSET($H$3,0,0,'Données projet'!$E$11+1,1))</f>
        <v>438.70522838726322</v>
      </c>
      <c r="BJ83" s="62">
        <f t="shared" si="92"/>
        <v>278.21741231699929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309.50400000000002</v>
      </c>
      <c r="CA83" s="14">
        <f t="shared" si="93"/>
        <v>73.165235978896504</v>
      </c>
      <c r="CB83" s="22">
        <f t="shared" si="64"/>
        <v>666.48225266324471</v>
      </c>
      <c r="CC83" s="62">
        <f t="shared" si="65"/>
        <v>959.81558599657797</v>
      </c>
      <c r="CD83" s="62">
        <f ca="1">AVERAGE(OFFSET($CC$3,0,0,'Données projet'!$E$12+1,1))-AVERAGE(OFFSET($H$3,0,0,'Données projet'!$E$12+1,1))</f>
        <v>466.10838191274445</v>
      </c>
      <c r="CE83" s="62">
        <f t="shared" si="94"/>
        <v>294.45557293177131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28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382</v>
      </c>
      <c r="CR83" s="13">
        <f>VLOOKUP(A83,'Données projet'!$A$139:$I$159,9,0)</f>
        <v>4.2</v>
      </c>
      <c r="CS83" s="13">
        <f t="array" ref="CS83">INDEX(CR:CR,MIN(IF(ISNUMBER(CR83:CR279),ROW(CR83:CR279),"")))</f>
        <v>4.2</v>
      </c>
      <c r="CT83" s="13">
        <f>IF('Données projet'!$A$140&gt;35,CT82+CS83-DB82,IF(A83&lt;'Données projet'!$A$140,$CQ$205^A83,IF(A83='Données projet'!$A$140,'Données projet'!$B$140,CT82+CS83-DB82)))</f>
        <v>381.99999999999966</v>
      </c>
      <c r="CU83" s="18">
        <f>CT83*VLOOKUP('Données projet'!$B$13,Paramètres!$A$1:$I$89,3,0)*VLOOKUP('Données projet'!$B$13,Paramètres!$A$1:$I$89,5,0)</f>
        <v>280.08239999999972</v>
      </c>
      <c r="CV83" s="14">
        <f t="shared" si="95"/>
        <v>66.984422071611988</v>
      </c>
      <c r="CW83" s="22">
        <f t="shared" si="67"/>
        <v>604.47471510805701</v>
      </c>
      <c r="CX83" s="62">
        <f t="shared" si="68"/>
        <v>897.80804844139038</v>
      </c>
      <c r="CY83" s="62">
        <f ca="1">AVERAGE(OFFSET($CX$3,0,0,'Données projet'!$E$13+1,1))-AVERAGE(OFFSET($H$3,0,0,'Données projet'!$E$13+1,1))</f>
        <v>376.5422416541544</v>
      </c>
      <c r="CZ83" s="62">
        <f t="shared" si="96"/>
        <v>365.76175372075869</v>
      </c>
      <c r="DA83" s="16">
        <f>IF(ISNA(VLOOKUP(A83,'Données projet'!$A$139:$I$159,3,0)),0,VLOOKUP(A83,'Données projet'!$A$139:$I$159,3,0))</f>
        <v>15</v>
      </c>
      <c r="DB83" s="16">
        <f>IF(ISNA(VLOOKUP(A83,'Données projet'!$A$139:$I$159,4,0)),0,VLOOKUP(A83,'Données projet'!$A$139:$I$159,4,0))</f>
        <v>382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329</v>
      </c>
      <c r="DM83" s="13">
        <f>VLOOKUP(A83,'Données projet'!$A$165:$I$185,9,0)</f>
        <v>3.6</v>
      </c>
      <c r="DN83" s="13">
        <f t="array" ref="DN83">INDEX(DM:DM,MIN(IF(ISNUMBER(DM83:DM279),ROW(DM83:DM279),"")))</f>
        <v>3.6</v>
      </c>
      <c r="DO83" s="13">
        <f>IF('Données projet'!$A$166&gt;35,DO82+DN83-DW82,IF(A83&lt;'Données projet'!$A$166,$DL$205^A83,IF(A83='Données projet'!$A$166,'Données projet'!$B$166,DO82+DN83-DW82)))</f>
        <v>328.99999999999972</v>
      </c>
      <c r="DP83" s="18">
        <f>DO83*VLOOKUP('Données projet'!$B$14,Paramètres!$A$1:$I$89,3,0)*VLOOKUP('Données projet'!$B$14,Paramètres!$A$1:$I$89,5,0)</f>
        <v>261.7523999999998</v>
      </c>
      <c r="DQ83" s="14">
        <f t="shared" si="97"/>
        <v>63.095772658160975</v>
      </c>
      <c r="DR83" s="22">
        <f t="shared" si="70"/>
        <v>565.7772340462966</v>
      </c>
      <c r="DS83" s="62">
        <f t="shared" si="71"/>
        <v>859.11056737962986</v>
      </c>
      <c r="DT83" s="62">
        <f ca="1">AVERAGE(OFFSET($DS$3,0,0,'Données projet'!$E$14+1,1))-AVERAGE(OFFSET($H$3,0,0,'Données projet'!$E$14+1,1))</f>
        <v>352.5736659365665</v>
      </c>
      <c r="DU83" s="62">
        <f t="shared" si="98"/>
        <v>343.77208530767069</v>
      </c>
      <c r="DV83" s="16">
        <f>IF(ISNA(VLOOKUP(A83,'Données projet'!$A$165:$I$185,3,0)),0,VLOOKUP(A83,'Données projet'!$A$165:$I$185,3,0))</f>
        <v>15</v>
      </c>
      <c r="DW83" s="16">
        <f>IF(ISNA(VLOOKUP(A83,'Données projet'!$A$165:$I$185,4,0)),0,VLOOKUP(A83,'Données projet'!$A$165:$I$185,4,0))</f>
        <v>329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2.2737367544323206E-13</v>
      </c>
      <c r="EK83" s="18">
        <f>EJ83*VLOOKUP('Données projet'!$B$15,Paramètres!$A$1:$I$89,3,0)*VLOOKUP('Données projet'!$B$15,Paramètres!$A$1:$I$89,5,0)</f>
        <v>2.0572770154103635E-13</v>
      </c>
      <c r="EL83" s="14">
        <f t="shared" si="99"/>
        <v>2.8416956338469711E-12</v>
      </c>
      <c r="EM83" s="22">
        <f t="shared" si="73"/>
        <v>5.3075956424674458E-12</v>
      </c>
      <c r="EN83" s="62">
        <f t="shared" si="74"/>
        <v>293.3333333333386</v>
      </c>
      <c r="EO83" s="62">
        <f ca="1">AVERAGE(OFFSET($EN$3,0,0,'Données projet'!$E$15+1,1))-AVERAGE(OFFSET($H$3,0,0,'Données projet'!$E$15+1,1))</f>
        <v>436.23918637269577</v>
      </c>
      <c r="EP83" s="62">
        <f t="shared" si="100"/>
        <v>611.43967996341894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1.7461971242968326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1.7461971242968326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1.9895196601282805E-13</v>
      </c>
      <c r="FF83" s="18">
        <f>FE83*VLOOKUP('Données projet'!$B$16,Paramètres!$A$1:$I$89,3,0)*VLOOKUP('Données projet'!$B$16,Paramètres!$A$1:$I$89,5,0)</f>
        <v>1.738044375088066E-13</v>
      </c>
      <c r="FG83" s="14">
        <f t="shared" si="101"/>
        <v>2.4483293633950478E-12</v>
      </c>
      <c r="FH83" s="22">
        <f t="shared" si="76"/>
        <v>4.566883036574213E-12</v>
      </c>
      <c r="FI83" s="62">
        <f t="shared" si="77"/>
        <v>293.33333333333786</v>
      </c>
      <c r="FJ83" s="62">
        <f ca="1">AVERAGE(OFFSET($FI$3,0,0,'Données projet'!$E$16+1,1))-AVERAGE(OFFSET($H$3,0,0,'Données projet'!$E$16+1,1))</f>
        <v>321.23599968992932</v>
      </c>
      <c r="FK83" s="62">
        <f t="shared" si="102"/>
        <v>388.05195847800502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6.3550942286383367E-14</v>
      </c>
      <c r="P84" s="14">
        <f t="shared" si="87"/>
        <v>1.0064464192543978E-12</v>
      </c>
      <c r="Q84" s="22">
        <f t="shared" si="54"/>
        <v>1.8635787380168604E-12</v>
      </c>
      <c r="R84" s="62">
        <f t="shared" si="55"/>
        <v>293.33333333333519</v>
      </c>
      <c r="S84" s="62">
        <f ca="1">AVERAGE(OFFSET($R$3,0,0,'Données projet'!$E$9+1,1))-AVERAGE(OFFSET($H$3,0,0,'Données projet'!$E$9+1,1))</f>
        <v>389.06620927245814</v>
      </c>
      <c r="T84" s="62">
        <f t="shared" si="88"/>
        <v>356.08144160383193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7.5401717037270055</v>
      </c>
      <c r="AB84" s="23">
        <f>EXP(-LN(2)/2)*AB83+(1-EXP(-LN(2)/2))/(LN(2)/2)*V84*Y84*VLOOKUP('Données projet'!$B$9,Paramètres!$A$1:$I$89,3,0)*0.475*44/12</f>
        <v>1.0920986647361902E-7</v>
      </c>
      <c r="AC84" s="24">
        <f t="shared" si="57"/>
        <v>7.5401718129368716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projet'!$B$10,Paramètres!$A$1:$I$89,3,0)*VLOOKUP('Données projet'!$B$10,Paramètres!$A$1:$I$89,5,0)</f>
        <v>-3.1036506698001178E-14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293.73480285950245</v>
      </c>
      <c r="AO84" s="62">
        <f t="shared" si="90"/>
        <v>425.99823184414191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5.1377463170278084</v>
      </c>
      <c r="AW84" s="23">
        <f>EXP(-LN(2)/2)*AW83+(1-EXP(-LN(2)/2))/(LN(2)/2)*AQ84*AT84*VLOOKUP('Données projet'!$B$10,Paramètres!$A$1:$I$89,3,0)*0.475*44/12</f>
        <v>4.073470783485235E-7</v>
      </c>
      <c r="AX84" s="23">
        <f t="shared" si="60"/>
        <v>5.1377467243748871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6.8</v>
      </c>
      <c r="BD84" s="13">
        <f>IF('Données projet'!$A$88&gt;35,BD83+BC84-BL83,IF(A84&lt;'Données projet'!$A$88,$BA$205^A84,IF(A84='Données projet'!$A$88,'Données projet'!$B$88,BD83+BC84-BL83)))</f>
        <v>298.8</v>
      </c>
      <c r="BE84" s="14">
        <f>BD84*VLOOKUP('Données projet'!$B$11,Paramètres!$A$1:$I$89,3,0)*VLOOKUP('Données projet'!$B$11,Paramètres!$A$1:$I$89,5,0)</f>
        <v>270.35424</v>
      </c>
      <c r="BF84" s="14">
        <f t="shared" si="91"/>
        <v>64.924442218534367</v>
      </c>
      <c r="BG84" s="22">
        <f t="shared" si="61"/>
        <v>583.94370486394735</v>
      </c>
      <c r="BH84" s="62">
        <f t="shared" si="62"/>
        <v>877.27703819728072</v>
      </c>
      <c r="BI84" s="62">
        <f ca="1">AVERAGE(OFFSET($BH$3,0,0,'Données projet'!$E$11+1,1))-AVERAGE(OFFSET($H$3,0,0,'Données projet'!$E$11+1,1))</f>
        <v>438.70522838726322</v>
      </c>
      <c r="BJ84" s="62">
        <f t="shared" si="92"/>
        <v>278.21741231699929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6.8</v>
      </c>
      <c r="BY84" s="13">
        <f>IF('Données projet'!$A$114&gt;35,BY83+BX84-CG83,IF(A84&lt;'Données projet'!$A$114,$BV$205^A84,IF(A84='Données projet'!$A$114,'Données projet'!$B$114,BY83+BX84-CG83)))</f>
        <v>298.8</v>
      </c>
      <c r="BZ84" s="14">
        <f>BY84*VLOOKUP('Données projet'!$B$12,Paramètres!$A$1:$I$89,3,0)*VLOOKUP('Données projet'!$B$12,Paramètres!$A$1:$I$89,5,0)</f>
        <v>288.99936000000002</v>
      </c>
      <c r="CA84" s="14">
        <f t="shared" si="93"/>
        <v>68.86531667529006</v>
      </c>
      <c r="CB84" s="22">
        <f t="shared" si="64"/>
        <v>623.2809785427969</v>
      </c>
      <c r="CC84" s="62">
        <f t="shared" si="65"/>
        <v>916.61431187613016</v>
      </c>
      <c r="CD84" s="62">
        <f ca="1">AVERAGE(OFFSET($CC$3,0,0,'Données projet'!$E$12+1,1))-AVERAGE(OFFSET($H$3,0,0,'Données projet'!$E$12+1,1))</f>
        <v>466.10838191274445</v>
      </c>
      <c r="CE84" s="62">
        <f t="shared" si="94"/>
        <v>294.45557293177131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-3.4106051316484809E-13</v>
      </c>
      <c r="CU84" s="18">
        <f>CT84*VLOOKUP('Données projet'!$B$13,Paramètres!$A$1:$I$89,3,0)*VLOOKUP('Données projet'!$B$13,Paramètres!$A$1:$I$89,5,0)</f>
        <v>-2.5006556825246659E-13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376.5422416541544</v>
      </c>
      <c r="CZ84" s="62">
        <f t="shared" si="96"/>
        <v>365.76175372075869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-2.8421709430404007E-13</v>
      </c>
      <c r="DP84" s="18">
        <f>DO84*VLOOKUP('Données projet'!$B$14,Paramètres!$A$1:$I$89,3,0)*VLOOKUP('Données projet'!$B$14,Paramètres!$A$1:$I$89,5,0)</f>
        <v>-2.2612312022829427E-13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352.5736659365665</v>
      </c>
      <c r="DU84" s="62">
        <f t="shared" si="98"/>
        <v>343.77208530767069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2.2737367544323206E-13</v>
      </c>
      <c r="EK84" s="18">
        <f>EJ84*VLOOKUP('Données projet'!$B$15,Paramètres!$A$1:$I$89,3,0)*VLOOKUP('Données projet'!$B$15,Paramètres!$A$1:$I$89,5,0)</f>
        <v>2.0572770154103635E-13</v>
      </c>
      <c r="EL84" s="14">
        <f t="shared" si="99"/>
        <v>2.8416956338469711E-12</v>
      </c>
      <c r="EM84" s="22">
        <f t="shared" si="73"/>
        <v>5.3075956424674458E-12</v>
      </c>
      <c r="EN84" s="62">
        <f t="shared" si="74"/>
        <v>293.3333333333386</v>
      </c>
      <c r="EO84" s="62">
        <f ca="1">AVERAGE(OFFSET($EN$3,0,0,'Données projet'!$E$15+1,1))-AVERAGE(OFFSET($H$3,0,0,'Données projet'!$E$15+1,1))</f>
        <v>436.23918637269577</v>
      </c>
      <c r="EP84" s="62">
        <f t="shared" si="100"/>
        <v>611.43967996341894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1.7119552637644502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1.7119552637644502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1.9895196601282805E-13</v>
      </c>
      <c r="FF84" s="18">
        <f>FE84*VLOOKUP('Données projet'!$B$16,Paramètres!$A$1:$I$89,3,0)*VLOOKUP('Données projet'!$B$16,Paramètres!$A$1:$I$89,5,0)</f>
        <v>1.738044375088066E-13</v>
      </c>
      <c r="FG84" s="14">
        <f t="shared" si="101"/>
        <v>2.4483293633950478E-12</v>
      </c>
      <c r="FH84" s="22">
        <f t="shared" si="76"/>
        <v>4.566883036574213E-12</v>
      </c>
      <c r="FI84" s="62">
        <f t="shared" si="77"/>
        <v>293.33333333333786</v>
      </c>
      <c r="FJ84" s="62">
        <f ca="1">AVERAGE(OFFSET($FI$3,0,0,'Données projet'!$E$16+1,1))-AVERAGE(OFFSET($H$3,0,0,'Données projet'!$E$16+1,1))</f>
        <v>321.23599968992932</v>
      </c>
      <c r="FK84" s="62">
        <f t="shared" si="102"/>
        <v>388.05195847800502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6.3550942286383367E-14</v>
      </c>
      <c r="P85" s="14">
        <f t="shared" si="87"/>
        <v>1.0064464192543978E-12</v>
      </c>
      <c r="Q85" s="22">
        <f t="shared" si="54"/>
        <v>1.8635787380168604E-12</v>
      </c>
      <c r="R85" s="62">
        <f t="shared" si="55"/>
        <v>293.33333333333519</v>
      </c>
      <c r="S85" s="62">
        <f ca="1">AVERAGE(OFFSET($R$3,0,0,'Données projet'!$E$9+1,1))-AVERAGE(OFFSET($H$3,0,0,'Données projet'!$E$9+1,1))</f>
        <v>389.06620927245814</v>
      </c>
      <c r="T85" s="62">
        <f t="shared" si="88"/>
        <v>356.08144160383193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7.3339853119681937</v>
      </c>
      <c r="AB85" s="23">
        <f>EXP(-LN(2)/2)*AB84+(1-EXP(-LN(2)/2))/(LN(2)/2)*V85*Y85*VLOOKUP('Données projet'!$B$9,Paramètres!$A$1:$I$89,3,0)*0.475*44/12</f>
        <v>7.7223037155973393E-8</v>
      </c>
      <c r="AC85" s="24">
        <f t="shared" si="57"/>
        <v>7.3339853891912306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projet'!$B$10,Paramètres!$A$1:$I$89,3,0)*VLOOKUP('Données projet'!$B$10,Paramètres!$A$1:$I$89,5,0)</f>
        <v>-3.1036506698001178E-14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293.73480285950245</v>
      </c>
      <c r="AO85" s="62">
        <f t="shared" si="90"/>
        <v>425.99823184414191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4.9972543738063466</v>
      </c>
      <c r="AW85" s="23">
        <f>EXP(-LN(2)/2)*AW84+(1-EXP(-LN(2)/2))/(LN(2)/2)*AQ85*AT85*VLOOKUP('Données projet'!$B$10,Paramètres!$A$1:$I$89,3,0)*0.475*44/12</f>
        <v>2.8803788139676883E-7</v>
      </c>
      <c r="AX85" s="23">
        <f t="shared" si="60"/>
        <v>4.9972546618442282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6.8</v>
      </c>
      <c r="BD85" s="13">
        <f>IF('Données projet'!$A$88&gt;35,BD84+BC85-BL84,IF(A85&lt;'Données projet'!$A$88,$BA$205^A85,IF(A85='Données projet'!$A$88,'Données projet'!$B$88,BD84+BC85-BL84)))</f>
        <v>305.60000000000002</v>
      </c>
      <c r="BE85" s="14">
        <f>BD85*VLOOKUP('Données projet'!$B$11,Paramètres!$A$1:$I$89,3,0)*VLOOKUP('Données projet'!$B$11,Paramètres!$A$1:$I$89,5,0)</f>
        <v>276.50687999999997</v>
      </c>
      <c r="BF85" s="14">
        <f t="shared" si="91"/>
        <v>66.228273722513677</v>
      </c>
      <c r="BG85" s="22">
        <f t="shared" si="61"/>
        <v>596.93039273337797</v>
      </c>
      <c r="BH85" s="62">
        <f t="shared" si="62"/>
        <v>890.26372606671134</v>
      </c>
      <c r="BI85" s="62">
        <f ca="1">AVERAGE(OFFSET($BH$3,0,0,'Données projet'!$E$11+1,1))-AVERAGE(OFFSET($H$3,0,0,'Données projet'!$E$11+1,1))</f>
        <v>438.70522838726322</v>
      </c>
      <c r="BJ85" s="62">
        <f t="shared" si="92"/>
        <v>278.21741231699929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6.8</v>
      </c>
      <c r="BY85" s="13">
        <f>IF('Données projet'!$A$114&gt;35,BY84+BX85-CG84,IF(A85&lt;'Données projet'!$A$114,$BV$205^A85,IF(A85='Données projet'!$A$114,'Données projet'!$B$114,BY84+BX85-CG84)))</f>
        <v>305.60000000000002</v>
      </c>
      <c r="BZ85" s="14">
        <f>BY85*VLOOKUP('Données projet'!$B$12,Paramètres!$A$1:$I$89,3,0)*VLOOKUP('Données projet'!$B$12,Paramètres!$A$1:$I$89,5,0)</f>
        <v>295.57632000000001</v>
      </c>
      <c r="CA85" s="14">
        <f t="shared" si="93"/>
        <v>70.24828996461811</v>
      </c>
      <c r="CB85" s="22">
        <f t="shared" si="64"/>
        <v>637.1445290217099</v>
      </c>
      <c r="CC85" s="62">
        <f t="shared" si="65"/>
        <v>930.47786235504327</v>
      </c>
      <c r="CD85" s="62">
        <f ca="1">AVERAGE(OFFSET($CC$3,0,0,'Données projet'!$E$12+1,1))-AVERAGE(OFFSET($H$3,0,0,'Données projet'!$E$12+1,1))</f>
        <v>466.10838191274445</v>
      </c>
      <c r="CE85" s="62">
        <f t="shared" si="94"/>
        <v>294.45557293177131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-3.4106051316484809E-13</v>
      </c>
      <c r="CU85" s="18">
        <f>CT85*VLOOKUP('Données projet'!$B$13,Paramètres!$A$1:$I$89,3,0)*VLOOKUP('Données projet'!$B$13,Paramètres!$A$1:$I$89,5,0)</f>
        <v>-2.5006556825246659E-13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376.5422416541544</v>
      </c>
      <c r="CZ85" s="62">
        <f t="shared" si="96"/>
        <v>365.76175372075869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-2.8421709430404007E-13</v>
      </c>
      <c r="DP85" s="18">
        <f>DO85*VLOOKUP('Données projet'!$B$14,Paramètres!$A$1:$I$89,3,0)*VLOOKUP('Données projet'!$B$14,Paramètres!$A$1:$I$89,5,0)</f>
        <v>-2.2612312022829427E-13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352.5736659365665</v>
      </c>
      <c r="DU85" s="62">
        <f t="shared" si="98"/>
        <v>343.77208530767069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2.2737367544323206E-13</v>
      </c>
      <c r="EK85" s="18">
        <f>EJ85*VLOOKUP('Données projet'!$B$15,Paramètres!$A$1:$I$89,3,0)*VLOOKUP('Données projet'!$B$15,Paramètres!$A$1:$I$89,5,0)</f>
        <v>2.0572770154103635E-13</v>
      </c>
      <c r="EL85" s="14">
        <f t="shared" si="99"/>
        <v>2.8416956338469711E-12</v>
      </c>
      <c r="EM85" s="22">
        <f t="shared" si="73"/>
        <v>5.3075956424674458E-12</v>
      </c>
      <c r="EN85" s="62">
        <f t="shared" si="74"/>
        <v>293.3333333333386</v>
      </c>
      <c r="EO85" s="62">
        <f ca="1">AVERAGE(OFFSET($EN$3,0,0,'Données projet'!$E$15+1,1))-AVERAGE(OFFSET($H$3,0,0,'Données projet'!$E$15+1,1))</f>
        <v>436.23918637269577</v>
      </c>
      <c r="EP85" s="62">
        <f t="shared" si="100"/>
        <v>611.43967996341894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1.6783848652316351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1.6783848652316351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1.9895196601282805E-13</v>
      </c>
      <c r="FF85" s="18">
        <f>FE85*VLOOKUP('Données projet'!$B$16,Paramètres!$A$1:$I$89,3,0)*VLOOKUP('Données projet'!$B$16,Paramètres!$A$1:$I$89,5,0)</f>
        <v>1.738044375088066E-13</v>
      </c>
      <c r="FG85" s="14">
        <f t="shared" si="101"/>
        <v>2.4483293633950478E-12</v>
      </c>
      <c r="FH85" s="22">
        <f t="shared" si="76"/>
        <v>4.566883036574213E-12</v>
      </c>
      <c r="FI85" s="62">
        <f t="shared" si="77"/>
        <v>293.33333333333786</v>
      </c>
      <c r="FJ85" s="62">
        <f ca="1">AVERAGE(OFFSET($FI$3,0,0,'Données projet'!$E$16+1,1))-AVERAGE(OFFSET($H$3,0,0,'Données projet'!$E$16+1,1))</f>
        <v>321.23599968992932</v>
      </c>
      <c r="FK85" s="62">
        <f t="shared" si="102"/>
        <v>388.05195847800502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6.3550942286383367E-14</v>
      </c>
      <c r="P86" s="14">
        <f t="shared" si="87"/>
        <v>1.0064464192543978E-12</v>
      </c>
      <c r="Q86" s="22">
        <f t="shared" si="54"/>
        <v>1.8635787380168604E-12</v>
      </c>
      <c r="R86" s="62">
        <f t="shared" si="55"/>
        <v>293.33333333333519</v>
      </c>
      <c r="S86" s="62">
        <f ca="1">AVERAGE(OFFSET($R$3,0,0,'Données projet'!$E$9+1,1))-AVERAGE(OFFSET($H$3,0,0,'Données projet'!$E$9+1,1))</f>
        <v>389.06620927245814</v>
      </c>
      <c r="T86" s="62">
        <f t="shared" si="88"/>
        <v>356.08144160383193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7.1334370979348982</v>
      </c>
      <c r="AB86" s="23">
        <f>EXP(-LN(2)/2)*AB85+(1-EXP(-LN(2)/2))/(LN(2)/2)*V86*Y86*VLOOKUP('Données projet'!$B$9,Paramètres!$A$1:$I$89,3,0)*0.475*44/12</f>
        <v>5.4604933236809508E-8</v>
      </c>
      <c r="AC86" s="24">
        <f t="shared" si="57"/>
        <v>7.1334371525398312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projet'!$B$10,Paramètres!$A$1:$I$89,3,0)*VLOOKUP('Données projet'!$B$10,Paramètres!$A$1:$I$89,5,0)</f>
        <v>-3.1036506698001178E-14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293.73480285950245</v>
      </c>
      <c r="AO86" s="62">
        <f t="shared" si="90"/>
        <v>425.99823184414191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4.8606041901604256</v>
      </c>
      <c r="AW86" s="23">
        <f>EXP(-LN(2)/2)*AW85+(1-EXP(-LN(2)/2))/(LN(2)/2)*AQ86*AT86*VLOOKUP('Données projet'!$B$10,Paramètres!$A$1:$I$89,3,0)*0.475*44/12</f>
        <v>2.0367353917426175E-7</v>
      </c>
      <c r="AX86" s="23">
        <f t="shared" si="60"/>
        <v>4.8606043938339649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6.8</v>
      </c>
      <c r="BD86" s="13">
        <f>IF('Données projet'!$A$88&gt;35,BD85+BC86-BL85,IF(A86&lt;'Données projet'!$A$88,$BA$205^A86,IF(A86='Données projet'!$A$88,'Données projet'!$B$88,BD85+BC86-BL85)))</f>
        <v>312.40000000000003</v>
      </c>
      <c r="BE86" s="14">
        <f>BD86*VLOOKUP('Données projet'!$B$11,Paramètres!$A$1:$I$89,3,0)*VLOOKUP('Données projet'!$B$11,Paramètres!$A$1:$I$89,5,0)</f>
        <v>282.65952000000004</v>
      </c>
      <c r="BF86" s="14">
        <f t="shared" si="91"/>
        <v>67.528732309967324</v>
      </c>
      <c r="BG86" s="22">
        <f t="shared" si="61"/>
        <v>609.91120610652649</v>
      </c>
      <c r="BH86" s="62">
        <f t="shared" si="62"/>
        <v>903.24453943985986</v>
      </c>
      <c r="BI86" s="62">
        <f ca="1">AVERAGE(OFFSET($BH$3,0,0,'Données projet'!$E$11+1,1))-AVERAGE(OFFSET($H$3,0,0,'Données projet'!$E$11+1,1))</f>
        <v>438.70522838726322</v>
      </c>
      <c r="BJ86" s="62">
        <f t="shared" si="92"/>
        <v>278.21741231699929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6.8</v>
      </c>
      <c r="BY86" s="13">
        <f>IF('Données projet'!$A$114&gt;35,BY85+BX86-CG85,IF(A86&lt;'Données projet'!$A$114,$BV$205^A86,IF(A86='Données projet'!$A$114,'Données projet'!$B$114,BY85+BX86-CG85)))</f>
        <v>312.40000000000003</v>
      </c>
      <c r="BZ86" s="14">
        <f>BY86*VLOOKUP('Données projet'!$B$12,Paramètres!$A$1:$I$89,3,0)*VLOOKUP('Données projet'!$B$12,Paramètres!$A$1:$I$89,5,0)</f>
        <v>302.15328000000005</v>
      </c>
      <c r="CA86" s="14">
        <f t="shared" si="93"/>
        <v>71.627685603423203</v>
      </c>
      <c r="CB86" s="22">
        <f t="shared" si="64"/>
        <v>651.00184842596218</v>
      </c>
      <c r="CC86" s="62">
        <f t="shared" si="65"/>
        <v>944.33518175929544</v>
      </c>
      <c r="CD86" s="62">
        <f ca="1">AVERAGE(OFFSET($CC$3,0,0,'Données projet'!$E$12+1,1))-AVERAGE(OFFSET($H$3,0,0,'Données projet'!$E$12+1,1))</f>
        <v>466.10838191274445</v>
      </c>
      <c r="CE86" s="62">
        <f t="shared" si="94"/>
        <v>294.45557293177131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-3.4106051316484809E-13</v>
      </c>
      <c r="CU86" s="18">
        <f>CT86*VLOOKUP('Données projet'!$B$13,Paramètres!$A$1:$I$89,3,0)*VLOOKUP('Données projet'!$B$13,Paramètres!$A$1:$I$89,5,0)</f>
        <v>-2.5006556825246659E-13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376.5422416541544</v>
      </c>
      <c r="CZ86" s="62">
        <f t="shared" si="96"/>
        <v>365.76175372075869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-2.8421709430404007E-13</v>
      </c>
      <c r="DP86" s="18">
        <f>DO86*VLOOKUP('Données projet'!$B$14,Paramètres!$A$1:$I$89,3,0)*VLOOKUP('Données projet'!$B$14,Paramètres!$A$1:$I$89,5,0)</f>
        <v>-2.2612312022829427E-13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352.5736659365665</v>
      </c>
      <c r="DU86" s="62">
        <f t="shared" si="98"/>
        <v>343.77208530767069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2.2737367544323206E-13</v>
      </c>
      <c r="EK86" s="18">
        <f>EJ86*VLOOKUP('Données projet'!$B$15,Paramètres!$A$1:$I$89,3,0)*VLOOKUP('Données projet'!$B$15,Paramètres!$A$1:$I$89,5,0)</f>
        <v>2.0572770154103635E-13</v>
      </c>
      <c r="EL86" s="14">
        <f t="shared" si="99"/>
        <v>2.8416956338469711E-12</v>
      </c>
      <c r="EM86" s="22">
        <f t="shared" si="73"/>
        <v>5.3075956424674458E-12</v>
      </c>
      <c r="EN86" s="62">
        <f t="shared" si="74"/>
        <v>293.3333333333386</v>
      </c>
      <c r="EO86" s="62">
        <f ca="1">AVERAGE(OFFSET($EN$3,0,0,'Données projet'!$E$15+1,1))-AVERAGE(OFFSET($H$3,0,0,'Données projet'!$E$15+1,1))</f>
        <v>436.23918637269577</v>
      </c>
      <c r="EP86" s="62">
        <f t="shared" si="100"/>
        <v>611.43967996341894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1.6454727617381273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1.6454727617381273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1.9895196601282805E-13</v>
      </c>
      <c r="FF86" s="18">
        <f>FE86*VLOOKUP('Données projet'!$B$16,Paramètres!$A$1:$I$89,3,0)*VLOOKUP('Données projet'!$B$16,Paramètres!$A$1:$I$89,5,0)</f>
        <v>1.738044375088066E-13</v>
      </c>
      <c r="FG86" s="14">
        <f t="shared" si="101"/>
        <v>2.4483293633950478E-12</v>
      </c>
      <c r="FH86" s="22">
        <f t="shared" si="76"/>
        <v>4.566883036574213E-12</v>
      </c>
      <c r="FI86" s="62">
        <f t="shared" si="77"/>
        <v>293.33333333333786</v>
      </c>
      <c r="FJ86" s="62">
        <f ca="1">AVERAGE(OFFSET($FI$3,0,0,'Données projet'!$E$16+1,1))-AVERAGE(OFFSET($H$3,0,0,'Données projet'!$E$16+1,1))</f>
        <v>321.23599968992932</v>
      </c>
      <c r="FK86" s="62">
        <f t="shared" si="102"/>
        <v>388.05195847800502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6.3550942286383367E-14</v>
      </c>
      <c r="P87" s="14">
        <f t="shared" si="87"/>
        <v>1.0064464192543978E-12</v>
      </c>
      <c r="Q87" s="22">
        <f t="shared" si="54"/>
        <v>1.8635787380168604E-12</v>
      </c>
      <c r="R87" s="62">
        <f t="shared" si="55"/>
        <v>293.33333333333519</v>
      </c>
      <c r="S87" s="62">
        <f ca="1">AVERAGE(OFFSET($R$3,0,0,'Données projet'!$E$9+1,1))-AVERAGE(OFFSET($H$3,0,0,'Données projet'!$E$9+1,1))</f>
        <v>389.06620927245814</v>
      </c>
      <c r="T87" s="62">
        <f t="shared" si="88"/>
        <v>356.08144160383193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6.9383728853607147</v>
      </c>
      <c r="AB87" s="23">
        <f>EXP(-LN(2)/2)*AB86+(1-EXP(-LN(2)/2))/(LN(2)/2)*V87*Y87*VLOOKUP('Données projet'!$B$9,Paramètres!$A$1:$I$89,3,0)*0.475*44/12</f>
        <v>3.8611518577986696E-8</v>
      </c>
      <c r="AC87" s="24">
        <f t="shared" si="57"/>
        <v>6.9383729239722332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projet'!$B$10,Paramètres!$A$1:$I$89,3,0)*VLOOKUP('Données projet'!$B$10,Paramètres!$A$1:$I$89,5,0)</f>
        <v>-3.1036506698001178E-14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293.73480285950245</v>
      </c>
      <c r="AO87" s="62">
        <f t="shared" si="90"/>
        <v>425.99823184414191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4.7276907129724233</v>
      </c>
      <c r="AW87" s="23">
        <f>EXP(-LN(2)/2)*AW86+(1-EXP(-LN(2)/2))/(LN(2)/2)*AQ87*AT87*VLOOKUP('Données projet'!$B$10,Paramètres!$A$1:$I$89,3,0)*0.475*44/12</f>
        <v>1.4401894069838442E-7</v>
      </c>
      <c r="AX87" s="23">
        <f t="shared" si="60"/>
        <v>4.727690856991364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6.8</v>
      </c>
      <c r="BD87" s="13">
        <f>IF('Données projet'!$A$88&gt;35,BD86+BC87-BL86,IF(A87&lt;'Données projet'!$A$88,$BA$205^A87,IF(A87='Données projet'!$A$88,'Données projet'!$B$88,BD86+BC87-BL86)))</f>
        <v>319.20000000000005</v>
      </c>
      <c r="BE87" s="14">
        <f>BD87*VLOOKUP('Données projet'!$B$11,Paramètres!$A$1:$I$89,3,0)*VLOOKUP('Données projet'!$B$11,Paramètres!$A$1:$I$89,5,0)</f>
        <v>288.81216000000006</v>
      </c>
      <c r="BF87" s="14">
        <f t="shared" si="91"/>
        <v>68.825899854238159</v>
      </c>
      <c r="BG87" s="22">
        <f t="shared" si="61"/>
        <v>622.88628757946492</v>
      </c>
      <c r="BH87" s="62">
        <f t="shared" si="62"/>
        <v>916.21962091279829</v>
      </c>
      <c r="BI87" s="62">
        <f ca="1">AVERAGE(OFFSET($BH$3,0,0,'Données projet'!$E$11+1,1))-AVERAGE(OFFSET($H$3,0,0,'Données projet'!$E$11+1,1))</f>
        <v>438.70522838726322</v>
      </c>
      <c r="BJ87" s="62">
        <f t="shared" si="92"/>
        <v>278.21741231699929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6.8</v>
      </c>
      <c r="BY87" s="13">
        <f>IF('Données projet'!$A$114&gt;35,BY86+BX87-CG86,IF(A87&lt;'Données projet'!$A$114,$BV$205^A87,IF(A87='Données projet'!$A$114,'Données projet'!$B$114,BY86+BX87-CG86)))</f>
        <v>319.20000000000005</v>
      </c>
      <c r="BZ87" s="14">
        <f>BY87*VLOOKUP('Données projet'!$B$12,Paramètres!$A$1:$I$89,3,0)*VLOOKUP('Données projet'!$B$12,Paramètres!$A$1:$I$89,5,0)</f>
        <v>308.73024000000004</v>
      </c>
      <c r="CA87" s="14">
        <f t="shared" si="93"/>
        <v>73.003590434710574</v>
      </c>
      <c r="CB87" s="22">
        <f t="shared" si="64"/>
        <v>664.85308800712107</v>
      </c>
      <c r="CC87" s="62">
        <f t="shared" si="65"/>
        <v>958.18642134045444</v>
      </c>
      <c r="CD87" s="62">
        <f ca="1">AVERAGE(OFFSET($CC$3,0,0,'Données projet'!$E$12+1,1))-AVERAGE(OFFSET($H$3,0,0,'Données projet'!$E$12+1,1))</f>
        <v>466.10838191274445</v>
      </c>
      <c r="CE87" s="62">
        <f t="shared" si="94"/>
        <v>294.45557293177131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-3.4106051316484809E-13</v>
      </c>
      <c r="CU87" s="18">
        <f>CT87*VLOOKUP('Données projet'!$B$13,Paramètres!$A$1:$I$89,3,0)*VLOOKUP('Données projet'!$B$13,Paramètres!$A$1:$I$89,5,0)</f>
        <v>-2.5006556825246659E-13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376.5422416541544</v>
      </c>
      <c r="CZ87" s="62">
        <f t="shared" si="96"/>
        <v>365.76175372075869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-2.8421709430404007E-13</v>
      </c>
      <c r="DP87" s="18">
        <f>DO87*VLOOKUP('Données projet'!$B$14,Paramètres!$A$1:$I$89,3,0)*VLOOKUP('Données projet'!$B$14,Paramètres!$A$1:$I$89,5,0)</f>
        <v>-2.2612312022829427E-13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352.5736659365665</v>
      </c>
      <c r="DU87" s="62">
        <f t="shared" si="98"/>
        <v>343.77208530767069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2.2737367544323206E-13</v>
      </c>
      <c r="EK87" s="18">
        <f>EJ87*VLOOKUP('Données projet'!$B$15,Paramètres!$A$1:$I$89,3,0)*VLOOKUP('Données projet'!$B$15,Paramètres!$A$1:$I$89,5,0)</f>
        <v>2.0572770154103635E-13</v>
      </c>
      <c r="EL87" s="14">
        <f t="shared" si="99"/>
        <v>2.8416956338469711E-12</v>
      </c>
      <c r="EM87" s="22">
        <f t="shared" si="73"/>
        <v>5.3075956424674458E-12</v>
      </c>
      <c r="EN87" s="62">
        <f t="shared" si="74"/>
        <v>293.3333333333386</v>
      </c>
      <c r="EO87" s="62">
        <f ca="1">AVERAGE(OFFSET($EN$3,0,0,'Données projet'!$E$15+1,1))-AVERAGE(OFFSET($H$3,0,0,'Données projet'!$E$15+1,1))</f>
        <v>436.23918637269577</v>
      </c>
      <c r="EP87" s="62">
        <f t="shared" si="100"/>
        <v>611.43967996341894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1.613206044519726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1.613206044519726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1.9895196601282805E-13</v>
      </c>
      <c r="FF87" s="18">
        <f>FE87*VLOOKUP('Données projet'!$B$16,Paramètres!$A$1:$I$89,3,0)*VLOOKUP('Données projet'!$B$16,Paramètres!$A$1:$I$89,5,0)</f>
        <v>1.738044375088066E-13</v>
      </c>
      <c r="FG87" s="14">
        <f t="shared" si="101"/>
        <v>2.4483293633950478E-12</v>
      </c>
      <c r="FH87" s="22">
        <f t="shared" si="76"/>
        <v>4.566883036574213E-12</v>
      </c>
      <c r="FI87" s="62">
        <f t="shared" si="77"/>
        <v>293.33333333333786</v>
      </c>
      <c r="FJ87" s="62">
        <f ca="1">AVERAGE(OFFSET($FI$3,0,0,'Données projet'!$E$16+1,1))-AVERAGE(OFFSET($H$3,0,0,'Données projet'!$E$16+1,1))</f>
        <v>321.23599968992932</v>
      </c>
      <c r="FK87" s="62">
        <f t="shared" si="102"/>
        <v>388.05195847800502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6.3550942286383367E-14</v>
      </c>
      <c r="P88" s="14">
        <f t="shared" si="87"/>
        <v>1.0064464192543978E-12</v>
      </c>
      <c r="Q88" s="22">
        <f t="shared" si="54"/>
        <v>1.8635787380168604E-12</v>
      </c>
      <c r="R88" s="62">
        <f t="shared" si="55"/>
        <v>293.33333333333519</v>
      </c>
      <c r="S88" s="62">
        <f ca="1">AVERAGE(OFFSET($R$3,0,0,'Données projet'!$E$9+1,1))-AVERAGE(OFFSET($H$3,0,0,'Données projet'!$E$9+1,1))</f>
        <v>389.06620927245814</v>
      </c>
      <c r="T88" s="62">
        <f t="shared" si="88"/>
        <v>356.08144160383193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6.7486427139373539</v>
      </c>
      <c r="AB88" s="23">
        <f>EXP(-LN(2)/2)*AB87+(1-EXP(-LN(2)/2))/(LN(2)/2)*V88*Y88*VLOOKUP('Données projet'!$B$9,Paramètres!$A$1:$I$89,3,0)*0.475*44/12</f>
        <v>2.7302466618404754E-8</v>
      </c>
      <c r="AC88" s="24">
        <f t="shared" si="57"/>
        <v>6.7486427412398209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projet'!$B$10,Paramètres!$A$1:$I$89,3,0)*VLOOKUP('Données projet'!$B$10,Paramètres!$A$1:$I$89,5,0)</f>
        <v>-3.1036506698001178E-14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293.73480285950245</v>
      </c>
      <c r="AO88" s="62">
        <f t="shared" si="90"/>
        <v>425.99823184414191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4.5984117618077427</v>
      </c>
      <c r="AW88" s="23">
        <f>EXP(-LN(2)/2)*AW87+(1-EXP(-LN(2)/2))/(LN(2)/2)*AQ88*AT88*VLOOKUP('Données projet'!$B$10,Paramètres!$A$1:$I$89,3,0)*0.475*44/12</f>
        <v>1.0183676958713088E-7</v>
      </c>
      <c r="AX88" s="23">
        <f t="shared" si="60"/>
        <v>4.5984118636445119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326</v>
      </c>
      <c r="BB88" s="13">
        <f>VLOOKUP(A88,'Données projet'!$A$87:$I$107,9,0)</f>
        <v>6.8</v>
      </c>
      <c r="BC88" s="13">
        <f t="array" ref="BC88">INDEX(BB:BB,MIN(IF(ISNUMBER(BB88:BB284),ROW(BB88:BB284),"")))</f>
        <v>6.8</v>
      </c>
      <c r="BD88" s="13">
        <f>IF('Données projet'!$A$88&gt;35,BD87+BC88-BL87,IF(A88&lt;'Données projet'!$A$88,$BA$205^A88,IF(A88='Données projet'!$A$88,'Données projet'!$B$88,BD87+BC88-BL87)))</f>
        <v>326.00000000000006</v>
      </c>
      <c r="BE88" s="14">
        <f>BD88*VLOOKUP('Données projet'!$B$11,Paramètres!$A$1:$I$89,3,0)*VLOOKUP('Données projet'!$B$11,Paramètres!$A$1:$I$89,5,0)</f>
        <v>294.96480000000003</v>
      </c>
      <c r="BF88" s="14">
        <f t="shared" si="91"/>
        <v>70.119854541045001</v>
      </c>
      <c r="BG88" s="22">
        <f t="shared" si="61"/>
        <v>635.85577332565333</v>
      </c>
      <c r="BH88" s="62">
        <f t="shared" si="62"/>
        <v>929.1891066589867</v>
      </c>
      <c r="BI88" s="62">
        <f ca="1">AVERAGE(OFFSET($BH$3,0,0,'Données projet'!$E$11+1,1))-AVERAGE(OFFSET($H$3,0,0,'Données projet'!$E$11+1,1))</f>
        <v>438.70522838726322</v>
      </c>
      <c r="BJ88" s="62">
        <f t="shared" si="92"/>
        <v>278.21741231699929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326</v>
      </c>
      <c r="BW88" s="13">
        <f>VLOOKUP(A88,'Données projet'!$A$113:$I$133,9,0)</f>
        <v>6.8</v>
      </c>
      <c r="BX88" s="13">
        <f t="array" ref="BX88">INDEX(BW:BW,MIN(IF(ISNUMBER(BW88:BW284),ROW(BW88:BW284),"")))</f>
        <v>6.8</v>
      </c>
      <c r="BY88" s="13">
        <f>IF('Données projet'!$A$114&gt;35,BY87+BX88-CG87,IF(A88&lt;'Données projet'!$A$114,$BV$205^A88,IF(A88='Données projet'!$A$114,'Données projet'!$B$114,BY87+BX88-CG87)))</f>
        <v>326.00000000000006</v>
      </c>
      <c r="BZ88" s="14">
        <f>BY88*VLOOKUP('Données projet'!$B$12,Paramètres!$A$1:$I$89,3,0)*VLOOKUP('Données projet'!$B$12,Paramètres!$A$1:$I$89,5,0)</f>
        <v>315.30720000000008</v>
      </c>
      <c r="CA88" s="14">
        <f t="shared" si="93"/>
        <v>74.376087390025049</v>
      </c>
      <c r="CB88" s="22">
        <f t="shared" si="64"/>
        <v>678.69839220429378</v>
      </c>
      <c r="CC88" s="62">
        <f t="shared" si="65"/>
        <v>972.03172553762715</v>
      </c>
      <c r="CD88" s="62">
        <f ca="1">AVERAGE(OFFSET($CC$3,0,0,'Données projet'!$E$12+1,1))-AVERAGE(OFFSET($H$3,0,0,'Données projet'!$E$12+1,1))</f>
        <v>466.10838191274445</v>
      </c>
      <c r="CE88" s="62">
        <f t="shared" si="94"/>
        <v>294.45557293177131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28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-3.4106051316484809E-13</v>
      </c>
      <c r="CU88" s="18">
        <f>CT88*VLOOKUP('Données projet'!$B$13,Paramètres!$A$1:$I$89,3,0)*VLOOKUP('Données projet'!$B$13,Paramètres!$A$1:$I$89,5,0)</f>
        <v>-2.5006556825246659E-13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376.5422416541544</v>
      </c>
      <c r="CZ88" s="62">
        <f t="shared" si="96"/>
        <v>365.76175372075869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-2.8421709430404007E-13</v>
      </c>
      <c r="DP88" s="18">
        <f>DO88*VLOOKUP('Données projet'!$B$14,Paramètres!$A$1:$I$89,3,0)*VLOOKUP('Données projet'!$B$14,Paramètres!$A$1:$I$89,5,0)</f>
        <v>-2.2612312022829427E-13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352.5736659365665</v>
      </c>
      <c r="DU88" s="62">
        <f t="shared" si="98"/>
        <v>343.77208530767069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2.2737367544323206E-13</v>
      </c>
      <c r="EK88" s="18">
        <f>EJ88*VLOOKUP('Données projet'!$B$15,Paramètres!$A$1:$I$89,3,0)*VLOOKUP('Données projet'!$B$15,Paramètres!$A$1:$I$89,5,0)</f>
        <v>2.0572770154103635E-13</v>
      </c>
      <c r="EL88" s="14">
        <f t="shared" si="99"/>
        <v>2.8416956338469711E-12</v>
      </c>
      <c r="EM88" s="22">
        <f t="shared" si="73"/>
        <v>5.3075956424674458E-12</v>
      </c>
      <c r="EN88" s="62">
        <f t="shared" si="74"/>
        <v>293.3333333333386</v>
      </c>
      <c r="EO88" s="62">
        <f ca="1">AVERAGE(OFFSET($EN$3,0,0,'Données projet'!$E$15+1,1))-AVERAGE(OFFSET($H$3,0,0,'Données projet'!$E$15+1,1))</f>
        <v>436.23918637269577</v>
      </c>
      <c r="EP88" s="62">
        <f t="shared" si="100"/>
        <v>611.43967996341894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1.5815720579452235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1.5815720579452235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1.9895196601282805E-13</v>
      </c>
      <c r="FF88" s="18">
        <f>FE88*VLOOKUP('Données projet'!$B$16,Paramètres!$A$1:$I$89,3,0)*VLOOKUP('Données projet'!$B$16,Paramètres!$A$1:$I$89,5,0)</f>
        <v>1.738044375088066E-13</v>
      </c>
      <c r="FG88" s="14">
        <f t="shared" si="101"/>
        <v>2.4483293633950478E-12</v>
      </c>
      <c r="FH88" s="22">
        <f t="shared" si="76"/>
        <v>4.566883036574213E-12</v>
      </c>
      <c r="FI88" s="62">
        <f t="shared" si="77"/>
        <v>293.33333333333786</v>
      </c>
      <c r="FJ88" s="62">
        <f ca="1">AVERAGE(OFFSET($FI$3,0,0,'Données projet'!$E$16+1,1))-AVERAGE(OFFSET($H$3,0,0,'Données projet'!$E$16+1,1))</f>
        <v>321.23599968992932</v>
      </c>
      <c r="FK88" s="62">
        <f t="shared" si="102"/>
        <v>388.05195847800502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6.3550942286383367E-14</v>
      </c>
      <c r="P89" s="14">
        <f t="shared" si="87"/>
        <v>1.0064464192543978E-12</v>
      </c>
      <c r="Q89" s="22">
        <f t="shared" si="54"/>
        <v>1.8635787380168604E-12</v>
      </c>
      <c r="R89" s="62">
        <f t="shared" si="55"/>
        <v>293.33333333333519</v>
      </c>
      <c r="S89" s="62">
        <f ca="1">AVERAGE(OFFSET($R$3,0,0,'Données projet'!$E$9+1,1))-AVERAGE(OFFSET($H$3,0,0,'Données projet'!$E$9+1,1))</f>
        <v>389.06620927245814</v>
      </c>
      <c r="T89" s="62">
        <f t="shared" si="88"/>
        <v>356.08144160383193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6.564100724029041</v>
      </c>
      <c r="AB89" s="23">
        <f>EXP(-LN(2)/2)*AB88+(1-EXP(-LN(2)/2))/(LN(2)/2)*V89*Y89*VLOOKUP('Données projet'!$B$9,Paramètres!$A$1:$I$89,3,0)*0.475*44/12</f>
        <v>1.9305759288993348E-8</v>
      </c>
      <c r="AC89" s="24">
        <f t="shared" si="57"/>
        <v>6.5641007433348006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projet'!$B$10,Paramètres!$A$1:$I$89,3,0)*VLOOKUP('Données projet'!$B$10,Paramètres!$A$1:$I$89,5,0)</f>
        <v>-3.1036506698001178E-14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293.73480285950245</v>
      </c>
      <c r="AO89" s="62">
        <f t="shared" si="90"/>
        <v>425.99823184414191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4.4726679503611448</v>
      </c>
      <c r="AW89" s="23">
        <f>EXP(-LN(2)/2)*AW88+(1-EXP(-LN(2)/2))/(LN(2)/2)*AQ89*AT89*VLOOKUP('Données projet'!$B$10,Paramètres!$A$1:$I$89,3,0)*0.475*44/12</f>
        <v>7.2009470349192209E-8</v>
      </c>
      <c r="AX89" s="23">
        <f t="shared" si="60"/>
        <v>4.4726680223706152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</v>
      </c>
      <c r="BD89" s="13">
        <f>IF('Données projet'!$A$88&gt;35,BD88+BC89-BL88,IF(A89&lt;'Données projet'!$A$88,$BA$205^A89,IF(A89='Données projet'!$A$88,'Données projet'!$B$88,BD88+BC89-BL88)))</f>
        <v>304.40000000000003</v>
      </c>
      <c r="BE89" s="14">
        <f>BD89*VLOOKUP('Données projet'!$B$11,Paramètres!$A$1:$I$89,3,0)*VLOOKUP('Données projet'!$B$11,Paramètres!$A$1:$I$89,5,0)</f>
        <v>275.42112000000003</v>
      </c>
      <c r="BF89" s="14">
        <f t="shared" si="91"/>
        <v>65.998433293601067</v>
      </c>
      <c r="BG89" s="22">
        <f t="shared" si="61"/>
        <v>594.63905531968851</v>
      </c>
      <c r="BH89" s="62">
        <f t="shared" si="62"/>
        <v>887.97238865302188</v>
      </c>
      <c r="BI89" s="62">
        <f ca="1">AVERAGE(OFFSET($BH$3,0,0,'Données projet'!$E$11+1,1))-AVERAGE(OFFSET($H$3,0,0,'Données projet'!$E$11+1,1))</f>
        <v>438.70522838726322</v>
      </c>
      <c r="BJ89" s="62">
        <f t="shared" si="92"/>
        <v>278.21741231699929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6.4</v>
      </c>
      <c r="BY89" s="13">
        <f>IF('Données projet'!$A$114&gt;35,BY88+BX89-CG88,IF(A89&lt;'Données projet'!$A$114,$BV$205^A89,IF(A89='Données projet'!$A$114,'Données projet'!$B$114,BY88+BX89-CG88)))</f>
        <v>304.40000000000003</v>
      </c>
      <c r="BZ89" s="14">
        <f>BY89*VLOOKUP('Données projet'!$B$12,Paramètres!$A$1:$I$89,3,0)*VLOOKUP('Données projet'!$B$12,Paramètres!$A$1:$I$89,5,0)</f>
        <v>294.41568000000001</v>
      </c>
      <c r="CA89" s="14">
        <f t="shared" si="93"/>
        <v>70.004498360393455</v>
      </c>
      <c r="CB89" s="22">
        <f t="shared" si="64"/>
        <v>634.69847731101868</v>
      </c>
      <c r="CC89" s="62">
        <f t="shared" si="65"/>
        <v>928.03181064435194</v>
      </c>
      <c r="CD89" s="62">
        <f ca="1">AVERAGE(OFFSET($CC$3,0,0,'Données projet'!$E$12+1,1))-AVERAGE(OFFSET($H$3,0,0,'Données projet'!$E$12+1,1))</f>
        <v>466.10838191274445</v>
      </c>
      <c r="CE89" s="62">
        <f t="shared" si="94"/>
        <v>294.45557293177131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-3.4106051316484809E-13</v>
      </c>
      <c r="CU89" s="18">
        <f>CT89*VLOOKUP('Données projet'!$B$13,Paramètres!$A$1:$I$89,3,0)*VLOOKUP('Données projet'!$B$13,Paramètres!$A$1:$I$89,5,0)</f>
        <v>-2.5006556825246659E-13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376.5422416541544</v>
      </c>
      <c r="CZ89" s="62">
        <f t="shared" si="96"/>
        <v>365.76175372075869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-2.8421709430404007E-13</v>
      </c>
      <c r="DP89" s="18">
        <f>DO89*VLOOKUP('Données projet'!$B$14,Paramètres!$A$1:$I$89,3,0)*VLOOKUP('Données projet'!$B$14,Paramètres!$A$1:$I$89,5,0)</f>
        <v>-2.2612312022829427E-13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352.5736659365665</v>
      </c>
      <c r="DU89" s="62">
        <f t="shared" si="98"/>
        <v>343.77208530767069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2.2737367544323206E-13</v>
      </c>
      <c r="EK89" s="18">
        <f>EJ89*VLOOKUP('Données projet'!$B$15,Paramètres!$A$1:$I$89,3,0)*VLOOKUP('Données projet'!$B$15,Paramètres!$A$1:$I$89,5,0)</f>
        <v>2.0572770154103635E-13</v>
      </c>
      <c r="EL89" s="14">
        <f t="shared" si="99"/>
        <v>2.8416956338469711E-12</v>
      </c>
      <c r="EM89" s="22">
        <f t="shared" si="73"/>
        <v>5.3075956424674458E-12</v>
      </c>
      <c r="EN89" s="62">
        <f t="shared" si="74"/>
        <v>293.3333333333386</v>
      </c>
      <c r="EO89" s="62">
        <f ca="1">AVERAGE(OFFSET($EN$3,0,0,'Données projet'!$E$15+1,1))-AVERAGE(OFFSET($H$3,0,0,'Données projet'!$E$15+1,1))</f>
        <v>436.23918637269577</v>
      </c>
      <c r="EP89" s="62">
        <f t="shared" si="100"/>
        <v>611.43967996341894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1.5505583945526205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1.5505583945526205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1.9895196601282805E-13</v>
      </c>
      <c r="FF89" s="18">
        <f>FE89*VLOOKUP('Données projet'!$B$16,Paramètres!$A$1:$I$89,3,0)*VLOOKUP('Données projet'!$B$16,Paramètres!$A$1:$I$89,5,0)</f>
        <v>1.738044375088066E-13</v>
      </c>
      <c r="FG89" s="14">
        <f t="shared" si="101"/>
        <v>2.4483293633950478E-12</v>
      </c>
      <c r="FH89" s="22">
        <f t="shared" si="76"/>
        <v>4.566883036574213E-12</v>
      </c>
      <c r="FI89" s="62">
        <f t="shared" si="77"/>
        <v>293.33333333333786</v>
      </c>
      <c r="FJ89" s="62">
        <f ca="1">AVERAGE(OFFSET($FI$3,0,0,'Données projet'!$E$16+1,1))-AVERAGE(OFFSET($H$3,0,0,'Données projet'!$E$16+1,1))</f>
        <v>321.23599968992932</v>
      </c>
      <c r="FK89" s="62">
        <f t="shared" si="102"/>
        <v>388.05195847800502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6.3550942286383367E-14</v>
      </c>
      <c r="P90" s="14">
        <f t="shared" si="87"/>
        <v>1.0064464192543978E-12</v>
      </c>
      <c r="Q90" s="22">
        <f t="shared" si="54"/>
        <v>1.8635787380168604E-12</v>
      </c>
      <c r="R90" s="62">
        <f t="shared" si="55"/>
        <v>293.33333333333519</v>
      </c>
      <c r="S90" s="62">
        <f ca="1">AVERAGE(OFFSET($R$3,0,0,'Données projet'!$E$9+1,1))-AVERAGE(OFFSET($H$3,0,0,'Données projet'!$E$9+1,1))</f>
        <v>389.06620927245814</v>
      </c>
      <c r="T90" s="62">
        <f t="shared" si="88"/>
        <v>356.08144160383193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6.3846050445394118</v>
      </c>
      <c r="AB90" s="23">
        <f>EXP(-LN(2)/2)*AB89+(1-EXP(-LN(2)/2))/(LN(2)/2)*V90*Y90*VLOOKUP('Données projet'!$B$9,Paramètres!$A$1:$I$89,3,0)*0.475*44/12</f>
        <v>1.3651233309202377E-8</v>
      </c>
      <c r="AC90" s="24">
        <f t="shared" si="57"/>
        <v>6.3846050581906448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projet'!$B$10,Paramètres!$A$1:$I$89,3,0)*VLOOKUP('Données projet'!$B$10,Paramètres!$A$1:$I$89,5,0)</f>
        <v>-3.1036506698001178E-14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293.73480285950245</v>
      </c>
      <c r="AO90" s="62">
        <f t="shared" si="90"/>
        <v>425.99823184414191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4.3503626100511346</v>
      </c>
      <c r="AW90" s="23">
        <f>EXP(-LN(2)/2)*AW89+(1-EXP(-LN(2)/2))/(LN(2)/2)*AQ90*AT90*VLOOKUP('Données projet'!$B$10,Paramètres!$A$1:$I$89,3,0)*0.475*44/12</f>
        <v>5.0918384793565438E-8</v>
      </c>
      <c r="AX90" s="23">
        <f t="shared" si="60"/>
        <v>4.3503626609695196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</v>
      </c>
      <c r="BD90" s="13">
        <f>IF('Données projet'!$A$88&gt;35,BD89+BC90-BL89,IF(A90&lt;'Données projet'!$A$88,$BA$205^A90,IF(A90='Données projet'!$A$88,'Données projet'!$B$88,BD89+BC90-BL89)))</f>
        <v>310.8</v>
      </c>
      <c r="BE90" s="14">
        <f>BD90*VLOOKUP('Données projet'!$B$11,Paramètres!$A$1:$I$89,3,0)*VLOOKUP('Données projet'!$B$11,Paramètres!$A$1:$I$89,5,0)</f>
        <v>281.21184</v>
      </c>
      <c r="BF90" s="14">
        <f t="shared" si="91"/>
        <v>67.22304110496664</v>
      </c>
      <c r="BG90" s="22">
        <f t="shared" si="61"/>
        <v>606.85741792448357</v>
      </c>
      <c r="BH90" s="62">
        <f t="shared" si="62"/>
        <v>900.19075125781683</v>
      </c>
      <c r="BI90" s="62">
        <f ca="1">AVERAGE(OFFSET($BH$3,0,0,'Données projet'!$E$11+1,1))-AVERAGE(OFFSET($H$3,0,0,'Données projet'!$E$11+1,1))</f>
        <v>438.70522838726322</v>
      </c>
      <c r="BJ90" s="62">
        <f t="shared" si="92"/>
        <v>278.21741231699929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6.4</v>
      </c>
      <c r="BY90" s="13">
        <f>IF('Données projet'!$A$114&gt;35,BY89+BX90-CG89,IF(A90&lt;'Données projet'!$A$114,$BV$205^A90,IF(A90='Données projet'!$A$114,'Données projet'!$B$114,BY89+BX90-CG89)))</f>
        <v>310.8</v>
      </c>
      <c r="BZ90" s="14">
        <f>BY90*VLOOKUP('Données projet'!$B$12,Paramètres!$A$1:$I$89,3,0)*VLOOKUP('Données projet'!$B$12,Paramètres!$A$1:$I$89,5,0)</f>
        <v>300.60576000000003</v>
      </c>
      <c r="CA90" s="14">
        <f t="shared" si="93"/>
        <v>71.303439126782422</v>
      </c>
      <c r="CB90" s="22">
        <f t="shared" si="64"/>
        <v>647.74185514581279</v>
      </c>
      <c r="CC90" s="62">
        <f t="shared" si="65"/>
        <v>941.07518847914616</v>
      </c>
      <c r="CD90" s="62">
        <f ca="1">AVERAGE(OFFSET($CC$3,0,0,'Données projet'!$E$12+1,1))-AVERAGE(OFFSET($H$3,0,0,'Données projet'!$E$12+1,1))</f>
        <v>466.10838191274445</v>
      </c>
      <c r="CE90" s="62">
        <f t="shared" si="94"/>
        <v>294.45557293177131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-3.4106051316484809E-13</v>
      </c>
      <c r="CU90" s="18">
        <f>CT90*VLOOKUP('Données projet'!$B$13,Paramètres!$A$1:$I$89,3,0)*VLOOKUP('Données projet'!$B$13,Paramètres!$A$1:$I$89,5,0)</f>
        <v>-2.5006556825246659E-13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376.5422416541544</v>
      </c>
      <c r="CZ90" s="62">
        <f t="shared" si="96"/>
        <v>365.76175372075869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-2.8421709430404007E-13</v>
      </c>
      <c r="DP90" s="18">
        <f>DO90*VLOOKUP('Données projet'!$B$14,Paramètres!$A$1:$I$89,3,0)*VLOOKUP('Données projet'!$B$14,Paramètres!$A$1:$I$89,5,0)</f>
        <v>-2.2612312022829427E-13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352.5736659365665</v>
      </c>
      <c r="DU90" s="62">
        <f t="shared" si="98"/>
        <v>343.77208530767069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2.2737367544323206E-13</v>
      </c>
      <c r="EK90" s="18">
        <f>EJ90*VLOOKUP('Données projet'!$B$15,Paramètres!$A$1:$I$89,3,0)*VLOOKUP('Données projet'!$B$15,Paramètres!$A$1:$I$89,5,0)</f>
        <v>2.0572770154103635E-13</v>
      </c>
      <c r="EL90" s="14">
        <f t="shared" si="99"/>
        <v>2.8416956338469711E-12</v>
      </c>
      <c r="EM90" s="22">
        <f t="shared" si="73"/>
        <v>5.3075956424674458E-12</v>
      </c>
      <c r="EN90" s="62">
        <f t="shared" si="74"/>
        <v>293.3333333333386</v>
      </c>
      <c r="EO90" s="62">
        <f ca="1">AVERAGE(OFFSET($EN$3,0,0,'Données projet'!$E$15+1,1))-AVERAGE(OFFSET($H$3,0,0,'Données projet'!$E$15+1,1))</f>
        <v>436.23918637269577</v>
      </c>
      <c r="EP90" s="62">
        <f t="shared" si="100"/>
        <v>611.43967996341894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1.5201528901826795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1.5201528901826795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1.9895196601282805E-13</v>
      </c>
      <c r="FF90" s="18">
        <f>FE90*VLOOKUP('Données projet'!$B$16,Paramètres!$A$1:$I$89,3,0)*VLOOKUP('Données projet'!$B$16,Paramètres!$A$1:$I$89,5,0)</f>
        <v>1.738044375088066E-13</v>
      </c>
      <c r="FG90" s="14">
        <f t="shared" si="101"/>
        <v>2.4483293633950478E-12</v>
      </c>
      <c r="FH90" s="22">
        <f t="shared" si="76"/>
        <v>4.566883036574213E-12</v>
      </c>
      <c r="FI90" s="62">
        <f t="shared" si="77"/>
        <v>293.33333333333786</v>
      </c>
      <c r="FJ90" s="62">
        <f ca="1">AVERAGE(OFFSET($FI$3,0,0,'Données projet'!$E$16+1,1))-AVERAGE(OFFSET($H$3,0,0,'Données projet'!$E$16+1,1))</f>
        <v>321.23599968992932</v>
      </c>
      <c r="FK90" s="62">
        <f t="shared" si="102"/>
        <v>388.05195847800502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6.3550942286383367E-14</v>
      </c>
      <c r="P91" s="14">
        <f t="shared" si="87"/>
        <v>1.0064464192543978E-12</v>
      </c>
      <c r="Q91" s="22">
        <f t="shared" si="54"/>
        <v>1.8635787380168604E-12</v>
      </c>
      <c r="R91" s="62">
        <f t="shared" si="55"/>
        <v>293.33333333333519</v>
      </c>
      <c r="S91" s="62">
        <f ca="1">AVERAGE(OFFSET($R$3,0,0,'Données projet'!$E$9+1,1))-AVERAGE(OFFSET($H$3,0,0,'Données projet'!$E$9+1,1))</f>
        <v>389.06620927245814</v>
      </c>
      <c r="T91" s="62">
        <f t="shared" si="88"/>
        <v>356.08144160383193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6.2100176838446943</v>
      </c>
      <c r="AB91" s="23">
        <f>EXP(-LN(2)/2)*AB90+(1-EXP(-LN(2)/2))/(LN(2)/2)*V91*Y91*VLOOKUP('Données projet'!$B$9,Paramètres!$A$1:$I$89,3,0)*0.475*44/12</f>
        <v>9.6528796444966741E-9</v>
      </c>
      <c r="AC91" s="24">
        <f t="shared" si="57"/>
        <v>6.2100176934975737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projet'!$B$10,Paramètres!$A$1:$I$89,3,0)*VLOOKUP('Données projet'!$B$10,Paramètres!$A$1:$I$89,5,0)</f>
        <v>-3.1036506698001178E-14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293.73480285950245</v>
      </c>
      <c r="AO91" s="62">
        <f t="shared" si="90"/>
        <v>425.99823184414191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4.2314017157036599</v>
      </c>
      <c r="AW91" s="23">
        <f>EXP(-LN(2)/2)*AW90+(1-EXP(-LN(2)/2))/(LN(2)/2)*AQ91*AT91*VLOOKUP('Données projet'!$B$10,Paramètres!$A$1:$I$89,3,0)*0.475*44/12</f>
        <v>3.6004735174596104E-8</v>
      </c>
      <c r="AX91" s="23">
        <f t="shared" si="60"/>
        <v>4.2314017517083951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</v>
      </c>
      <c r="BD91" s="13">
        <f>IF('Données projet'!$A$88&gt;35,BD90+BC91-BL90,IF(A91&lt;'Données projet'!$A$88,$BA$205^A91,IF(A91='Données projet'!$A$88,'Données projet'!$B$88,BD90+BC91-BL90)))</f>
        <v>317.2</v>
      </c>
      <c r="BE91" s="14">
        <f>BD91*VLOOKUP('Données projet'!$B$11,Paramètres!$A$1:$I$89,3,0)*VLOOKUP('Données projet'!$B$11,Paramètres!$A$1:$I$89,5,0)</f>
        <v>287.00255999999996</v>
      </c>
      <c r="BF91" s="14">
        <f t="shared" si="91"/>
        <v>68.444716936118553</v>
      </c>
      <c r="BG91" s="22">
        <f t="shared" si="61"/>
        <v>619.07067399707296</v>
      </c>
      <c r="BH91" s="62">
        <f t="shared" si="62"/>
        <v>912.40400733040633</v>
      </c>
      <c r="BI91" s="62">
        <f ca="1">AVERAGE(OFFSET($BH$3,0,0,'Données projet'!$E$11+1,1))-AVERAGE(OFFSET($H$3,0,0,'Données projet'!$E$11+1,1))</f>
        <v>438.70522838726322</v>
      </c>
      <c r="BJ91" s="62">
        <f t="shared" si="92"/>
        <v>278.21741231699929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6.4</v>
      </c>
      <c r="BY91" s="13">
        <f>IF('Données projet'!$A$114&gt;35,BY90+BX91-CG90,IF(A91&lt;'Données projet'!$A$114,$BV$205^A91,IF(A91='Données projet'!$A$114,'Données projet'!$B$114,BY90+BX91-CG90)))</f>
        <v>317.2</v>
      </c>
      <c r="BZ91" s="14">
        <f>BY91*VLOOKUP('Données projet'!$B$12,Paramètres!$A$1:$I$89,3,0)*VLOOKUP('Données projet'!$B$12,Paramètres!$A$1:$I$89,5,0)</f>
        <v>306.79584</v>
      </c>
      <c r="CA91" s="14">
        <f t="shared" si="93"/>
        <v>72.599269943528554</v>
      </c>
      <c r="CB91" s="22">
        <f t="shared" si="64"/>
        <v>660.77981648497882</v>
      </c>
      <c r="CC91" s="62">
        <f t="shared" si="65"/>
        <v>954.11314981831219</v>
      </c>
      <c r="CD91" s="62">
        <f ca="1">AVERAGE(OFFSET($CC$3,0,0,'Données projet'!$E$12+1,1))-AVERAGE(OFFSET($H$3,0,0,'Données projet'!$E$12+1,1))</f>
        <v>466.10838191274445</v>
      </c>
      <c r="CE91" s="62">
        <f t="shared" si="94"/>
        <v>294.45557293177131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-3.4106051316484809E-13</v>
      </c>
      <c r="CU91" s="18">
        <f>CT91*VLOOKUP('Données projet'!$B$13,Paramètres!$A$1:$I$89,3,0)*VLOOKUP('Données projet'!$B$13,Paramètres!$A$1:$I$89,5,0)</f>
        <v>-2.5006556825246659E-13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376.5422416541544</v>
      </c>
      <c r="CZ91" s="62">
        <f t="shared" si="96"/>
        <v>365.76175372075869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-2.8421709430404007E-13</v>
      </c>
      <c r="DP91" s="18">
        <f>DO91*VLOOKUP('Données projet'!$B$14,Paramètres!$A$1:$I$89,3,0)*VLOOKUP('Données projet'!$B$14,Paramètres!$A$1:$I$89,5,0)</f>
        <v>-2.2612312022829427E-13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352.5736659365665</v>
      </c>
      <c r="DU91" s="62">
        <f t="shared" si="98"/>
        <v>343.77208530767069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2.2737367544323206E-13</v>
      </c>
      <c r="EK91" s="18">
        <f>EJ91*VLOOKUP('Données projet'!$B$15,Paramètres!$A$1:$I$89,3,0)*VLOOKUP('Données projet'!$B$15,Paramètres!$A$1:$I$89,5,0)</f>
        <v>2.0572770154103635E-13</v>
      </c>
      <c r="EL91" s="14">
        <f t="shared" si="99"/>
        <v>2.8416956338469711E-12</v>
      </c>
      <c r="EM91" s="22">
        <f t="shared" si="73"/>
        <v>5.3075956424674458E-12</v>
      </c>
      <c r="EN91" s="62">
        <f t="shared" si="74"/>
        <v>293.3333333333386</v>
      </c>
      <c r="EO91" s="62">
        <f ca="1">AVERAGE(OFFSET($EN$3,0,0,'Données projet'!$E$15+1,1))-AVERAGE(OFFSET($H$3,0,0,'Données projet'!$E$15+1,1))</f>
        <v>436.23918637269577</v>
      </c>
      <c r="EP91" s="62">
        <f t="shared" si="100"/>
        <v>611.43967996341894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1.4903436192079067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1.4903436192079067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1.9895196601282805E-13</v>
      </c>
      <c r="FF91" s="18">
        <f>FE91*VLOOKUP('Données projet'!$B$16,Paramètres!$A$1:$I$89,3,0)*VLOOKUP('Données projet'!$B$16,Paramètres!$A$1:$I$89,5,0)</f>
        <v>1.738044375088066E-13</v>
      </c>
      <c r="FG91" s="14">
        <f t="shared" si="101"/>
        <v>2.4483293633950478E-12</v>
      </c>
      <c r="FH91" s="22">
        <f t="shared" si="76"/>
        <v>4.566883036574213E-12</v>
      </c>
      <c r="FI91" s="62">
        <f t="shared" si="77"/>
        <v>293.33333333333786</v>
      </c>
      <c r="FJ91" s="62">
        <f ca="1">AVERAGE(OFFSET($FI$3,0,0,'Données projet'!$E$16+1,1))-AVERAGE(OFFSET($H$3,0,0,'Données projet'!$E$16+1,1))</f>
        <v>321.23599968992932</v>
      </c>
      <c r="FK91" s="62">
        <f t="shared" si="102"/>
        <v>388.05195847800502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6.3550942286383367E-14</v>
      </c>
      <c r="P92" s="14">
        <f t="shared" si="87"/>
        <v>1.0064464192543978E-12</v>
      </c>
      <c r="Q92" s="22">
        <f t="shared" si="54"/>
        <v>1.8635787380168604E-12</v>
      </c>
      <c r="R92" s="62">
        <f t="shared" si="55"/>
        <v>293.33333333333519</v>
      </c>
      <c r="S92" s="62">
        <f ca="1">AVERAGE(OFFSET($R$3,0,0,'Données projet'!$E$9+1,1))-AVERAGE(OFFSET($H$3,0,0,'Données projet'!$E$9+1,1))</f>
        <v>389.06620927245814</v>
      </c>
      <c r="T92" s="62">
        <f t="shared" si="88"/>
        <v>356.08144160383193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6.0402044237093246</v>
      </c>
      <c r="AB92" s="23">
        <f>EXP(-LN(2)/2)*AB91+(1-EXP(-LN(2)/2))/(LN(2)/2)*V92*Y92*VLOOKUP('Données projet'!$B$9,Paramètres!$A$1:$I$89,3,0)*0.475*44/12</f>
        <v>6.8256166546011885E-9</v>
      </c>
      <c r="AC92" s="24">
        <f t="shared" si="57"/>
        <v>6.0402044305349412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projet'!$B$10,Paramètres!$A$1:$I$89,3,0)*VLOOKUP('Données projet'!$B$10,Paramètres!$A$1:$I$89,5,0)</f>
        <v>-3.1036506698001178E-14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293.73480285950245</v>
      </c>
      <c r="AO92" s="62">
        <f t="shared" si="90"/>
        <v>425.99823184414191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4.1156938132679981</v>
      </c>
      <c r="AW92" s="23">
        <f>EXP(-LN(2)/2)*AW91+(1-EXP(-LN(2)/2))/(LN(2)/2)*AQ92*AT92*VLOOKUP('Données projet'!$B$10,Paramètres!$A$1:$I$89,3,0)*0.475*44/12</f>
        <v>2.5459192396782719E-8</v>
      </c>
      <c r="AX92" s="23">
        <f t="shared" si="60"/>
        <v>4.1156938387271902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</v>
      </c>
      <c r="BD92" s="13">
        <f>IF('Données projet'!$A$88&gt;35,BD91+BC92-BL91,IF(A92&lt;'Données projet'!$A$88,$BA$205^A92,IF(A92='Données projet'!$A$88,'Données projet'!$B$88,BD91+BC92-BL91)))</f>
        <v>323.59999999999997</v>
      </c>
      <c r="BE92" s="14">
        <f>BD92*VLOOKUP('Données projet'!$B$11,Paramètres!$A$1:$I$89,3,0)*VLOOKUP('Données projet'!$B$11,Paramètres!$A$1:$I$89,5,0)</f>
        <v>292.79327999999992</v>
      </c>
      <c r="BF92" s="14">
        <f t="shared" si="91"/>
        <v>69.663526761731433</v>
      </c>
      <c r="BG92" s="22">
        <f t="shared" si="61"/>
        <v>631.27893844334869</v>
      </c>
      <c r="BH92" s="62">
        <f t="shared" si="62"/>
        <v>924.61227177668206</v>
      </c>
      <c r="BI92" s="62">
        <f ca="1">AVERAGE(OFFSET($BH$3,0,0,'Données projet'!$E$11+1,1))-AVERAGE(OFFSET($H$3,0,0,'Données projet'!$E$11+1,1))</f>
        <v>438.70522838726322</v>
      </c>
      <c r="BJ92" s="62">
        <f t="shared" si="92"/>
        <v>278.21741231699929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6.4</v>
      </c>
      <c r="BY92" s="13">
        <f>IF('Données projet'!$A$114&gt;35,BY91+BX92-CG91,IF(A92&lt;'Données projet'!$A$114,$BV$205^A92,IF(A92='Données projet'!$A$114,'Données projet'!$B$114,BY91+BX92-CG91)))</f>
        <v>323.59999999999997</v>
      </c>
      <c r="BZ92" s="14">
        <f>BY92*VLOOKUP('Données projet'!$B$12,Paramètres!$A$1:$I$89,3,0)*VLOOKUP('Données projet'!$B$12,Paramètres!$A$1:$I$89,5,0)</f>
        <v>312.98591999999996</v>
      </c>
      <c r="CA92" s="14">
        <f t="shared" si="93"/>
        <v>73.892060789929147</v>
      </c>
      <c r="CB92" s="22">
        <f t="shared" si="64"/>
        <v>673.81248320912653</v>
      </c>
      <c r="CC92" s="62">
        <f t="shared" si="65"/>
        <v>967.1458165424599</v>
      </c>
      <c r="CD92" s="62">
        <f ca="1">AVERAGE(OFFSET($CC$3,0,0,'Données projet'!$E$12+1,1))-AVERAGE(OFFSET($H$3,0,0,'Données projet'!$E$12+1,1))</f>
        <v>466.10838191274445</v>
      </c>
      <c r="CE92" s="62">
        <f t="shared" si="94"/>
        <v>294.45557293177131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-3.4106051316484809E-13</v>
      </c>
      <c r="CU92" s="18">
        <f>CT92*VLOOKUP('Données projet'!$B$13,Paramètres!$A$1:$I$89,3,0)*VLOOKUP('Données projet'!$B$13,Paramètres!$A$1:$I$89,5,0)</f>
        <v>-2.5006556825246659E-13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376.5422416541544</v>
      </c>
      <c r="CZ92" s="62">
        <f t="shared" si="96"/>
        <v>365.76175372075869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-2.8421709430404007E-13</v>
      </c>
      <c r="DP92" s="18">
        <f>DO92*VLOOKUP('Données projet'!$B$14,Paramètres!$A$1:$I$89,3,0)*VLOOKUP('Données projet'!$B$14,Paramètres!$A$1:$I$89,5,0)</f>
        <v>-2.2612312022829427E-13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352.5736659365665</v>
      </c>
      <c r="DU92" s="62">
        <f t="shared" si="98"/>
        <v>343.77208530767069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2.2737367544323206E-13</v>
      </c>
      <c r="EK92" s="18">
        <f>EJ92*VLOOKUP('Données projet'!$B$15,Paramètres!$A$1:$I$89,3,0)*VLOOKUP('Données projet'!$B$15,Paramètres!$A$1:$I$89,5,0)</f>
        <v>2.0572770154103635E-13</v>
      </c>
      <c r="EL92" s="14">
        <f t="shared" si="99"/>
        <v>2.8416956338469711E-12</v>
      </c>
      <c r="EM92" s="22">
        <f t="shared" si="73"/>
        <v>5.3075956424674458E-12</v>
      </c>
      <c r="EN92" s="62">
        <f t="shared" si="74"/>
        <v>293.3333333333386</v>
      </c>
      <c r="EO92" s="62">
        <f ca="1">AVERAGE(OFFSET($EN$3,0,0,'Données projet'!$E$15+1,1))-AVERAGE(OFFSET($H$3,0,0,'Données projet'!$E$15+1,1))</f>
        <v>436.23918637269577</v>
      </c>
      <c r="EP92" s="62">
        <f t="shared" si="100"/>
        <v>611.43967996341894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1.4611188898550891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1.4611188898550891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1.9895196601282805E-13</v>
      </c>
      <c r="FF92" s="18">
        <f>FE92*VLOOKUP('Données projet'!$B$16,Paramètres!$A$1:$I$89,3,0)*VLOOKUP('Données projet'!$B$16,Paramètres!$A$1:$I$89,5,0)</f>
        <v>1.738044375088066E-13</v>
      </c>
      <c r="FG92" s="14">
        <f t="shared" si="101"/>
        <v>2.4483293633950478E-12</v>
      </c>
      <c r="FH92" s="22">
        <f t="shared" si="76"/>
        <v>4.566883036574213E-12</v>
      </c>
      <c r="FI92" s="62">
        <f t="shared" si="77"/>
        <v>293.33333333333786</v>
      </c>
      <c r="FJ92" s="62">
        <f ca="1">AVERAGE(OFFSET($FI$3,0,0,'Données projet'!$E$16+1,1))-AVERAGE(OFFSET($H$3,0,0,'Données projet'!$E$16+1,1))</f>
        <v>321.23599968992932</v>
      </c>
      <c r="FK92" s="62">
        <f t="shared" si="102"/>
        <v>388.05195847800502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6.3550942286383367E-14</v>
      </c>
      <c r="P93" s="14">
        <f t="shared" si="87"/>
        <v>1.0064464192543978E-12</v>
      </c>
      <c r="Q93" s="22">
        <f t="shared" si="54"/>
        <v>1.8635787380168604E-12</v>
      </c>
      <c r="R93" s="62">
        <f t="shared" si="55"/>
        <v>293.33333333333519</v>
      </c>
      <c r="S93" s="62">
        <f ca="1">AVERAGE(OFFSET($R$3,0,0,'Données projet'!$E$9+1,1))-AVERAGE(OFFSET($H$3,0,0,'Données projet'!$E$9+1,1))</f>
        <v>389.06620927245814</v>
      </c>
      <c r="T93" s="62">
        <f t="shared" si="88"/>
        <v>356.08144160383193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5.8750347161024479</v>
      </c>
      <c r="AB93" s="23">
        <f>EXP(-LN(2)/2)*AB92+(1-EXP(-LN(2)/2))/(LN(2)/2)*V93*Y93*VLOOKUP('Données projet'!$B$9,Paramètres!$A$1:$I$89,3,0)*0.475*44/12</f>
        <v>4.826439822248337E-9</v>
      </c>
      <c r="AC93" s="24">
        <f t="shared" si="57"/>
        <v>5.8750347209288876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projet'!$B$10,Paramètres!$A$1:$I$89,3,0)*VLOOKUP('Données projet'!$B$10,Paramètres!$A$1:$I$89,5,0)</f>
        <v>-3.1036506698001178E-14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293.73480285950245</v>
      </c>
      <c r="AO93" s="62">
        <f t="shared" si="90"/>
        <v>425.99823184414191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4.003149949509254</v>
      </c>
      <c r="AW93" s="23">
        <f>EXP(-LN(2)/2)*AW92+(1-EXP(-LN(2)/2))/(LN(2)/2)*AQ93*AT93*VLOOKUP('Données projet'!$B$10,Paramètres!$A$1:$I$89,3,0)*0.475*44/12</f>
        <v>1.8002367587298052E-8</v>
      </c>
      <c r="AX93" s="23">
        <f t="shared" si="60"/>
        <v>4.0031499675116216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330</v>
      </c>
      <c r="BB93" s="13">
        <f>VLOOKUP(A93,'Données projet'!$A$87:$I$107,9,0)</f>
        <v>6.4</v>
      </c>
      <c r="BC93" s="13">
        <f t="array" ref="BC93">INDEX(BB:BB,MIN(IF(ISNUMBER(BB93:BB289),ROW(BB93:BB289),"")))</f>
        <v>6.4</v>
      </c>
      <c r="BD93" s="13">
        <f>IF('Données projet'!$A$88&gt;35,BD92+BC93-BL92,IF(A93&lt;'Données projet'!$A$88,$BA$205^A93,IF(A93='Données projet'!$A$88,'Données projet'!$B$88,BD92+BC93-BL92)))</f>
        <v>329.99999999999994</v>
      </c>
      <c r="BE93" s="14">
        <f>BD93*VLOOKUP('Données projet'!$B$11,Paramètres!$A$1:$I$89,3,0)*VLOOKUP('Données projet'!$B$11,Paramètres!$A$1:$I$89,5,0)</f>
        <v>298.58399999999995</v>
      </c>
      <c r="BF93" s="14">
        <f t="shared" si="91"/>
        <v>70.879533797607607</v>
      </c>
      <c r="BG93" s="22">
        <f t="shared" si="61"/>
        <v>643.48232136416652</v>
      </c>
      <c r="BH93" s="62">
        <f t="shared" si="62"/>
        <v>936.81565469749989</v>
      </c>
      <c r="BI93" s="62">
        <f ca="1">AVERAGE(OFFSET($BH$3,0,0,'Données projet'!$E$11+1,1))-AVERAGE(OFFSET($H$3,0,0,'Données projet'!$E$11+1,1))</f>
        <v>438.70522838726322</v>
      </c>
      <c r="BJ93" s="62">
        <f t="shared" si="92"/>
        <v>278.21741231699929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330</v>
      </c>
      <c r="BW93" s="13">
        <f>VLOOKUP(A93,'Données projet'!$A$113:$I$133,9,0)</f>
        <v>6.4</v>
      </c>
      <c r="BX93" s="13">
        <f t="array" ref="BX93">INDEX(BW:BW,MIN(IF(ISNUMBER(BW93:BW289),ROW(BW93:BW289),"")))</f>
        <v>6.4</v>
      </c>
      <c r="BY93" s="13">
        <f>IF('Données projet'!$A$114&gt;35,BY92+BX93-CG92,IF(A93&lt;'Données projet'!$A$114,$BV$205^A93,IF(A93='Données projet'!$A$114,'Données projet'!$B$114,BY92+BX93-CG92)))</f>
        <v>329.99999999999994</v>
      </c>
      <c r="BZ93" s="14">
        <f>BY93*VLOOKUP('Données projet'!$B$12,Paramètres!$A$1:$I$89,3,0)*VLOOKUP('Données projet'!$B$12,Paramètres!$A$1:$I$89,5,0)</f>
        <v>319.17599999999993</v>
      </c>
      <c r="CA93" s="14">
        <f t="shared" si="93"/>
        <v>75.181878718947672</v>
      </c>
      <c r="CB93" s="22">
        <f t="shared" si="64"/>
        <v>686.83997210216705</v>
      </c>
      <c r="CC93" s="62">
        <f t="shared" si="65"/>
        <v>980.17330543550042</v>
      </c>
      <c r="CD93" s="62">
        <f ca="1">AVERAGE(OFFSET($CC$3,0,0,'Données projet'!$E$12+1,1))-AVERAGE(OFFSET($H$3,0,0,'Données projet'!$E$12+1,1))</f>
        <v>466.10838191274445</v>
      </c>
      <c r="CE93" s="62">
        <f t="shared" si="94"/>
        <v>294.45557293177131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-3.4106051316484809E-13</v>
      </c>
      <c r="CU93" s="18">
        <f>CT93*VLOOKUP('Données projet'!$B$13,Paramètres!$A$1:$I$89,3,0)*VLOOKUP('Données projet'!$B$13,Paramètres!$A$1:$I$89,5,0)</f>
        <v>-2.5006556825246659E-13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376.5422416541544</v>
      </c>
      <c r="CZ93" s="62">
        <f t="shared" si="96"/>
        <v>365.76175372075869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-2.8421709430404007E-13</v>
      </c>
      <c r="DP93" s="18">
        <f>DO93*VLOOKUP('Données projet'!$B$14,Paramètres!$A$1:$I$89,3,0)*VLOOKUP('Données projet'!$B$14,Paramètres!$A$1:$I$89,5,0)</f>
        <v>-2.2612312022829427E-13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352.5736659365665</v>
      </c>
      <c r="DU93" s="62">
        <f t="shared" si="98"/>
        <v>343.77208530767069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2.2737367544323206E-13</v>
      </c>
      <c r="EK93" s="18">
        <f>EJ93*VLOOKUP('Données projet'!$B$15,Paramètres!$A$1:$I$89,3,0)*VLOOKUP('Données projet'!$B$15,Paramètres!$A$1:$I$89,5,0)</f>
        <v>2.0572770154103635E-13</v>
      </c>
      <c r="EL93" s="14">
        <f t="shared" si="99"/>
        <v>2.8416956338469711E-12</v>
      </c>
      <c r="EM93" s="22">
        <f t="shared" si="73"/>
        <v>5.3075956424674458E-12</v>
      </c>
      <c r="EN93" s="62">
        <f t="shared" si="74"/>
        <v>293.3333333333386</v>
      </c>
      <c r="EO93" s="62">
        <f ca="1">AVERAGE(OFFSET($EN$3,0,0,'Données projet'!$E$15+1,1))-AVERAGE(OFFSET($H$3,0,0,'Données projet'!$E$15+1,1))</f>
        <v>436.23918637269577</v>
      </c>
      <c r="EP93" s="62">
        <f t="shared" si="100"/>
        <v>611.43967996341894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1.4324672396195555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1.4324672396195555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1.9895196601282805E-13</v>
      </c>
      <c r="FF93" s="18">
        <f>FE93*VLOOKUP('Données projet'!$B$16,Paramètres!$A$1:$I$89,3,0)*VLOOKUP('Données projet'!$B$16,Paramètres!$A$1:$I$89,5,0)</f>
        <v>1.738044375088066E-13</v>
      </c>
      <c r="FG93" s="14">
        <f t="shared" si="101"/>
        <v>2.4483293633950478E-12</v>
      </c>
      <c r="FH93" s="22">
        <f t="shared" si="76"/>
        <v>4.566883036574213E-12</v>
      </c>
      <c r="FI93" s="62">
        <f t="shared" si="77"/>
        <v>293.33333333333786</v>
      </c>
      <c r="FJ93" s="62">
        <f ca="1">AVERAGE(OFFSET($FI$3,0,0,'Données projet'!$E$16+1,1))-AVERAGE(OFFSET($H$3,0,0,'Données projet'!$E$16+1,1))</f>
        <v>321.23599968992932</v>
      </c>
      <c r="FK93" s="62">
        <f t="shared" si="102"/>
        <v>388.05195847800502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6.3550942286383367E-14</v>
      </c>
      <c r="P94" s="14">
        <f t="shared" si="87"/>
        <v>1.0064464192543978E-12</v>
      </c>
      <c r="Q94" s="22">
        <f t="shared" si="54"/>
        <v>1.8635787380168604E-12</v>
      </c>
      <c r="R94" s="62">
        <f t="shared" si="55"/>
        <v>293.33333333333519</v>
      </c>
      <c r="S94" s="62">
        <f ca="1">AVERAGE(OFFSET($R$3,0,0,'Données projet'!$E$9+1,1))-AVERAGE(OFFSET($H$3,0,0,'Données projet'!$E$9+1,1))</f>
        <v>389.06620927245814</v>
      </c>
      <c r="T94" s="62">
        <f t="shared" si="88"/>
        <v>356.08144160383193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5.7143815828359781</v>
      </c>
      <c r="AB94" s="23">
        <f>EXP(-LN(2)/2)*AB93+(1-EXP(-LN(2)/2))/(LN(2)/2)*V94*Y94*VLOOKUP('Données projet'!$B$9,Paramètres!$A$1:$I$89,3,0)*0.475*44/12</f>
        <v>3.4128083273005942E-9</v>
      </c>
      <c r="AC94" s="24">
        <f t="shared" si="57"/>
        <v>5.7143815862487868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projet'!$B$10,Paramètres!$A$1:$I$89,3,0)*VLOOKUP('Données projet'!$B$10,Paramètres!$A$1:$I$89,5,0)</f>
        <v>-3.1036506698001178E-14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293.73480285950245</v>
      </c>
      <c r="AO94" s="62">
        <f t="shared" si="90"/>
        <v>425.99823184414191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3.8936836036234168</v>
      </c>
      <c r="AW94" s="23">
        <f>EXP(-LN(2)/2)*AW93+(1-EXP(-LN(2)/2))/(LN(2)/2)*AQ94*AT94*VLOOKUP('Données projet'!$B$10,Paramètres!$A$1:$I$89,3,0)*0.475*44/12</f>
        <v>1.272959619839136E-8</v>
      </c>
      <c r="AX94" s="23">
        <f t="shared" si="60"/>
        <v>3.8936836163530129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6.2</v>
      </c>
      <c r="BD94" s="13">
        <f>IF('Données projet'!$A$88&gt;35,BD93+BC94-BL93,IF(A94&lt;'Données projet'!$A$88,$BA$205^A94,IF(A94='Données projet'!$A$88,'Données projet'!$B$88,BD93+BC94-BL93)))</f>
        <v>308.19999999999993</v>
      </c>
      <c r="BE94" s="14">
        <f>BD94*VLOOKUP('Données projet'!$B$11,Paramètres!$A$1:$I$89,3,0)*VLOOKUP('Données projet'!$B$11,Paramètres!$A$1:$I$89,5,0)</f>
        <v>278.85935999999992</v>
      </c>
      <c r="BF94" s="14">
        <f t="shared" si="91"/>
        <v>66.725901622172387</v>
      </c>
      <c r="BG94" s="22">
        <f t="shared" si="61"/>
        <v>601.8943306586167</v>
      </c>
      <c r="BH94" s="62">
        <f t="shared" si="62"/>
        <v>895.22766399195007</v>
      </c>
      <c r="BI94" s="62">
        <f ca="1">AVERAGE(OFFSET($BH$3,0,0,'Données projet'!$E$11+1,1))-AVERAGE(OFFSET($H$3,0,0,'Données projet'!$E$11+1,1))</f>
        <v>438.70522838726322</v>
      </c>
      <c r="BJ94" s="62">
        <f t="shared" si="92"/>
        <v>278.21741231699929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6.2</v>
      </c>
      <c r="BY94" s="13">
        <f>IF('Données projet'!$A$114&gt;35,BY93+BX94-CG93,IF(A94&lt;'Données projet'!$A$114,$BV$205^A94,IF(A94='Données projet'!$A$114,'Données projet'!$B$114,BY93+BX94-CG93)))</f>
        <v>308.19999999999993</v>
      </c>
      <c r="BZ94" s="14">
        <f>BY94*VLOOKUP('Données projet'!$B$12,Paramètres!$A$1:$I$89,3,0)*VLOOKUP('Données projet'!$B$12,Paramètres!$A$1:$I$89,5,0)</f>
        <v>298.09103999999991</v>
      </c>
      <c r="CA94" s="14">
        <f t="shared" si="93"/>
        <v>70.776123577436934</v>
      </c>
      <c r="CB94" s="22">
        <f t="shared" si="64"/>
        <v>642.44364323070249</v>
      </c>
      <c r="CC94" s="62">
        <f t="shared" si="65"/>
        <v>935.77697656403575</v>
      </c>
      <c r="CD94" s="62">
        <f ca="1">AVERAGE(OFFSET($CC$3,0,0,'Données projet'!$E$12+1,1))-AVERAGE(OFFSET($H$3,0,0,'Données projet'!$E$12+1,1))</f>
        <v>466.10838191274445</v>
      </c>
      <c r="CE94" s="62">
        <f t="shared" si="94"/>
        <v>294.45557293177131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-3.4106051316484809E-13</v>
      </c>
      <c r="CU94" s="18">
        <f>CT94*VLOOKUP('Données projet'!$B$13,Paramètres!$A$1:$I$89,3,0)*VLOOKUP('Données projet'!$B$13,Paramètres!$A$1:$I$89,5,0)</f>
        <v>-2.5006556825246659E-13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376.5422416541544</v>
      </c>
      <c r="CZ94" s="62">
        <f t="shared" si="96"/>
        <v>365.76175372075869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-2.8421709430404007E-13</v>
      </c>
      <c r="DP94" s="18">
        <f>DO94*VLOOKUP('Données projet'!$B$14,Paramètres!$A$1:$I$89,3,0)*VLOOKUP('Données projet'!$B$14,Paramètres!$A$1:$I$89,5,0)</f>
        <v>-2.2612312022829427E-13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352.5736659365665</v>
      </c>
      <c r="DU94" s="62">
        <f t="shared" si="98"/>
        <v>343.77208530767069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2.2737367544323206E-13</v>
      </c>
      <c r="EK94" s="18">
        <f>EJ94*VLOOKUP('Données projet'!$B$15,Paramètres!$A$1:$I$89,3,0)*VLOOKUP('Données projet'!$B$15,Paramètres!$A$1:$I$89,5,0)</f>
        <v>2.0572770154103635E-13</v>
      </c>
      <c r="EL94" s="14">
        <f t="shared" si="99"/>
        <v>2.8416956338469711E-12</v>
      </c>
      <c r="EM94" s="22">
        <f t="shared" si="73"/>
        <v>5.3075956424674458E-12</v>
      </c>
      <c r="EN94" s="62">
        <f t="shared" si="74"/>
        <v>293.3333333333386</v>
      </c>
      <c r="EO94" s="62">
        <f ca="1">AVERAGE(OFFSET($EN$3,0,0,'Données projet'!$E$15+1,1))-AVERAGE(OFFSET($H$3,0,0,'Données projet'!$E$15+1,1))</f>
        <v>436.23918637269577</v>
      </c>
      <c r="EP94" s="62">
        <f t="shared" si="100"/>
        <v>611.43967996341894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1.4043774307693595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1.4043774307693595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1.9895196601282805E-13</v>
      </c>
      <c r="FF94" s="18">
        <f>FE94*VLOOKUP('Données projet'!$B$16,Paramètres!$A$1:$I$89,3,0)*VLOOKUP('Données projet'!$B$16,Paramètres!$A$1:$I$89,5,0)</f>
        <v>1.738044375088066E-13</v>
      </c>
      <c r="FG94" s="14">
        <f t="shared" si="101"/>
        <v>2.4483293633950478E-12</v>
      </c>
      <c r="FH94" s="22">
        <f t="shared" si="76"/>
        <v>4.566883036574213E-12</v>
      </c>
      <c r="FI94" s="62">
        <f t="shared" si="77"/>
        <v>293.33333333333786</v>
      </c>
      <c r="FJ94" s="62">
        <f ca="1">AVERAGE(OFFSET($FI$3,0,0,'Données projet'!$E$16+1,1))-AVERAGE(OFFSET($H$3,0,0,'Données projet'!$E$16+1,1))</f>
        <v>321.23599968992932</v>
      </c>
      <c r="FK94" s="62">
        <f t="shared" si="102"/>
        <v>388.05195847800502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6.3550942286383367E-14</v>
      </c>
      <c r="P95" s="14">
        <f t="shared" si="87"/>
        <v>1.0064464192543978E-12</v>
      </c>
      <c r="Q95" s="22">
        <f t="shared" si="54"/>
        <v>1.8635787380168604E-12</v>
      </c>
      <c r="R95" s="62">
        <f t="shared" si="55"/>
        <v>293.33333333333519</v>
      </c>
      <c r="S95" s="62">
        <f ca="1">AVERAGE(OFFSET($R$3,0,0,'Données projet'!$E$9+1,1))-AVERAGE(OFFSET($H$3,0,0,'Données projet'!$E$9+1,1))</f>
        <v>389.06620927245814</v>
      </c>
      <c r="T95" s="62">
        <f t="shared" si="88"/>
        <v>356.08144160383193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5.5581215179470611</v>
      </c>
      <c r="AB95" s="23">
        <f>EXP(-LN(2)/2)*AB94+(1-EXP(-LN(2)/2))/(LN(2)/2)*V95*Y95*VLOOKUP('Données projet'!$B$9,Paramètres!$A$1:$I$89,3,0)*0.475*44/12</f>
        <v>2.4132199111241685E-9</v>
      </c>
      <c r="AC95" s="24">
        <f t="shared" si="57"/>
        <v>5.558121520360281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projet'!$B$10,Paramètres!$A$1:$I$89,3,0)*VLOOKUP('Données projet'!$B$10,Paramètres!$A$1:$I$89,5,0)</f>
        <v>-3.1036506698001178E-14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293.73480285950245</v>
      </c>
      <c r="AO95" s="62">
        <f t="shared" si="90"/>
        <v>425.99823184414191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3.787210620722413</v>
      </c>
      <c r="AW95" s="23">
        <f>EXP(-LN(2)/2)*AW94+(1-EXP(-LN(2)/2))/(LN(2)/2)*AQ95*AT95*VLOOKUP('Données projet'!$B$10,Paramètres!$A$1:$I$89,3,0)*0.475*44/12</f>
        <v>9.0011837936490261E-9</v>
      </c>
      <c r="AX95" s="23">
        <f t="shared" si="60"/>
        <v>3.7872106297235968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6.2</v>
      </c>
      <c r="BD95" s="13">
        <f>IF('Données projet'!$A$88&gt;35,BD94+BC95-BL94,IF(A95&lt;'Données projet'!$A$88,$BA$205^A95,IF(A95='Données projet'!$A$88,'Données projet'!$B$88,BD94+BC95-BL94)))</f>
        <v>314.39999999999992</v>
      </c>
      <c r="BE95" s="14">
        <f>BD95*VLOOKUP('Données projet'!$B$11,Paramètres!$A$1:$I$89,3,0)*VLOOKUP('Données projet'!$B$11,Paramètres!$A$1:$I$89,5,0)</f>
        <v>284.46911999999992</v>
      </c>
      <c r="BF95" s="14">
        <f t="shared" si="91"/>
        <v>67.91059023737904</v>
      </c>
      <c r="BG95" s="22">
        <f t="shared" si="61"/>
        <v>613.72799533010163</v>
      </c>
      <c r="BH95" s="62">
        <f t="shared" si="62"/>
        <v>907.06132866343501</v>
      </c>
      <c r="BI95" s="62">
        <f ca="1">AVERAGE(OFFSET($BH$3,0,0,'Données projet'!$E$11+1,1))-AVERAGE(OFFSET($H$3,0,0,'Données projet'!$E$11+1,1))</f>
        <v>438.70522838726322</v>
      </c>
      <c r="BJ95" s="62">
        <f t="shared" si="92"/>
        <v>278.21741231699929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6.2</v>
      </c>
      <c r="BY95" s="13">
        <f>IF('Données projet'!$A$114&gt;35,BY94+BX95-CG94,IF(A95&lt;'Données projet'!$A$114,$BV$205^A95,IF(A95='Données projet'!$A$114,'Données projet'!$B$114,BY94+BX95-CG94)))</f>
        <v>314.39999999999992</v>
      </c>
      <c r="BZ95" s="14">
        <f>BY95*VLOOKUP('Données projet'!$B$12,Paramètres!$A$1:$I$89,3,0)*VLOOKUP('Données projet'!$B$12,Paramètres!$A$1:$I$89,5,0)</f>
        <v>304.08767999999992</v>
      </c>
      <c r="CA95" s="14">
        <f t="shared" si="93"/>
        <v>72.032722076553981</v>
      </c>
      <c r="CB95" s="22">
        <f t="shared" si="64"/>
        <v>655.07636694999792</v>
      </c>
      <c r="CC95" s="62">
        <f t="shared" si="65"/>
        <v>948.40970028333118</v>
      </c>
      <c r="CD95" s="62">
        <f ca="1">AVERAGE(OFFSET($CC$3,0,0,'Données projet'!$E$12+1,1))-AVERAGE(OFFSET($H$3,0,0,'Données projet'!$E$12+1,1))</f>
        <v>466.10838191274445</v>
      </c>
      <c r="CE95" s="62">
        <f t="shared" si="94"/>
        <v>294.45557293177131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-3.4106051316484809E-13</v>
      </c>
      <c r="CU95" s="18">
        <f>CT95*VLOOKUP('Données projet'!$B$13,Paramètres!$A$1:$I$89,3,0)*VLOOKUP('Données projet'!$B$13,Paramètres!$A$1:$I$89,5,0)</f>
        <v>-2.5006556825246659E-13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376.5422416541544</v>
      </c>
      <c r="CZ95" s="62">
        <f t="shared" si="96"/>
        <v>365.76175372075869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-2.8421709430404007E-13</v>
      </c>
      <c r="DP95" s="18">
        <f>DO95*VLOOKUP('Données projet'!$B$14,Paramètres!$A$1:$I$89,3,0)*VLOOKUP('Données projet'!$B$14,Paramètres!$A$1:$I$89,5,0)</f>
        <v>-2.2612312022829427E-13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352.5736659365665</v>
      </c>
      <c r="DU95" s="62">
        <f t="shared" si="98"/>
        <v>343.77208530767069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2.2737367544323206E-13</v>
      </c>
      <c r="EK95" s="18">
        <f>EJ95*VLOOKUP('Données projet'!$B$15,Paramètres!$A$1:$I$89,3,0)*VLOOKUP('Données projet'!$B$15,Paramètres!$A$1:$I$89,5,0)</f>
        <v>2.0572770154103635E-13</v>
      </c>
      <c r="EL95" s="14">
        <f t="shared" si="99"/>
        <v>2.8416956338469711E-12</v>
      </c>
      <c r="EM95" s="22">
        <f t="shared" si="73"/>
        <v>5.3075956424674458E-12</v>
      </c>
      <c r="EN95" s="62">
        <f t="shared" si="74"/>
        <v>293.3333333333386</v>
      </c>
      <c r="EO95" s="62">
        <f ca="1">AVERAGE(OFFSET($EN$3,0,0,'Données projet'!$E$15+1,1))-AVERAGE(OFFSET($H$3,0,0,'Données projet'!$E$15+1,1))</f>
        <v>436.23918637269577</v>
      </c>
      <c r="EP95" s="62">
        <f t="shared" si="100"/>
        <v>611.43967996341894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1.3768384459376244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1.3768384459376244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1.9895196601282805E-13</v>
      </c>
      <c r="FF95" s="18">
        <f>FE95*VLOOKUP('Données projet'!$B$16,Paramètres!$A$1:$I$89,3,0)*VLOOKUP('Données projet'!$B$16,Paramètres!$A$1:$I$89,5,0)</f>
        <v>1.738044375088066E-13</v>
      </c>
      <c r="FG95" s="14">
        <f t="shared" si="101"/>
        <v>2.4483293633950478E-12</v>
      </c>
      <c r="FH95" s="22">
        <f t="shared" si="76"/>
        <v>4.566883036574213E-12</v>
      </c>
      <c r="FI95" s="62">
        <f t="shared" si="77"/>
        <v>293.33333333333786</v>
      </c>
      <c r="FJ95" s="62">
        <f ca="1">AVERAGE(OFFSET($FI$3,0,0,'Données projet'!$E$16+1,1))-AVERAGE(OFFSET($H$3,0,0,'Données projet'!$E$16+1,1))</f>
        <v>321.23599968992932</v>
      </c>
      <c r="FK95" s="62">
        <f t="shared" si="102"/>
        <v>388.05195847800502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6.3550942286383367E-14</v>
      </c>
      <c r="P96" s="14">
        <f t="shared" si="87"/>
        <v>1.0064464192543978E-12</v>
      </c>
      <c r="Q96" s="22">
        <f t="shared" si="54"/>
        <v>1.8635787380168604E-12</v>
      </c>
      <c r="R96" s="62">
        <f t="shared" si="55"/>
        <v>293.33333333333519</v>
      </c>
      <c r="S96" s="62">
        <f ca="1">AVERAGE(OFFSET($R$3,0,0,'Données projet'!$E$9+1,1))-AVERAGE(OFFSET($H$3,0,0,'Données projet'!$E$9+1,1))</f>
        <v>389.06620927245814</v>
      </c>
      <c r="T96" s="62">
        <f t="shared" si="88"/>
        <v>356.08144160383193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5.406134392749891</v>
      </c>
      <c r="AB96" s="23">
        <f>EXP(-LN(2)/2)*AB95+(1-EXP(-LN(2)/2))/(LN(2)/2)*V96*Y96*VLOOKUP('Données projet'!$B$9,Paramètres!$A$1:$I$89,3,0)*0.475*44/12</f>
        <v>1.7064041636502971E-9</v>
      </c>
      <c r="AC96" s="24">
        <f t="shared" si="57"/>
        <v>5.406134394456295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projet'!$B$10,Paramètres!$A$1:$I$89,3,0)*VLOOKUP('Données projet'!$B$10,Paramètres!$A$1:$I$89,5,0)</f>
        <v>-3.1036506698001178E-14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293.73480285950245</v>
      </c>
      <c r="AO96" s="62">
        <f t="shared" si="90"/>
        <v>425.99823184414191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3.683649147138008</v>
      </c>
      <c r="AW96" s="23">
        <f>EXP(-LN(2)/2)*AW95+(1-EXP(-LN(2)/2))/(LN(2)/2)*AQ96*AT96*VLOOKUP('Données projet'!$B$10,Paramètres!$A$1:$I$89,3,0)*0.475*44/12</f>
        <v>6.3647980991956798E-9</v>
      </c>
      <c r="AX96" s="23">
        <f t="shared" si="60"/>
        <v>3.683649153502806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6.2</v>
      </c>
      <c r="BD96" s="13">
        <f>IF('Données projet'!$A$88&gt;35,BD95+BC96-BL95,IF(A96&lt;'Données projet'!$A$88,$BA$205^A96,IF(A96='Données projet'!$A$88,'Données projet'!$B$88,BD95+BC96-BL95)))</f>
        <v>320.59999999999991</v>
      </c>
      <c r="BE96" s="14">
        <f>BD96*VLOOKUP('Données projet'!$B$11,Paramètres!$A$1:$I$89,3,0)*VLOOKUP('Données projet'!$B$11,Paramètres!$A$1:$I$89,5,0)</f>
        <v>290.07887999999991</v>
      </c>
      <c r="BF96" s="14">
        <f t="shared" si="91"/>
        <v>69.092562427360406</v>
      </c>
      <c r="BG96" s="22">
        <f t="shared" si="61"/>
        <v>625.55692889431919</v>
      </c>
      <c r="BH96" s="62">
        <f t="shared" si="62"/>
        <v>918.89026222765256</v>
      </c>
      <c r="BI96" s="62">
        <f ca="1">AVERAGE(OFFSET($BH$3,0,0,'Données projet'!$E$11+1,1))-AVERAGE(OFFSET($H$3,0,0,'Données projet'!$E$11+1,1))</f>
        <v>438.70522838726322</v>
      </c>
      <c r="BJ96" s="62">
        <f t="shared" si="92"/>
        <v>278.21741231699929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6.2</v>
      </c>
      <c r="BY96" s="13">
        <f>IF('Données projet'!$A$114&gt;35,BY95+BX96-CG95,IF(A96&lt;'Données projet'!$A$114,$BV$205^A96,IF(A96='Données projet'!$A$114,'Données projet'!$B$114,BY95+BX96-CG95)))</f>
        <v>320.59999999999991</v>
      </c>
      <c r="BZ96" s="14">
        <f>BY96*VLOOKUP('Données projet'!$B$12,Paramètres!$A$1:$I$89,3,0)*VLOOKUP('Données projet'!$B$12,Paramètres!$A$1:$I$89,5,0)</f>
        <v>310.08431999999993</v>
      </c>
      <c r="CA96" s="14">
        <f t="shared" si="93"/>
        <v>73.286439265073966</v>
      </c>
      <c r="CB96" s="22">
        <f t="shared" si="64"/>
        <v>667.70407238667042</v>
      </c>
      <c r="CC96" s="62">
        <f t="shared" si="65"/>
        <v>961.03740572000379</v>
      </c>
      <c r="CD96" s="62">
        <f ca="1">AVERAGE(OFFSET($CC$3,0,0,'Données projet'!$E$12+1,1))-AVERAGE(OFFSET($H$3,0,0,'Données projet'!$E$12+1,1))</f>
        <v>466.10838191274445</v>
      </c>
      <c r="CE96" s="62">
        <f t="shared" si="94"/>
        <v>294.45557293177131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-3.4106051316484809E-13</v>
      </c>
      <c r="CU96" s="18">
        <f>CT96*VLOOKUP('Données projet'!$B$13,Paramètres!$A$1:$I$89,3,0)*VLOOKUP('Données projet'!$B$13,Paramètres!$A$1:$I$89,5,0)</f>
        <v>-2.5006556825246659E-13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376.5422416541544</v>
      </c>
      <c r="CZ96" s="62">
        <f t="shared" si="96"/>
        <v>365.76175372075869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-2.8421709430404007E-13</v>
      </c>
      <c r="DP96" s="18">
        <f>DO96*VLOOKUP('Données projet'!$B$14,Paramètres!$A$1:$I$89,3,0)*VLOOKUP('Données projet'!$B$14,Paramètres!$A$1:$I$89,5,0)</f>
        <v>-2.2612312022829427E-13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352.5736659365665</v>
      </c>
      <c r="DU96" s="62">
        <f t="shared" si="98"/>
        <v>343.77208530767069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2.2737367544323206E-13</v>
      </c>
      <c r="EK96" s="18">
        <f>EJ96*VLOOKUP('Données projet'!$B$15,Paramètres!$A$1:$I$89,3,0)*VLOOKUP('Données projet'!$B$15,Paramètres!$A$1:$I$89,5,0)</f>
        <v>2.0572770154103635E-13</v>
      </c>
      <c r="EL96" s="14">
        <f t="shared" si="99"/>
        <v>2.8416956338469711E-12</v>
      </c>
      <c r="EM96" s="22">
        <f t="shared" si="73"/>
        <v>5.3075956424674458E-12</v>
      </c>
      <c r="EN96" s="62">
        <f t="shared" si="74"/>
        <v>293.3333333333386</v>
      </c>
      <c r="EO96" s="62">
        <f ca="1">AVERAGE(OFFSET($EN$3,0,0,'Données projet'!$E$15+1,1))-AVERAGE(OFFSET($H$3,0,0,'Données projet'!$E$15+1,1))</f>
        <v>436.23918637269577</v>
      </c>
      <c r="EP96" s="62">
        <f t="shared" si="100"/>
        <v>611.43967996341894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1.3498394838013175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1.3498394838013175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1.9895196601282805E-13</v>
      </c>
      <c r="FF96" s="18">
        <f>FE96*VLOOKUP('Données projet'!$B$16,Paramètres!$A$1:$I$89,3,0)*VLOOKUP('Données projet'!$B$16,Paramètres!$A$1:$I$89,5,0)</f>
        <v>1.738044375088066E-13</v>
      </c>
      <c r="FG96" s="14">
        <f t="shared" si="101"/>
        <v>2.4483293633950478E-12</v>
      </c>
      <c r="FH96" s="22">
        <f t="shared" si="76"/>
        <v>4.566883036574213E-12</v>
      </c>
      <c r="FI96" s="62">
        <f t="shared" si="77"/>
        <v>293.33333333333786</v>
      </c>
      <c r="FJ96" s="62">
        <f ca="1">AVERAGE(OFFSET($FI$3,0,0,'Données projet'!$E$16+1,1))-AVERAGE(OFFSET($H$3,0,0,'Données projet'!$E$16+1,1))</f>
        <v>321.23599968992932</v>
      </c>
      <c r="FK96" s="62">
        <f t="shared" si="102"/>
        <v>388.05195847800502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6.3550942286383367E-14</v>
      </c>
      <c r="P97" s="14">
        <f t="shared" si="87"/>
        <v>1.0064464192543978E-12</v>
      </c>
      <c r="Q97" s="22">
        <f t="shared" si="54"/>
        <v>1.8635787380168604E-12</v>
      </c>
      <c r="R97" s="62">
        <f t="shared" si="55"/>
        <v>293.33333333333519</v>
      </c>
      <c r="S97" s="62">
        <f ca="1">AVERAGE(OFFSET($R$3,0,0,'Données projet'!$E$9+1,1))-AVERAGE(OFFSET($H$3,0,0,'Données projet'!$E$9+1,1))</f>
        <v>389.06620927245814</v>
      </c>
      <c r="T97" s="62">
        <f t="shared" si="88"/>
        <v>356.08144160383193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5.2583033634838934</v>
      </c>
      <c r="AB97" s="23">
        <f>EXP(-LN(2)/2)*AB96+(1-EXP(-LN(2)/2))/(LN(2)/2)*V97*Y97*VLOOKUP('Données projet'!$B$9,Paramètres!$A$1:$I$89,3,0)*0.475*44/12</f>
        <v>1.2066099555620843E-9</v>
      </c>
      <c r="AC97" s="24">
        <f t="shared" si="57"/>
        <v>5.2583033646905033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projet'!$B$10,Paramètres!$A$1:$I$89,3,0)*VLOOKUP('Données projet'!$B$10,Paramètres!$A$1:$I$89,5,0)</f>
        <v>-3.1036506698001178E-14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293.73480285950245</v>
      </c>
      <c r="AO97" s="62">
        <f t="shared" si="90"/>
        <v>425.99823184414191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3.5829195674948298</v>
      </c>
      <c r="AW97" s="23">
        <f>EXP(-LN(2)/2)*AW96+(1-EXP(-LN(2)/2))/(LN(2)/2)*AQ97*AT97*VLOOKUP('Données projet'!$B$10,Paramètres!$A$1:$I$89,3,0)*0.475*44/12</f>
        <v>4.500591896824513E-9</v>
      </c>
      <c r="AX97" s="23">
        <f t="shared" si="60"/>
        <v>3.5829195719954217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6.2</v>
      </c>
      <c r="BD97" s="13">
        <f>IF('Données projet'!$A$88&gt;35,BD96+BC97-BL96,IF(A97&lt;'Données projet'!$A$88,$BA$205^A97,IF(A97='Données projet'!$A$88,'Données projet'!$B$88,BD96+BC97-BL96)))</f>
        <v>326.7999999999999</v>
      </c>
      <c r="BE97" s="14">
        <f>BD97*VLOOKUP('Données projet'!$B$11,Paramètres!$A$1:$I$89,3,0)*VLOOKUP('Données projet'!$B$11,Paramètres!$A$1:$I$89,5,0)</f>
        <v>295.68863999999991</v>
      </c>
      <c r="BF97" s="14">
        <f t="shared" si="91"/>
        <v>70.271876780519747</v>
      </c>
      <c r="BG97" s="22">
        <f t="shared" si="61"/>
        <v>637.3812333927383</v>
      </c>
      <c r="BH97" s="62">
        <f t="shared" si="62"/>
        <v>930.71456672607155</v>
      </c>
      <c r="BI97" s="62">
        <f ca="1">AVERAGE(OFFSET($BH$3,0,0,'Données projet'!$E$11+1,1))-AVERAGE(OFFSET($H$3,0,0,'Données projet'!$E$11+1,1))</f>
        <v>438.70522838726322</v>
      </c>
      <c r="BJ97" s="62">
        <f t="shared" si="92"/>
        <v>278.21741231699929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6.2</v>
      </c>
      <c r="BY97" s="13">
        <f>IF('Données projet'!$A$114&gt;35,BY96+BX97-CG96,IF(A97&lt;'Données projet'!$A$114,$BV$205^A97,IF(A97='Données projet'!$A$114,'Données projet'!$B$114,BY96+BX97-CG96)))</f>
        <v>326.7999999999999</v>
      </c>
      <c r="BZ97" s="14">
        <f>BY97*VLOOKUP('Données projet'!$B$12,Paramètres!$A$1:$I$89,3,0)*VLOOKUP('Données projet'!$B$12,Paramètres!$A$1:$I$89,5,0)</f>
        <v>316.08095999999989</v>
      </c>
      <c r="CA97" s="14">
        <f t="shared" si="93"/>
        <v>74.537337287681041</v>
      </c>
      <c r="CB97" s="22">
        <f t="shared" si="64"/>
        <v>680.32686777604431</v>
      </c>
      <c r="CC97" s="62">
        <f t="shared" si="65"/>
        <v>973.66020110937757</v>
      </c>
      <c r="CD97" s="62">
        <f ca="1">AVERAGE(OFFSET($CC$3,0,0,'Données projet'!$E$12+1,1))-AVERAGE(OFFSET($H$3,0,0,'Données projet'!$E$12+1,1))</f>
        <v>466.10838191274445</v>
      </c>
      <c r="CE97" s="62">
        <f t="shared" si="94"/>
        <v>294.45557293177131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-3.4106051316484809E-13</v>
      </c>
      <c r="CU97" s="18">
        <f>CT97*VLOOKUP('Données projet'!$B$13,Paramètres!$A$1:$I$89,3,0)*VLOOKUP('Données projet'!$B$13,Paramètres!$A$1:$I$89,5,0)</f>
        <v>-2.5006556825246659E-13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376.5422416541544</v>
      </c>
      <c r="CZ97" s="62">
        <f t="shared" si="96"/>
        <v>365.76175372075869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-2.8421709430404007E-13</v>
      </c>
      <c r="DP97" s="18">
        <f>DO97*VLOOKUP('Données projet'!$B$14,Paramètres!$A$1:$I$89,3,0)*VLOOKUP('Données projet'!$B$14,Paramètres!$A$1:$I$89,5,0)</f>
        <v>-2.2612312022829427E-13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352.5736659365665</v>
      </c>
      <c r="DU97" s="62">
        <f t="shared" si="98"/>
        <v>343.77208530767069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2.2737367544323206E-13</v>
      </c>
      <c r="EK97" s="18">
        <f>EJ97*VLOOKUP('Données projet'!$B$15,Paramètres!$A$1:$I$89,3,0)*VLOOKUP('Données projet'!$B$15,Paramètres!$A$1:$I$89,5,0)</f>
        <v>2.0572770154103635E-13</v>
      </c>
      <c r="EL97" s="14">
        <f t="shared" si="99"/>
        <v>2.8416956338469711E-12</v>
      </c>
      <c r="EM97" s="22">
        <f t="shared" si="73"/>
        <v>5.3075956424674458E-12</v>
      </c>
      <c r="EN97" s="62">
        <f t="shared" si="74"/>
        <v>293.3333333333386</v>
      </c>
      <c r="EO97" s="62">
        <f ca="1">AVERAGE(OFFSET($EN$3,0,0,'Données projet'!$E$15+1,1))-AVERAGE(OFFSET($H$3,0,0,'Données projet'!$E$15+1,1))</f>
        <v>436.23918637269577</v>
      </c>
      <c r="EP97" s="62">
        <f t="shared" si="100"/>
        <v>611.43967996341894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1.3233699548447626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1.3233699548447626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1.9895196601282805E-13</v>
      </c>
      <c r="FF97" s="18">
        <f>FE97*VLOOKUP('Données projet'!$B$16,Paramètres!$A$1:$I$89,3,0)*VLOOKUP('Données projet'!$B$16,Paramètres!$A$1:$I$89,5,0)</f>
        <v>1.738044375088066E-13</v>
      </c>
      <c r="FG97" s="14">
        <f t="shared" si="101"/>
        <v>2.4483293633950478E-12</v>
      </c>
      <c r="FH97" s="22">
        <f t="shared" si="76"/>
        <v>4.566883036574213E-12</v>
      </c>
      <c r="FI97" s="62">
        <f t="shared" si="77"/>
        <v>293.33333333333786</v>
      </c>
      <c r="FJ97" s="62">
        <f ca="1">AVERAGE(OFFSET($FI$3,0,0,'Données projet'!$E$16+1,1))-AVERAGE(OFFSET($H$3,0,0,'Données projet'!$E$16+1,1))</f>
        <v>321.23599968992932</v>
      </c>
      <c r="FK97" s="62">
        <f t="shared" si="102"/>
        <v>388.05195847800502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6.3550942286383367E-14</v>
      </c>
      <c r="P98" s="14">
        <f t="shared" si="87"/>
        <v>1.0064464192543978E-12</v>
      </c>
      <c r="Q98" s="22">
        <f t="shared" si="54"/>
        <v>1.8635787380168604E-12</v>
      </c>
      <c r="R98" s="62">
        <f t="shared" si="55"/>
        <v>293.33333333333519</v>
      </c>
      <c r="S98" s="62">
        <f ca="1">AVERAGE(OFFSET($R$3,0,0,'Données projet'!$E$9+1,1))-AVERAGE(OFFSET($H$3,0,0,'Données projet'!$E$9+1,1))</f>
        <v>389.06620927245814</v>
      </c>
      <c r="T98" s="62">
        <f t="shared" si="88"/>
        <v>356.08144160383193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5.1145147814872702</v>
      </c>
      <c r="AB98" s="23">
        <f>EXP(-LN(2)/2)*AB97+(1-EXP(-LN(2)/2))/(LN(2)/2)*V98*Y98*VLOOKUP('Données projet'!$B$9,Paramètres!$A$1:$I$89,3,0)*0.475*44/12</f>
        <v>8.5320208182514856E-10</v>
      </c>
      <c r="AC98" s="24">
        <f t="shared" si="57"/>
        <v>5.1145147823404722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projet'!$B$10,Paramètres!$A$1:$I$89,3,0)*VLOOKUP('Données projet'!$B$10,Paramètres!$A$1:$I$89,5,0)</f>
        <v>-3.1036506698001178E-14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293.73480285950245</v>
      </c>
      <c r="AO98" s="62">
        <f t="shared" si="90"/>
        <v>425.99823184414191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3.4849444435041326</v>
      </c>
      <c r="AW98" s="23">
        <f>EXP(-LN(2)/2)*AW97+(1-EXP(-LN(2)/2))/(LN(2)/2)*AQ98*AT98*VLOOKUP('Données projet'!$B$10,Paramètres!$A$1:$I$89,3,0)*0.475*44/12</f>
        <v>3.1823990495978399E-9</v>
      </c>
      <c r="AX98" s="23">
        <f t="shared" si="60"/>
        <v>3.4849444466865318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333</v>
      </c>
      <c r="BB98" s="13">
        <f>VLOOKUP(A98,'Données projet'!$A$87:$I$107,9,0)</f>
        <v>6.2</v>
      </c>
      <c r="BC98" s="13">
        <f t="array" ref="BC98">INDEX(BB:BB,MIN(IF(ISNUMBER(BB98:BB294),ROW(BB98:BB294),"")))</f>
        <v>6.2</v>
      </c>
      <c r="BD98" s="13">
        <f>IF('Données projet'!$A$88&gt;35,BD97+BC98-BL97,IF(A98&lt;'Données projet'!$A$88,$BA$205^A98,IF(A98='Données projet'!$A$88,'Données projet'!$B$88,BD97+BC98-BL97)))</f>
        <v>332.99999999999989</v>
      </c>
      <c r="BE98" s="14">
        <f>BD98*VLOOKUP('Données projet'!$B$11,Paramètres!$A$1:$I$89,3,0)*VLOOKUP('Données projet'!$B$11,Paramètres!$A$1:$I$89,5,0)</f>
        <v>301.2983999999999</v>
      </c>
      <c r="BF98" s="14">
        <f t="shared" si="91"/>
        <v>71.448589534990518</v>
      </c>
      <c r="BG98" s="22">
        <f t="shared" si="61"/>
        <v>649.20100677344158</v>
      </c>
      <c r="BH98" s="62">
        <f t="shared" si="62"/>
        <v>942.53434010677483</v>
      </c>
      <c r="BI98" s="62">
        <f ca="1">AVERAGE(OFFSET($BH$3,0,0,'Données projet'!$E$11+1,1))-AVERAGE(OFFSET($H$3,0,0,'Données projet'!$E$11+1,1))</f>
        <v>438.70522838726322</v>
      </c>
      <c r="BJ98" s="62">
        <f t="shared" si="92"/>
        <v>278.21741231699929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28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333</v>
      </c>
      <c r="BW98" s="13">
        <f>VLOOKUP(A98,'Données projet'!$A$113:$I$133,9,0)</f>
        <v>6.2</v>
      </c>
      <c r="BX98" s="13">
        <f t="array" ref="BX98">INDEX(BW:BW,MIN(IF(ISNUMBER(BW98:BW294),ROW(BW98:BW294),"")))</f>
        <v>6.2</v>
      </c>
      <c r="BY98" s="13">
        <f>IF('Données projet'!$A$114&gt;35,BY97+BX98-CG97,IF(A98&lt;'Données projet'!$A$114,$BV$205^A98,IF(A98='Données projet'!$A$114,'Données projet'!$B$114,BY97+BX98-CG97)))</f>
        <v>332.99999999999989</v>
      </c>
      <c r="BZ98" s="14">
        <f>BY98*VLOOKUP('Données projet'!$B$12,Paramètres!$A$1:$I$89,3,0)*VLOOKUP('Données projet'!$B$12,Paramètres!$A$1:$I$89,5,0)</f>
        <v>322.0775999999999</v>
      </c>
      <c r="CA98" s="14">
        <f t="shared" si="93"/>
        <v>75.785475796129404</v>
      </c>
      <c r="CB98" s="22">
        <f t="shared" si="64"/>
        <v>692.94485701159181</v>
      </c>
      <c r="CC98" s="62">
        <f t="shared" si="65"/>
        <v>986.27819034492518</v>
      </c>
      <c r="CD98" s="62">
        <f ca="1">AVERAGE(OFFSET($CC$3,0,0,'Données projet'!$E$12+1,1))-AVERAGE(OFFSET($H$3,0,0,'Données projet'!$E$12+1,1))</f>
        <v>466.10838191274445</v>
      </c>
      <c r="CE98" s="62">
        <f t="shared" si="94"/>
        <v>294.45557293177131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28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-3.4106051316484809E-13</v>
      </c>
      <c r="CU98" s="18">
        <f>CT98*VLOOKUP('Données projet'!$B$13,Paramètres!$A$1:$I$89,3,0)*VLOOKUP('Données projet'!$B$13,Paramètres!$A$1:$I$89,5,0)</f>
        <v>-2.5006556825246659E-13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376.5422416541544</v>
      </c>
      <c r="CZ98" s="62">
        <f t="shared" si="96"/>
        <v>365.76175372075869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-2.8421709430404007E-13</v>
      </c>
      <c r="DP98" s="18">
        <f>DO98*VLOOKUP('Données projet'!$B$14,Paramètres!$A$1:$I$89,3,0)*VLOOKUP('Données projet'!$B$14,Paramètres!$A$1:$I$89,5,0)</f>
        <v>-2.2612312022829427E-13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352.5736659365665</v>
      </c>
      <c r="DU98" s="62">
        <f t="shared" si="98"/>
        <v>343.77208530767069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2.2737367544323206E-13</v>
      </c>
      <c r="EK98" s="18">
        <f>EJ98*VLOOKUP('Données projet'!$B$15,Paramètres!$A$1:$I$89,3,0)*VLOOKUP('Données projet'!$B$15,Paramètres!$A$1:$I$89,5,0)</f>
        <v>2.0572770154103635E-13</v>
      </c>
      <c r="EL98" s="14">
        <f t="shared" si="99"/>
        <v>2.8416956338469711E-12</v>
      </c>
      <c r="EM98" s="22">
        <f t="shared" si="73"/>
        <v>5.3075956424674458E-12</v>
      </c>
      <c r="EN98" s="62">
        <f t="shared" si="74"/>
        <v>293.3333333333386</v>
      </c>
      <c r="EO98" s="62">
        <f ca="1">AVERAGE(OFFSET($EN$3,0,0,'Données projet'!$E$15+1,1))-AVERAGE(OFFSET($H$3,0,0,'Données projet'!$E$15+1,1))</f>
        <v>436.23918637269577</v>
      </c>
      <c r="EP98" s="62">
        <f t="shared" si="100"/>
        <v>611.43967996341894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1.2974194772062273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1.2974194772062273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1.9895196601282805E-13</v>
      </c>
      <c r="FF98" s="18">
        <f>FE98*VLOOKUP('Données projet'!$B$16,Paramètres!$A$1:$I$89,3,0)*VLOOKUP('Données projet'!$B$16,Paramètres!$A$1:$I$89,5,0)</f>
        <v>1.738044375088066E-13</v>
      </c>
      <c r="FG98" s="14">
        <f t="shared" si="101"/>
        <v>2.4483293633950478E-12</v>
      </c>
      <c r="FH98" s="22">
        <f t="shared" si="76"/>
        <v>4.566883036574213E-12</v>
      </c>
      <c r="FI98" s="62">
        <f t="shared" si="77"/>
        <v>293.33333333333786</v>
      </c>
      <c r="FJ98" s="62">
        <f ca="1">AVERAGE(OFFSET($FI$3,0,0,'Données projet'!$E$16+1,1))-AVERAGE(OFFSET($H$3,0,0,'Données projet'!$E$16+1,1))</f>
        <v>321.23599968992932</v>
      </c>
      <c r="FK98" s="62">
        <f t="shared" si="102"/>
        <v>388.05195847800502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6.3550942286383367E-14</v>
      </c>
      <c r="P99" s="14">
        <f t="shared" si="87"/>
        <v>1.0064464192543978E-12</v>
      </c>
      <c r="Q99" s="22">
        <f t="shared" ref="Q99:Q130" si="107">(O99+P99)*0.475*44/12</f>
        <v>1.8635787380168604E-12</v>
      </c>
      <c r="R99" s="62">
        <f t="shared" si="55"/>
        <v>293.33333333333519</v>
      </c>
      <c r="S99" s="62">
        <f ca="1">AVERAGE(OFFSET($R$3,0,0,'Données projet'!$E$9+1,1))-AVERAGE(OFFSET($H$3,0,0,'Données projet'!$E$9+1,1))</f>
        <v>389.06620927245814</v>
      </c>
      <c r="T99" s="62">
        <f t="shared" si="88"/>
        <v>356.08144160383193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4.9746581058268582</v>
      </c>
      <c r="AB99" s="23">
        <f>EXP(-LN(2)/2)*AB98+(1-EXP(-LN(2)/2))/(LN(2)/2)*V99*Y99*VLOOKUP('Données projet'!$B$9,Paramètres!$A$1:$I$89,3,0)*0.475*44/12</f>
        <v>6.0330497778104213E-10</v>
      </c>
      <c r="AC99" s="24">
        <f t="shared" si="57"/>
        <v>4.9746581064301632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projet'!$B$10,Paramètres!$A$1:$I$89,3,0)*VLOOKUP('Données projet'!$B$10,Paramètres!$A$1:$I$89,5,0)</f>
        <v>-3.1036506698001178E-14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293.73480285950245</v>
      </c>
      <c r="AO99" s="62">
        <f t="shared" si="90"/>
        <v>425.99823184414191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3.3896484544312488</v>
      </c>
      <c r="AW99" s="23">
        <f>EXP(-LN(2)/2)*AW98+(1-EXP(-LN(2)/2))/(LN(2)/2)*AQ99*AT99*VLOOKUP('Données projet'!$B$10,Paramètres!$A$1:$I$89,3,0)*0.475*44/12</f>
        <v>2.2502959484122565E-9</v>
      </c>
      <c r="AX99" s="23">
        <f t="shared" si="60"/>
        <v>3.3896484566815448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5.6</v>
      </c>
      <c r="BD99" s="13">
        <f>IF('Données projet'!$A$88&gt;35,BD98+BC99-BL98,IF(A99&lt;'Données projet'!$A$88,$BA$205^A99,IF(A99='Données projet'!$A$88,'Données projet'!$B$88,BD98+BC99-BL98)))</f>
        <v>310.59999999999991</v>
      </c>
      <c r="BE99" s="14">
        <f>BD99*VLOOKUP('Données projet'!$B$11,Paramètres!$A$1:$I$89,3,0)*VLOOKUP('Données projet'!$B$11,Paramètres!$A$1:$I$89,5,0)</f>
        <v>281.03087999999991</v>
      </c>
      <c r="BF99" s="14">
        <f t="shared" si="91"/>
        <v>67.184816842275467</v>
      </c>
      <c r="BG99" s="22">
        <f t="shared" si="61"/>
        <v>606.4756720002963</v>
      </c>
      <c r="BH99" s="62">
        <f t="shared" si="62"/>
        <v>899.80900533362956</v>
      </c>
      <c r="BI99" s="62">
        <f ca="1">AVERAGE(OFFSET($BH$3,0,0,'Données projet'!$E$11+1,1))-AVERAGE(OFFSET($H$3,0,0,'Données projet'!$E$11+1,1))</f>
        <v>438.70522838726322</v>
      </c>
      <c r="BJ99" s="62">
        <f t="shared" si="92"/>
        <v>278.21741231699929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5.6</v>
      </c>
      <c r="BY99" s="13">
        <f>IF('Données projet'!$A$114&gt;35,BY98+BX99-CG98,IF(A99&lt;'Données projet'!$A$114,$BV$205^A99,IF(A99='Données projet'!$A$114,'Données projet'!$B$114,BY98+BX99-CG98)))</f>
        <v>310.59999999999991</v>
      </c>
      <c r="BZ99" s="14">
        <f>BY99*VLOOKUP('Données projet'!$B$12,Paramètres!$A$1:$I$89,3,0)*VLOOKUP('Données projet'!$B$12,Paramètres!$A$1:$I$89,5,0)</f>
        <v>300.41231999999991</v>
      </c>
      <c r="CA99" s="14">
        <f t="shared" si="93"/>
        <v>71.262894674416671</v>
      </c>
      <c r="CB99" s="22">
        <f t="shared" si="64"/>
        <v>647.33433222460883</v>
      </c>
      <c r="CC99" s="62">
        <f t="shared" si="65"/>
        <v>940.6676655579422</v>
      </c>
      <c r="CD99" s="62">
        <f ca="1">AVERAGE(OFFSET($CC$3,0,0,'Données projet'!$E$12+1,1))-AVERAGE(OFFSET($H$3,0,0,'Données projet'!$E$12+1,1))</f>
        <v>466.10838191274445</v>
      </c>
      <c r="CE99" s="62">
        <f t="shared" si="94"/>
        <v>294.45557293177131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-3.4106051316484809E-13</v>
      </c>
      <c r="CU99" s="18">
        <f>CT99*VLOOKUP('Données projet'!$B$13,Paramètres!$A$1:$I$89,3,0)*VLOOKUP('Données projet'!$B$13,Paramètres!$A$1:$I$89,5,0)</f>
        <v>-2.5006556825246659E-13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376.5422416541544</v>
      </c>
      <c r="CZ99" s="62">
        <f t="shared" si="96"/>
        <v>365.76175372075869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-2.8421709430404007E-13</v>
      </c>
      <c r="DP99" s="18">
        <f>DO99*VLOOKUP('Données projet'!$B$14,Paramètres!$A$1:$I$89,3,0)*VLOOKUP('Données projet'!$B$14,Paramètres!$A$1:$I$89,5,0)</f>
        <v>-2.2612312022829427E-13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352.5736659365665</v>
      </c>
      <c r="DU99" s="62">
        <f t="shared" si="98"/>
        <v>343.77208530767069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2.2737367544323206E-13</v>
      </c>
      <c r="EK99" s="18">
        <f>EJ99*VLOOKUP('Données projet'!$B$15,Paramètres!$A$1:$I$89,3,0)*VLOOKUP('Données projet'!$B$15,Paramètres!$A$1:$I$89,5,0)</f>
        <v>2.0572770154103635E-13</v>
      </c>
      <c r="EL99" s="14">
        <f t="shared" si="99"/>
        <v>2.8416956338469711E-12</v>
      </c>
      <c r="EM99" s="22">
        <f t="shared" si="73"/>
        <v>5.3075956424674458E-12</v>
      </c>
      <c r="EN99" s="62">
        <f t="shared" si="74"/>
        <v>293.3333333333386</v>
      </c>
      <c r="EO99" s="62">
        <f ca="1">AVERAGE(OFFSET($EN$3,0,0,'Données projet'!$E$15+1,1))-AVERAGE(OFFSET($H$3,0,0,'Données projet'!$E$15+1,1))</f>
        <v>436.23918637269577</v>
      </c>
      <c r="EP99" s="62">
        <f t="shared" si="100"/>
        <v>611.43967996341894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1.2719778726059552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1.2719778726059552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1.9895196601282805E-13</v>
      </c>
      <c r="FF99" s="18">
        <f>FE99*VLOOKUP('Données projet'!$B$16,Paramètres!$A$1:$I$89,3,0)*VLOOKUP('Données projet'!$B$16,Paramètres!$A$1:$I$89,5,0)</f>
        <v>1.738044375088066E-13</v>
      </c>
      <c r="FG99" s="14">
        <f t="shared" si="101"/>
        <v>2.4483293633950478E-12</v>
      </c>
      <c r="FH99" s="22">
        <f t="shared" si="76"/>
        <v>4.566883036574213E-12</v>
      </c>
      <c r="FI99" s="62">
        <f t="shared" si="77"/>
        <v>293.33333333333786</v>
      </c>
      <c r="FJ99" s="62">
        <f ca="1">AVERAGE(OFFSET($FI$3,0,0,'Données projet'!$E$16+1,1))-AVERAGE(OFFSET($H$3,0,0,'Données projet'!$E$16+1,1))</f>
        <v>321.23599968992932</v>
      </c>
      <c r="FK99" s="62">
        <f t="shared" si="102"/>
        <v>388.05195847800502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6.3550942286383367E-14</v>
      </c>
      <c r="P100" s="14">
        <f t="shared" si="87"/>
        <v>1.0064464192543978E-12</v>
      </c>
      <c r="Q100" s="22">
        <f t="shared" si="107"/>
        <v>1.8635787380168604E-12</v>
      </c>
      <c r="R100" s="62">
        <f t="shared" si="55"/>
        <v>293.33333333333519</v>
      </c>
      <c r="S100" s="62">
        <f ca="1">AVERAGE(OFFSET($R$3,0,0,'Données projet'!$E$9+1,1))-AVERAGE(OFFSET($H$3,0,0,'Données projet'!$E$9+1,1))</f>
        <v>389.06620927245814</v>
      </c>
      <c r="T100" s="62">
        <f t="shared" si="88"/>
        <v>356.08144160383193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4.8386258183171229</v>
      </c>
      <c r="AB100" s="23">
        <f>EXP(-LN(2)/2)*AB99+(1-EXP(-LN(2)/2))/(LN(2)/2)*V100*Y100*VLOOKUP('Données projet'!$B$9,Paramètres!$A$1:$I$89,3,0)*0.475*44/12</f>
        <v>4.2660104091257428E-10</v>
      </c>
      <c r="AC100" s="24">
        <f t="shared" si="57"/>
        <v>4.8386258187437239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projet'!$B$10,Paramètres!$A$1:$I$89,3,0)*VLOOKUP('Données projet'!$B$10,Paramètres!$A$1:$I$89,5,0)</f>
        <v>-3.1036506698001178E-14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293.73480285950245</v>
      </c>
      <c r="AO100" s="62">
        <f t="shared" si="90"/>
        <v>425.99823184414191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3.2969583391909612</v>
      </c>
      <c r="AW100" s="23">
        <f>EXP(-LN(2)/2)*AW99+(1-EXP(-LN(2)/2))/(LN(2)/2)*AQ100*AT100*VLOOKUP('Données projet'!$B$10,Paramètres!$A$1:$I$89,3,0)*0.475*44/12</f>
        <v>1.5911995247989199E-9</v>
      </c>
      <c r="AX100" s="23">
        <f t="shared" si="60"/>
        <v>3.2969583407821608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5.6</v>
      </c>
      <c r="BD100" s="13">
        <f>IF('Données projet'!$A$88&gt;35,BD99+BC100-BL99,IF(A100&lt;'Données projet'!$A$88,$BA$205^A100,IF(A100='Données projet'!$A$88,'Données projet'!$B$88,BD99+BC100-BL99)))</f>
        <v>316.19999999999993</v>
      </c>
      <c r="BE100" s="14">
        <f>BD100*VLOOKUP('Données projet'!$B$11,Paramètres!$A$1:$I$89,3,0)*VLOOKUP('Données projet'!$B$11,Paramètres!$A$1:$I$89,5,0)</f>
        <v>286.09775999999994</v>
      </c>
      <c r="BF100" s="14">
        <f t="shared" si="91"/>
        <v>68.254020651723678</v>
      </c>
      <c r="BG100" s="22">
        <f t="shared" si="61"/>
        <v>617.16268463508527</v>
      </c>
      <c r="BH100" s="62">
        <f t="shared" si="62"/>
        <v>910.49601796841853</v>
      </c>
      <c r="BI100" s="62">
        <f ca="1">AVERAGE(OFFSET($BH$3,0,0,'Données projet'!$E$11+1,1))-AVERAGE(OFFSET($H$3,0,0,'Données projet'!$E$11+1,1))</f>
        <v>438.70522838726322</v>
      </c>
      <c r="BJ100" s="62">
        <f t="shared" si="92"/>
        <v>278.21741231699929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5.6</v>
      </c>
      <c r="BY100" s="13">
        <f>IF('Données projet'!$A$114&gt;35,BY99+BX100-CG99,IF(A100&lt;'Données projet'!$A$114,$BV$205^A100,IF(A100='Données projet'!$A$114,'Données projet'!$B$114,BY99+BX100-CG99)))</f>
        <v>316.19999999999993</v>
      </c>
      <c r="BZ100" s="14">
        <f>BY100*VLOOKUP('Données projet'!$B$12,Paramètres!$A$1:$I$89,3,0)*VLOOKUP('Données projet'!$B$12,Paramètres!$A$1:$I$89,5,0)</f>
        <v>305.82863999999995</v>
      </c>
      <c r="CA100" s="14">
        <f t="shared" si="93"/>
        <v>72.396998509767741</v>
      </c>
      <c r="CB100" s="22">
        <f t="shared" si="64"/>
        <v>658.74298707117862</v>
      </c>
      <c r="CC100" s="62">
        <f t="shared" si="65"/>
        <v>952.07632040451199</v>
      </c>
      <c r="CD100" s="62">
        <f ca="1">AVERAGE(OFFSET($CC$3,0,0,'Données projet'!$E$12+1,1))-AVERAGE(OFFSET($H$3,0,0,'Données projet'!$E$12+1,1))</f>
        <v>466.10838191274445</v>
      </c>
      <c r="CE100" s="62">
        <f t="shared" si="94"/>
        <v>294.45557293177131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-3.4106051316484809E-13</v>
      </c>
      <c r="CU100" s="18">
        <f>CT100*VLOOKUP('Données projet'!$B$13,Paramètres!$A$1:$I$89,3,0)*VLOOKUP('Données projet'!$B$13,Paramètres!$A$1:$I$89,5,0)</f>
        <v>-2.5006556825246659E-13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376.5422416541544</v>
      </c>
      <c r="CZ100" s="62">
        <f t="shared" si="96"/>
        <v>365.76175372075869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-2.8421709430404007E-13</v>
      </c>
      <c r="DP100" s="18">
        <f>DO100*VLOOKUP('Données projet'!$B$14,Paramètres!$A$1:$I$89,3,0)*VLOOKUP('Données projet'!$B$14,Paramètres!$A$1:$I$89,5,0)</f>
        <v>-2.2612312022829427E-13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352.5736659365665</v>
      </c>
      <c r="DU100" s="62">
        <f t="shared" si="98"/>
        <v>343.77208530767069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2.2737367544323206E-13</v>
      </c>
      <c r="EK100" s="18">
        <f>EJ100*VLOOKUP('Données projet'!$B$15,Paramètres!$A$1:$I$89,3,0)*VLOOKUP('Données projet'!$B$15,Paramètres!$A$1:$I$89,5,0)</f>
        <v>2.0572770154103635E-13</v>
      </c>
      <c r="EL100" s="14">
        <f t="shared" si="99"/>
        <v>2.8416956338469711E-12</v>
      </c>
      <c r="EM100" s="22">
        <f t="shared" si="73"/>
        <v>5.3075956424674458E-12</v>
      </c>
      <c r="EN100" s="62">
        <f t="shared" si="74"/>
        <v>293.3333333333386</v>
      </c>
      <c r="EO100" s="62">
        <f ca="1">AVERAGE(OFFSET($EN$3,0,0,'Données projet'!$E$15+1,1))-AVERAGE(OFFSET($H$3,0,0,'Données projet'!$E$15+1,1))</f>
        <v>436.23918637269577</v>
      </c>
      <c r="EP100" s="62">
        <f t="shared" si="100"/>
        <v>611.43967996341894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1.2470351623540479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1.2470351623540479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1.9895196601282805E-13</v>
      </c>
      <c r="FF100" s="18">
        <f>FE100*VLOOKUP('Données projet'!$B$16,Paramètres!$A$1:$I$89,3,0)*VLOOKUP('Données projet'!$B$16,Paramètres!$A$1:$I$89,5,0)</f>
        <v>1.738044375088066E-13</v>
      </c>
      <c r="FG100" s="14">
        <f t="shared" si="101"/>
        <v>2.4483293633950478E-12</v>
      </c>
      <c r="FH100" s="22">
        <f t="shared" si="76"/>
        <v>4.566883036574213E-12</v>
      </c>
      <c r="FI100" s="62">
        <f t="shared" si="77"/>
        <v>293.33333333333786</v>
      </c>
      <c r="FJ100" s="62">
        <f ca="1">AVERAGE(OFFSET($FI$3,0,0,'Données projet'!$E$16+1,1))-AVERAGE(OFFSET($H$3,0,0,'Données projet'!$E$16+1,1))</f>
        <v>321.23599968992932</v>
      </c>
      <c r="FK100" s="62">
        <f t="shared" si="102"/>
        <v>388.05195847800502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6.3550942286383367E-14</v>
      </c>
      <c r="P101" s="14">
        <f t="shared" si="87"/>
        <v>1.0064464192543978E-12</v>
      </c>
      <c r="Q101" s="22">
        <f t="shared" si="107"/>
        <v>1.8635787380168604E-12</v>
      </c>
      <c r="R101" s="62">
        <f t="shared" si="55"/>
        <v>293.33333333333519</v>
      </c>
      <c r="S101" s="62">
        <f ca="1">AVERAGE(OFFSET($R$3,0,0,'Données projet'!$E$9+1,1))-AVERAGE(OFFSET($H$3,0,0,'Données projet'!$E$9+1,1))</f>
        <v>389.06620927245814</v>
      </c>
      <c r="T101" s="62">
        <f t="shared" si="88"/>
        <v>356.08144160383193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4.7063133408629678</v>
      </c>
      <c r="AB101" s="23">
        <f>EXP(-LN(2)/2)*AB100+(1-EXP(-LN(2)/2))/(LN(2)/2)*V101*Y101*VLOOKUP('Données projet'!$B$9,Paramètres!$A$1:$I$89,3,0)*0.475*44/12</f>
        <v>3.0165248889052106E-10</v>
      </c>
      <c r="AC101" s="24">
        <f t="shared" si="57"/>
        <v>4.7063133411646207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projet'!$B$10,Paramètres!$A$1:$I$89,3,0)*VLOOKUP('Données projet'!$B$10,Paramètres!$A$1:$I$89,5,0)</f>
        <v>-3.1036506698001178E-14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293.73480285950245</v>
      </c>
      <c r="AO101" s="62">
        <f t="shared" si="90"/>
        <v>425.99823184414191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3.2068028400262807</v>
      </c>
      <c r="AW101" s="23">
        <f>EXP(-LN(2)/2)*AW100+(1-EXP(-LN(2)/2))/(LN(2)/2)*AQ101*AT101*VLOOKUP('Données projet'!$B$10,Paramètres!$A$1:$I$89,3,0)*0.475*44/12</f>
        <v>1.1251479742061283E-9</v>
      </c>
      <c r="AX101" s="23">
        <f t="shared" si="60"/>
        <v>3.2068028411514287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5.6</v>
      </c>
      <c r="BD101" s="13">
        <f>IF('Données projet'!$A$88&gt;35,BD100+BC101-BL100,IF(A101&lt;'Données projet'!$A$88,$BA$205^A101,IF(A101='Données projet'!$A$88,'Données projet'!$B$88,BD100+BC101-BL100)))</f>
        <v>321.79999999999995</v>
      </c>
      <c r="BE101" s="14">
        <f>BD101*VLOOKUP('Données projet'!$B$11,Paramètres!$A$1:$I$89,3,0)*VLOOKUP('Données projet'!$B$11,Paramètres!$A$1:$I$89,5,0)</f>
        <v>291.16463999999991</v>
      </c>
      <c r="BF101" s="14">
        <f t="shared" si="91"/>
        <v>69.321022467464644</v>
      </c>
      <c r="BG101" s="22">
        <f t="shared" si="61"/>
        <v>627.84586213083401</v>
      </c>
      <c r="BH101" s="62">
        <f t="shared" si="62"/>
        <v>921.17919546416738</v>
      </c>
      <c r="BI101" s="62">
        <f ca="1">AVERAGE(OFFSET($BH$3,0,0,'Données projet'!$E$11+1,1))-AVERAGE(OFFSET($H$3,0,0,'Données projet'!$E$11+1,1))</f>
        <v>438.70522838726322</v>
      </c>
      <c r="BJ101" s="62">
        <f t="shared" si="92"/>
        <v>278.21741231699929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5.6</v>
      </c>
      <c r="BY101" s="13">
        <f>IF('Données projet'!$A$114&gt;35,BY100+BX101-CG100,IF(A101&lt;'Données projet'!$A$114,$BV$205^A101,IF(A101='Données projet'!$A$114,'Données projet'!$B$114,BY100+BX101-CG100)))</f>
        <v>321.79999999999995</v>
      </c>
      <c r="BZ101" s="14">
        <f>BY101*VLOOKUP('Données projet'!$B$12,Paramètres!$A$1:$I$89,3,0)*VLOOKUP('Données projet'!$B$12,Paramètres!$A$1:$I$89,5,0)</f>
        <v>311.24495999999994</v>
      </c>
      <c r="CA101" s="14">
        <f t="shared" si="93"/>
        <v>73.528766691722723</v>
      </c>
      <c r="CB101" s="22">
        <f t="shared" si="64"/>
        <v>670.14757398808365</v>
      </c>
      <c r="CC101" s="62">
        <f t="shared" si="65"/>
        <v>963.48090732141691</v>
      </c>
      <c r="CD101" s="62">
        <f ca="1">AVERAGE(OFFSET($CC$3,0,0,'Données projet'!$E$12+1,1))-AVERAGE(OFFSET($H$3,0,0,'Données projet'!$E$12+1,1))</f>
        <v>466.10838191274445</v>
      </c>
      <c r="CE101" s="62">
        <f t="shared" si="94"/>
        <v>294.45557293177131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-3.4106051316484809E-13</v>
      </c>
      <c r="CU101" s="18">
        <f>CT101*VLOOKUP('Données projet'!$B$13,Paramètres!$A$1:$I$89,3,0)*VLOOKUP('Données projet'!$B$13,Paramètres!$A$1:$I$89,5,0)</f>
        <v>-2.5006556825246659E-13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376.5422416541544</v>
      </c>
      <c r="CZ101" s="62">
        <f t="shared" si="96"/>
        <v>365.76175372075869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-2.8421709430404007E-13</v>
      </c>
      <c r="DP101" s="18">
        <f>DO101*VLOOKUP('Données projet'!$B$14,Paramètres!$A$1:$I$89,3,0)*VLOOKUP('Données projet'!$B$14,Paramètres!$A$1:$I$89,5,0)</f>
        <v>-2.2612312022829427E-13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352.5736659365665</v>
      </c>
      <c r="DU101" s="62">
        <f t="shared" si="98"/>
        <v>343.77208530767069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2.2737367544323206E-13</v>
      </c>
      <c r="EK101" s="18">
        <f>EJ101*VLOOKUP('Données projet'!$B$15,Paramètres!$A$1:$I$89,3,0)*VLOOKUP('Données projet'!$B$15,Paramètres!$A$1:$I$89,5,0)</f>
        <v>2.0572770154103635E-13</v>
      </c>
      <c r="EL101" s="14">
        <f t="shared" si="99"/>
        <v>2.8416956338469711E-12</v>
      </c>
      <c r="EM101" s="22">
        <f t="shared" si="73"/>
        <v>5.3075956424674458E-12</v>
      </c>
      <c r="EN101" s="62">
        <f t="shared" si="74"/>
        <v>293.3333333333386</v>
      </c>
      <c r="EO101" s="62">
        <f ca="1">AVERAGE(OFFSET($EN$3,0,0,'Données projet'!$E$15+1,1))-AVERAGE(OFFSET($H$3,0,0,'Données projet'!$E$15+1,1))</f>
        <v>436.23918637269577</v>
      </c>
      <c r="EP101" s="62">
        <f t="shared" si="100"/>
        <v>611.43967996341894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1.2225815634366295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1.2225815634366295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1.9895196601282805E-13</v>
      </c>
      <c r="FF101" s="18">
        <f>FE101*VLOOKUP('Données projet'!$B$16,Paramètres!$A$1:$I$89,3,0)*VLOOKUP('Données projet'!$B$16,Paramètres!$A$1:$I$89,5,0)</f>
        <v>1.738044375088066E-13</v>
      </c>
      <c r="FG101" s="14">
        <f t="shared" si="101"/>
        <v>2.4483293633950478E-12</v>
      </c>
      <c r="FH101" s="22">
        <f t="shared" si="76"/>
        <v>4.566883036574213E-12</v>
      </c>
      <c r="FI101" s="62">
        <f t="shared" si="77"/>
        <v>293.33333333333786</v>
      </c>
      <c r="FJ101" s="62">
        <f ca="1">AVERAGE(OFFSET($FI$3,0,0,'Données projet'!$E$16+1,1))-AVERAGE(OFFSET($H$3,0,0,'Données projet'!$E$16+1,1))</f>
        <v>321.23599968992932</v>
      </c>
      <c r="FK101" s="62">
        <f t="shared" si="102"/>
        <v>388.05195847800502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6.3550942286383367E-14</v>
      </c>
      <c r="P102" s="14">
        <f t="shared" si="87"/>
        <v>1.0064464192543978E-12</v>
      </c>
      <c r="Q102" s="22">
        <f t="shared" si="107"/>
        <v>1.8635787380168604E-12</v>
      </c>
      <c r="R102" s="62">
        <f t="shared" si="55"/>
        <v>293.33333333333519</v>
      </c>
      <c r="S102" s="62">
        <f ca="1">AVERAGE(OFFSET($R$3,0,0,'Données projet'!$E$9+1,1))-AVERAGE(OFFSET($H$3,0,0,'Données projet'!$E$9+1,1))</f>
        <v>389.06620927245814</v>
      </c>
      <c r="T102" s="62">
        <f t="shared" si="88"/>
        <v>356.08144160383193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4.5776189550628077</v>
      </c>
      <c r="AB102" s="23">
        <f>EXP(-LN(2)/2)*AB101+(1-EXP(-LN(2)/2))/(LN(2)/2)*V102*Y102*VLOOKUP('Données projet'!$B$9,Paramètres!$A$1:$I$89,3,0)*0.475*44/12</f>
        <v>2.1330052045628714E-10</v>
      </c>
      <c r="AC102" s="24">
        <f t="shared" si="57"/>
        <v>4.5776189552761082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projet'!$B$10,Paramètres!$A$1:$I$89,3,0)*VLOOKUP('Données projet'!$B$10,Paramètres!$A$1:$I$89,5,0)</f>
        <v>-3.1036506698001178E-14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293.73480285950245</v>
      </c>
      <c r="AO102" s="62">
        <f t="shared" si="90"/>
        <v>425.99823184414191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3.1191126477273299</v>
      </c>
      <c r="AW102" s="23">
        <f>EXP(-LN(2)/2)*AW101+(1-EXP(-LN(2)/2))/(LN(2)/2)*AQ102*AT102*VLOOKUP('Données projet'!$B$10,Paramètres!$A$1:$I$89,3,0)*0.475*44/12</f>
        <v>7.9559976239945997E-10</v>
      </c>
      <c r="AX102" s="23">
        <f t="shared" si="60"/>
        <v>3.1191126485229295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5.6</v>
      </c>
      <c r="BD102" s="13">
        <f>IF('Données projet'!$A$88&gt;35,BD101+BC102-BL101,IF(A102&lt;'Données projet'!$A$88,$BA$205^A102,IF(A102='Données projet'!$A$88,'Données projet'!$B$88,BD101+BC102-BL101)))</f>
        <v>327.39999999999998</v>
      </c>
      <c r="BE102" s="14">
        <f>BD102*VLOOKUP('Données projet'!$B$11,Paramètres!$A$1:$I$89,3,0)*VLOOKUP('Données projet'!$B$11,Paramètres!$A$1:$I$89,5,0)</f>
        <v>296.23151999999993</v>
      </c>
      <c r="BF102" s="14">
        <f t="shared" si="91"/>
        <v>70.385865030263986</v>
      </c>
      <c r="BG102" s="22">
        <f t="shared" si="61"/>
        <v>638.52527892770956</v>
      </c>
      <c r="BH102" s="62">
        <f t="shared" si="62"/>
        <v>931.85861226104294</v>
      </c>
      <c r="BI102" s="62">
        <f ca="1">AVERAGE(OFFSET($BH$3,0,0,'Données projet'!$E$11+1,1))-AVERAGE(OFFSET($H$3,0,0,'Données projet'!$E$11+1,1))</f>
        <v>438.70522838726322</v>
      </c>
      <c r="BJ102" s="62">
        <f t="shared" si="92"/>
        <v>278.21741231699929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5.6</v>
      </c>
      <c r="BY102" s="13">
        <f>IF('Données projet'!$A$114&gt;35,BY101+BX102-CG101,IF(A102&lt;'Données projet'!$A$114,$BV$205^A102,IF(A102='Données projet'!$A$114,'Données projet'!$B$114,BY101+BX102-CG101)))</f>
        <v>327.39999999999998</v>
      </c>
      <c r="BZ102" s="14">
        <f>BY102*VLOOKUP('Données projet'!$B$12,Paramètres!$A$1:$I$89,3,0)*VLOOKUP('Données projet'!$B$12,Paramètres!$A$1:$I$89,5,0)</f>
        <v>316.66127999999998</v>
      </c>
      <c r="CA102" s="14">
        <f t="shared" si="93"/>
        <v>74.658244555385821</v>
      </c>
      <c r="CB102" s="22">
        <f t="shared" si="64"/>
        <v>681.54817193396354</v>
      </c>
      <c r="CC102" s="62">
        <f t="shared" si="65"/>
        <v>974.88150526729692</v>
      </c>
      <c r="CD102" s="62">
        <f ca="1">AVERAGE(OFFSET($CC$3,0,0,'Données projet'!$E$12+1,1))-AVERAGE(OFFSET($H$3,0,0,'Données projet'!$E$12+1,1))</f>
        <v>466.10838191274445</v>
      </c>
      <c r="CE102" s="62">
        <f t="shared" si="94"/>
        <v>294.45557293177131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-3.4106051316484809E-13</v>
      </c>
      <c r="CU102" s="18">
        <f>CT102*VLOOKUP('Données projet'!$B$13,Paramètres!$A$1:$I$89,3,0)*VLOOKUP('Données projet'!$B$13,Paramètres!$A$1:$I$89,5,0)</f>
        <v>-2.5006556825246659E-13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376.5422416541544</v>
      </c>
      <c r="CZ102" s="62">
        <f t="shared" si="96"/>
        <v>365.76175372075869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-2.8421709430404007E-13</v>
      </c>
      <c r="DP102" s="18">
        <f>DO102*VLOOKUP('Données projet'!$B$14,Paramètres!$A$1:$I$89,3,0)*VLOOKUP('Données projet'!$B$14,Paramètres!$A$1:$I$89,5,0)</f>
        <v>-2.2612312022829427E-13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352.5736659365665</v>
      </c>
      <c r="DU102" s="62">
        <f t="shared" si="98"/>
        <v>343.77208530767069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2.2737367544323206E-13</v>
      </c>
      <c r="EK102" s="18">
        <f>EJ102*VLOOKUP('Données projet'!$B$15,Paramètres!$A$1:$I$89,3,0)*VLOOKUP('Données projet'!$B$15,Paramètres!$A$1:$I$89,5,0)</f>
        <v>2.0572770154103635E-13</v>
      </c>
      <c r="EL102" s="14">
        <f t="shared" si="99"/>
        <v>2.8416956338469711E-12</v>
      </c>
      <c r="EM102" s="22">
        <f t="shared" si="73"/>
        <v>5.3075956424674458E-12</v>
      </c>
      <c r="EN102" s="62">
        <f t="shared" si="74"/>
        <v>293.3333333333386</v>
      </c>
      <c r="EO102" s="62">
        <f ca="1">AVERAGE(OFFSET($EN$3,0,0,'Données projet'!$E$15+1,1))-AVERAGE(OFFSET($H$3,0,0,'Données projet'!$E$15+1,1))</f>
        <v>436.23918637269577</v>
      </c>
      <c r="EP102" s="62">
        <f t="shared" si="100"/>
        <v>611.43967996341894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1.1986074846787591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1.1986074846787591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1.9895196601282805E-13</v>
      </c>
      <c r="FF102" s="18">
        <f>FE102*VLOOKUP('Données projet'!$B$16,Paramètres!$A$1:$I$89,3,0)*VLOOKUP('Données projet'!$B$16,Paramètres!$A$1:$I$89,5,0)</f>
        <v>1.738044375088066E-13</v>
      </c>
      <c r="FG102" s="14">
        <f t="shared" si="101"/>
        <v>2.4483293633950478E-12</v>
      </c>
      <c r="FH102" s="22">
        <f t="shared" si="76"/>
        <v>4.566883036574213E-12</v>
      </c>
      <c r="FI102" s="62">
        <f t="shared" si="77"/>
        <v>293.33333333333786</v>
      </c>
      <c r="FJ102" s="62">
        <f ca="1">AVERAGE(OFFSET($FI$3,0,0,'Données projet'!$E$16+1,1))-AVERAGE(OFFSET($H$3,0,0,'Données projet'!$E$16+1,1))</f>
        <v>321.23599968992932</v>
      </c>
      <c r="FK102" s="62">
        <f t="shared" si="102"/>
        <v>388.05195847800502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6.3550942286383367E-14</v>
      </c>
      <c r="P103" s="14">
        <f t="shared" si="87"/>
        <v>1.0064464192543978E-12</v>
      </c>
      <c r="Q103" s="22">
        <f t="shared" si="107"/>
        <v>1.8635787380168604E-12</v>
      </c>
      <c r="R103" s="62">
        <f t="shared" si="55"/>
        <v>293.33333333333519</v>
      </c>
      <c r="S103" s="62">
        <f ca="1">AVERAGE(OFFSET($R$3,0,0,'Données projet'!$E$9+1,1))-AVERAGE(OFFSET($H$3,0,0,'Données projet'!$E$9+1,1))</f>
        <v>389.06620927245814</v>
      </c>
      <c r="T103" s="62">
        <f t="shared" si="88"/>
        <v>356.08144160383193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4.4524437240100969</v>
      </c>
      <c r="AB103" s="23">
        <f>EXP(-LN(2)/2)*AB102+(1-EXP(-LN(2)/2))/(LN(2)/2)*V103*Y103*VLOOKUP('Données projet'!$B$9,Paramètres!$A$1:$I$89,3,0)*0.475*44/12</f>
        <v>1.5082624444526053E-10</v>
      </c>
      <c r="AC103" s="24">
        <f t="shared" si="57"/>
        <v>4.4524437241609229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projet'!$B$10,Paramètres!$A$1:$I$89,3,0)*VLOOKUP('Données projet'!$B$10,Paramètres!$A$1:$I$89,5,0)</f>
        <v>-3.1036506698001178E-14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293.73480285950245</v>
      </c>
      <c r="AO103" s="62">
        <f t="shared" si="90"/>
        <v>425.99823184414191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3.0338203483482209</v>
      </c>
      <c r="AW103" s="23">
        <f>EXP(-LN(2)/2)*AW102+(1-EXP(-LN(2)/2))/(LN(2)/2)*AQ103*AT103*VLOOKUP('Données projet'!$B$10,Paramètres!$A$1:$I$89,3,0)*0.475*44/12</f>
        <v>5.6257398710306413E-10</v>
      </c>
      <c r="AX103" s="23">
        <f t="shared" si="60"/>
        <v>3.0338203489107949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333</v>
      </c>
      <c r="BB103" s="13">
        <f>VLOOKUP(A103,'Données projet'!$A$87:$I$107,9,0)</f>
        <v>5.6</v>
      </c>
      <c r="BC103" s="13">
        <f t="array" ref="BC103">INDEX(BB:BB,MIN(IF(ISNUMBER(BB103:BB299),ROW(BB103:BB299),"")))</f>
        <v>5.6</v>
      </c>
      <c r="BD103" s="13">
        <f>IF('Données projet'!$A$88&gt;35,BD102+BC103-BL102,IF(A103&lt;'Données projet'!$A$88,$BA$205^A103,IF(A103='Données projet'!$A$88,'Données projet'!$B$88,BD102+BC103-BL102)))</f>
        <v>333</v>
      </c>
      <c r="BE103" s="14">
        <f>BD103*VLOOKUP('Données projet'!$B$11,Paramètres!$A$1:$I$89,3,0)*VLOOKUP('Données projet'!$B$11,Paramètres!$A$1:$I$89,5,0)</f>
        <v>301.29840000000002</v>
      </c>
      <c r="BF103" s="14">
        <f t="shared" si="91"/>
        <v>71.448589534990518</v>
      </c>
      <c r="BG103" s="22">
        <f t="shared" si="61"/>
        <v>649.2010067734418</v>
      </c>
      <c r="BH103" s="62">
        <f t="shared" si="62"/>
        <v>942.53434010677506</v>
      </c>
      <c r="BI103" s="62">
        <f ca="1">AVERAGE(OFFSET($BH$3,0,0,'Données projet'!$E$11+1,1))-AVERAGE(OFFSET($H$3,0,0,'Données projet'!$E$11+1,1))</f>
        <v>438.70522838726322</v>
      </c>
      <c r="BJ103" s="62">
        <f t="shared" si="92"/>
        <v>278.21741231699929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333</v>
      </c>
      <c r="BW103" s="13">
        <f>VLOOKUP(A103,'Données projet'!$A$113:$I$133,9,0)</f>
        <v>5.6</v>
      </c>
      <c r="BX103" s="13">
        <f t="array" ref="BX103">INDEX(BW:BW,MIN(IF(ISNUMBER(BW103:BW299),ROW(BW103:BW299),"")))</f>
        <v>5.6</v>
      </c>
      <c r="BY103" s="13">
        <f>IF('Données projet'!$A$114&gt;35,BY102+BX103-CG102,IF(A103&lt;'Données projet'!$A$114,$BV$205^A103,IF(A103='Données projet'!$A$114,'Données projet'!$B$114,BY102+BX103-CG102)))</f>
        <v>333</v>
      </c>
      <c r="BZ103" s="14">
        <f>BY103*VLOOKUP('Données projet'!$B$12,Paramètres!$A$1:$I$89,3,0)*VLOOKUP('Données projet'!$B$12,Paramètres!$A$1:$I$89,5,0)</f>
        <v>322.07760000000002</v>
      </c>
      <c r="CA103" s="14">
        <f t="shared" si="93"/>
        <v>75.785475796129461</v>
      </c>
      <c r="CB103" s="22">
        <f t="shared" si="64"/>
        <v>692.94485701159203</v>
      </c>
      <c r="CC103" s="62">
        <f t="shared" si="65"/>
        <v>986.27819034492541</v>
      </c>
      <c r="CD103" s="62">
        <f ca="1">AVERAGE(OFFSET($CC$3,0,0,'Données projet'!$E$12+1,1))-AVERAGE(OFFSET($H$3,0,0,'Données projet'!$E$12+1,1))</f>
        <v>466.10838191274445</v>
      </c>
      <c r="CE103" s="62">
        <f t="shared" si="94"/>
        <v>294.45557293177131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27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-3.4106051316484809E-13</v>
      </c>
      <c r="CU103" s="18">
        <f>CT103*VLOOKUP('Données projet'!$B$13,Paramètres!$A$1:$I$89,3,0)*VLOOKUP('Données projet'!$B$13,Paramètres!$A$1:$I$89,5,0)</f>
        <v>-2.5006556825246659E-13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376.5422416541544</v>
      </c>
      <c r="CZ103" s="62">
        <f t="shared" si="96"/>
        <v>365.76175372075869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-2.8421709430404007E-13</v>
      </c>
      <c r="DP103" s="18">
        <f>DO103*VLOOKUP('Données projet'!$B$14,Paramètres!$A$1:$I$89,3,0)*VLOOKUP('Données projet'!$B$14,Paramètres!$A$1:$I$89,5,0)</f>
        <v>-2.2612312022829427E-13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352.5736659365665</v>
      </c>
      <c r="DU103" s="62">
        <f t="shared" si="98"/>
        <v>343.77208530767069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2.2737367544323206E-13</v>
      </c>
      <c r="EK103" s="18">
        <f>EJ103*VLOOKUP('Données projet'!$B$15,Paramètres!$A$1:$I$89,3,0)*VLOOKUP('Données projet'!$B$15,Paramètres!$A$1:$I$89,5,0)</f>
        <v>2.0572770154103635E-13</v>
      </c>
      <c r="EL103" s="14">
        <f t="shared" si="99"/>
        <v>2.8416956338469711E-12</v>
      </c>
      <c r="EM103" s="22">
        <f t="shared" si="73"/>
        <v>5.3075956424674458E-12</v>
      </c>
      <c r="EN103" s="62">
        <f t="shared" si="74"/>
        <v>293.3333333333386</v>
      </c>
      <c r="EO103" s="62">
        <f ca="1">AVERAGE(OFFSET($EN$3,0,0,'Données projet'!$E$15+1,1))-AVERAGE(OFFSET($H$3,0,0,'Données projet'!$E$15+1,1))</f>
        <v>436.23918637269577</v>
      </c>
      <c r="EP103" s="62">
        <f t="shared" si="100"/>
        <v>611.43967996341894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1.1751035229825864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1.1751035229825864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1.9895196601282805E-13</v>
      </c>
      <c r="FF103" s="18">
        <f>FE103*VLOOKUP('Données projet'!$B$16,Paramètres!$A$1:$I$89,3,0)*VLOOKUP('Données projet'!$B$16,Paramètres!$A$1:$I$89,5,0)</f>
        <v>1.738044375088066E-13</v>
      </c>
      <c r="FG103" s="14">
        <f t="shared" si="101"/>
        <v>2.4483293633950478E-12</v>
      </c>
      <c r="FH103" s="22">
        <f t="shared" si="76"/>
        <v>4.566883036574213E-12</v>
      </c>
      <c r="FI103" s="62">
        <f t="shared" si="77"/>
        <v>293.33333333333786</v>
      </c>
      <c r="FJ103" s="62">
        <f ca="1">AVERAGE(OFFSET($FI$3,0,0,'Données projet'!$E$16+1,1))-AVERAGE(OFFSET($H$3,0,0,'Données projet'!$E$16+1,1))</f>
        <v>321.23599968992932</v>
      </c>
      <c r="FK103" s="62">
        <f t="shared" si="102"/>
        <v>388.05195847800502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6.3550942286383367E-14</v>
      </c>
      <c r="P104" s="14">
        <f t="shared" si="87"/>
        <v>1.0064464192543978E-12</v>
      </c>
      <c r="Q104" s="22">
        <f t="shared" si="107"/>
        <v>1.8635787380168604E-12</v>
      </c>
      <c r="R104" s="62">
        <f t="shared" si="55"/>
        <v>293.33333333333519</v>
      </c>
      <c r="S104" s="62">
        <f ca="1">AVERAGE(OFFSET($R$3,0,0,'Données projet'!$E$9+1,1))-AVERAGE(OFFSET($H$3,0,0,'Données projet'!$E$9+1,1))</f>
        <v>389.06620927245814</v>
      </c>
      <c r="T104" s="62">
        <f t="shared" si="88"/>
        <v>356.08144160383193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4.3306914162332015</v>
      </c>
      <c r="AB104" s="23">
        <f>EXP(-LN(2)/2)*AB103+(1-EXP(-LN(2)/2))/(LN(2)/2)*V104*Y104*VLOOKUP('Données projet'!$B$9,Paramètres!$A$1:$I$89,3,0)*0.475*44/12</f>
        <v>1.0665026022814357E-10</v>
      </c>
      <c r="AC104" s="24">
        <f t="shared" si="57"/>
        <v>4.3306914163398522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-3.1036506698001178E-14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293.73480285950245</v>
      </c>
      <c r="AO104" s="62">
        <f t="shared" si="90"/>
        <v>425.99823184414191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2.9508603713809607</v>
      </c>
      <c r="AW104" s="23">
        <f>EXP(-LN(2)/2)*AW103+(1-EXP(-LN(2)/2))/(LN(2)/2)*AQ104*AT104*VLOOKUP('Données projet'!$B$10,Paramètres!$A$1:$I$89,3,0)*0.475*44/12</f>
        <v>3.9779988119972999E-10</v>
      </c>
      <c r="AX104" s="23">
        <f t="shared" si="60"/>
        <v>2.9508603717787607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311.39999999999998</v>
      </c>
      <c r="BE104" s="14">
        <f>BD104*VLOOKUP('Données projet'!$B$11,Paramètres!$A$1:$I$89,3,0)*VLOOKUP('Données projet'!$B$11,Paramètres!$A$1:$I$89,5,0)</f>
        <v>281.75471999999996</v>
      </c>
      <c r="BF104" s="14">
        <f t="shared" si="91"/>
        <v>67.337696723120317</v>
      </c>
      <c r="BG104" s="22">
        <f t="shared" si="61"/>
        <v>608.00262579276773</v>
      </c>
      <c r="BH104" s="62">
        <f t="shared" si="62"/>
        <v>901.33595912610099</v>
      </c>
      <c r="BI104" s="62">
        <f ca="1">AVERAGE(OFFSET($BH$3,0,0,'Données projet'!$E$11+1,1))-AVERAGE(OFFSET($H$3,0,0,'Données projet'!$E$11+1,1))</f>
        <v>438.70522838726322</v>
      </c>
      <c r="BJ104" s="62">
        <f t="shared" si="92"/>
        <v>278.21741231699929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5.4</v>
      </c>
      <c r="BY104" s="13">
        <f>IF('Données projet'!$A$114&gt;35,BY103+BX104-CG103,IF(A104&lt;'Données projet'!$A$114,$BV$205^A104,IF(A104='Données projet'!$A$114,'Données projet'!$B$114,BY103+BX104-CG103)))</f>
        <v>311.39999999999998</v>
      </c>
      <c r="BZ104" s="14">
        <f>BY104*VLOOKUP('Données projet'!$B$12,Paramètres!$A$1:$I$89,3,0)*VLOOKUP('Données projet'!$B$12,Paramètres!$A$1:$I$89,5,0)</f>
        <v>301.18608</v>
      </c>
      <c r="CA104" s="14">
        <f t="shared" si="93"/>
        <v>71.425054271756295</v>
      </c>
      <c r="CB104" s="22">
        <f t="shared" si="64"/>
        <v>648.96439218997557</v>
      </c>
      <c r="CC104" s="62">
        <f t="shared" si="65"/>
        <v>942.29772552330883</v>
      </c>
      <c r="CD104" s="62">
        <f ca="1">AVERAGE(OFFSET($CC$3,0,0,'Données projet'!$E$12+1,1))-AVERAGE(OFFSET($H$3,0,0,'Données projet'!$E$12+1,1))</f>
        <v>466.10838191274445</v>
      </c>
      <c r="CE104" s="62">
        <f t="shared" si="94"/>
        <v>294.45557293177131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-3.4106051316484809E-13</v>
      </c>
      <c r="CU104" s="18">
        <f>CT104*VLOOKUP('Données projet'!$B$13,Paramètres!$A$1:$I$89,3,0)*VLOOKUP('Données projet'!$B$13,Paramètres!$A$1:$I$89,5,0)</f>
        <v>-2.5006556825246659E-13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376.5422416541544</v>
      </c>
      <c r="CZ104" s="62">
        <f t="shared" si="96"/>
        <v>365.76175372075869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-2.8421709430404007E-13</v>
      </c>
      <c r="DP104" s="18">
        <f>DO104*VLOOKUP('Données projet'!$B$14,Paramètres!$A$1:$I$89,3,0)*VLOOKUP('Données projet'!$B$14,Paramètres!$A$1:$I$89,5,0)</f>
        <v>-2.2612312022829427E-13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352.5736659365665</v>
      </c>
      <c r="DU104" s="62">
        <f t="shared" si="98"/>
        <v>343.77208530767069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2.2737367544323206E-13</v>
      </c>
      <c r="EK104" s="18">
        <f>EJ104*VLOOKUP('Données projet'!$B$15,Paramètres!$A$1:$I$89,3,0)*VLOOKUP('Données projet'!$B$15,Paramètres!$A$1:$I$89,5,0)</f>
        <v>2.0572770154103635E-13</v>
      </c>
      <c r="EL104" s="14">
        <f t="shared" si="99"/>
        <v>2.8416956338469711E-12</v>
      </c>
      <c r="EM104" s="22">
        <f t="shared" si="73"/>
        <v>5.3075956424674458E-12</v>
      </c>
      <c r="EN104" s="62">
        <f t="shared" si="74"/>
        <v>293.3333333333386</v>
      </c>
      <c r="EO104" s="62">
        <f ca="1">AVERAGE(OFFSET($EN$3,0,0,'Données projet'!$E$15+1,1))-AVERAGE(OFFSET($H$3,0,0,'Données projet'!$E$15+1,1))</f>
        <v>436.23918637269577</v>
      </c>
      <c r="EP104" s="62">
        <f t="shared" si="100"/>
        <v>611.43967996341894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1.1520604596392745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1.1520604596392745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1.9895196601282805E-13</v>
      </c>
      <c r="FF104" s="18">
        <f>FE104*VLOOKUP('Données projet'!$B$16,Paramètres!$A$1:$I$89,3,0)*VLOOKUP('Données projet'!$B$16,Paramètres!$A$1:$I$89,5,0)</f>
        <v>1.738044375088066E-13</v>
      </c>
      <c r="FG104" s="14">
        <f t="shared" si="101"/>
        <v>2.4483293633950478E-12</v>
      </c>
      <c r="FH104" s="22">
        <f t="shared" si="76"/>
        <v>4.566883036574213E-12</v>
      </c>
      <c r="FI104" s="62">
        <f t="shared" si="77"/>
        <v>293.33333333333786</v>
      </c>
      <c r="FJ104" s="62">
        <f ca="1">AVERAGE(OFFSET($FI$3,0,0,'Données projet'!$E$16+1,1))-AVERAGE(OFFSET($H$3,0,0,'Données projet'!$E$16+1,1))</f>
        <v>321.23599968992932</v>
      </c>
      <c r="FK104" s="62">
        <f t="shared" si="102"/>
        <v>388.05195847800502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6.3550942286383367E-14</v>
      </c>
      <c r="P105" s="14">
        <f t="shared" si="87"/>
        <v>1.0064464192543978E-12</v>
      </c>
      <c r="Q105" s="22">
        <f t="shared" si="107"/>
        <v>1.8635787380168604E-12</v>
      </c>
      <c r="R105" s="62">
        <f t="shared" si="55"/>
        <v>293.33333333333519</v>
      </c>
      <c r="S105" s="62">
        <f ca="1">AVERAGE(OFFSET($R$3,0,0,'Données projet'!$E$9+1,1))-AVERAGE(OFFSET($H$3,0,0,'Données projet'!$E$9+1,1))</f>
        <v>389.06620927245814</v>
      </c>
      <c r="T105" s="62">
        <f t="shared" si="88"/>
        <v>356.08144160383193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4.2122684317151409</v>
      </c>
      <c r="AB105" s="23">
        <f>EXP(-LN(2)/2)*AB104+(1-EXP(-LN(2)/2))/(LN(2)/2)*V105*Y105*VLOOKUP('Données projet'!$B$9,Paramètres!$A$1:$I$89,3,0)*0.475*44/12</f>
        <v>7.5413122222630266E-11</v>
      </c>
      <c r="AC105" s="24">
        <f t="shared" si="57"/>
        <v>4.2122684317905543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-3.1036506698001178E-14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293.73480285950245</v>
      </c>
      <c r="AO105" s="62">
        <f t="shared" si="90"/>
        <v>425.99823184414191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2.8701689393465455</v>
      </c>
      <c r="AW105" s="23">
        <f>EXP(-LN(2)/2)*AW104+(1-EXP(-LN(2)/2))/(LN(2)/2)*AQ105*AT105*VLOOKUP('Données projet'!$B$10,Paramètres!$A$1:$I$89,3,0)*0.475*44/12</f>
        <v>2.8128699355153206E-10</v>
      </c>
      <c r="AX105" s="23">
        <f t="shared" si="60"/>
        <v>2.8701689396278325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316.79999999999995</v>
      </c>
      <c r="BE105" s="14">
        <f>BD105*VLOOKUP('Données projet'!$B$11,Paramètres!$A$1:$I$89,3,0)*VLOOKUP('Données projet'!$B$11,Paramètres!$A$1:$I$89,5,0)</f>
        <v>286.64063999999996</v>
      </c>
      <c r="BF105" s="14">
        <f t="shared" si="91"/>
        <v>68.368446832003599</v>
      </c>
      <c r="BG105" s="22">
        <f t="shared" si="61"/>
        <v>618.30749289907283</v>
      </c>
      <c r="BH105" s="62">
        <f t="shared" si="62"/>
        <v>911.6408262324062</v>
      </c>
      <c r="BI105" s="62">
        <f ca="1">AVERAGE(OFFSET($BH$3,0,0,'Données projet'!$E$11+1,1))-AVERAGE(OFFSET($H$3,0,0,'Données projet'!$E$11+1,1))</f>
        <v>438.70522838726322</v>
      </c>
      <c r="BJ105" s="62">
        <f t="shared" si="92"/>
        <v>278.21741231699929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5.4</v>
      </c>
      <c r="BY105" s="13">
        <f>IF('Données projet'!$A$114&gt;35,BY104+BX105-CG104,IF(A105&lt;'Données projet'!$A$114,$BV$205^A105,IF(A105='Données projet'!$A$114,'Données projet'!$B$114,BY104+BX105-CG104)))</f>
        <v>316.79999999999995</v>
      </c>
      <c r="BZ105" s="14">
        <f>BY105*VLOOKUP('Données projet'!$B$12,Paramètres!$A$1:$I$89,3,0)*VLOOKUP('Données projet'!$B$12,Paramètres!$A$1:$I$89,5,0)</f>
        <v>306.40895999999998</v>
      </c>
      <c r="CA105" s="14">
        <f t="shared" si="93"/>
        <v>72.518370290127464</v>
      </c>
      <c r="CB105" s="22">
        <f t="shared" si="64"/>
        <v>659.96510025530517</v>
      </c>
      <c r="CC105" s="62">
        <f t="shared" si="65"/>
        <v>953.29843358863855</v>
      </c>
      <c r="CD105" s="62">
        <f ca="1">AVERAGE(OFFSET($CC$3,0,0,'Données projet'!$E$12+1,1))-AVERAGE(OFFSET($H$3,0,0,'Données projet'!$E$12+1,1))</f>
        <v>466.10838191274445</v>
      </c>
      <c r="CE105" s="62">
        <f t="shared" si="94"/>
        <v>294.45557293177131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-3.4106051316484809E-13</v>
      </c>
      <c r="CU105" s="18">
        <f>CT105*VLOOKUP('Données projet'!$B$13,Paramètres!$A$1:$I$89,3,0)*VLOOKUP('Données projet'!$B$13,Paramètres!$A$1:$I$89,5,0)</f>
        <v>-2.5006556825246659E-13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376.5422416541544</v>
      </c>
      <c r="CZ105" s="62">
        <f t="shared" si="96"/>
        <v>365.76175372075869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-2.8421709430404007E-13</v>
      </c>
      <c r="DP105" s="18">
        <f>DO105*VLOOKUP('Données projet'!$B$14,Paramètres!$A$1:$I$89,3,0)*VLOOKUP('Données projet'!$B$14,Paramètres!$A$1:$I$89,5,0)</f>
        <v>-2.2612312022829427E-13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352.5736659365665</v>
      </c>
      <c r="DU105" s="62">
        <f t="shared" si="98"/>
        <v>343.77208530767069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2.2737367544323206E-13</v>
      </c>
      <c r="EK105" s="18">
        <f>EJ105*VLOOKUP('Données projet'!$B$15,Paramètres!$A$1:$I$89,3,0)*VLOOKUP('Données projet'!$B$15,Paramètres!$A$1:$I$89,5,0)</f>
        <v>2.0572770154103635E-13</v>
      </c>
      <c r="EL105" s="14">
        <f t="shared" si="99"/>
        <v>2.8416956338469711E-12</v>
      </c>
      <c r="EM105" s="22">
        <f t="shared" si="73"/>
        <v>5.3075956424674458E-12</v>
      </c>
      <c r="EN105" s="62">
        <f t="shared" si="74"/>
        <v>293.3333333333386</v>
      </c>
      <c r="EO105" s="62">
        <f ca="1">AVERAGE(OFFSET($EN$3,0,0,'Données projet'!$E$15+1,1))-AVERAGE(OFFSET($H$3,0,0,'Données projet'!$E$15+1,1))</f>
        <v>436.23918637269577</v>
      </c>
      <c r="EP105" s="62">
        <f t="shared" si="100"/>
        <v>611.43967996341894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1.1294692567132441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1.1294692567132441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1.9895196601282805E-13</v>
      </c>
      <c r="FF105" s="18">
        <f>FE105*VLOOKUP('Données projet'!$B$16,Paramètres!$A$1:$I$89,3,0)*VLOOKUP('Données projet'!$B$16,Paramètres!$A$1:$I$89,5,0)</f>
        <v>1.738044375088066E-13</v>
      </c>
      <c r="FG105" s="14">
        <f t="shared" si="101"/>
        <v>2.4483293633950478E-12</v>
      </c>
      <c r="FH105" s="22">
        <f t="shared" si="76"/>
        <v>4.566883036574213E-12</v>
      </c>
      <c r="FI105" s="62">
        <f t="shared" si="77"/>
        <v>293.33333333333786</v>
      </c>
      <c r="FJ105" s="62">
        <f ca="1">AVERAGE(OFFSET($FI$3,0,0,'Données projet'!$E$16+1,1))-AVERAGE(OFFSET($H$3,0,0,'Données projet'!$E$16+1,1))</f>
        <v>321.23599968992932</v>
      </c>
      <c r="FK105" s="62">
        <f t="shared" si="102"/>
        <v>388.05195847800502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6.3550942286383367E-14</v>
      </c>
      <c r="P106" s="14">
        <f t="shared" si="87"/>
        <v>1.0064464192543978E-12</v>
      </c>
      <c r="Q106" s="22">
        <f t="shared" si="107"/>
        <v>1.8635787380168604E-12</v>
      </c>
      <c r="R106" s="62">
        <f t="shared" si="55"/>
        <v>293.33333333333519</v>
      </c>
      <c r="S106" s="62">
        <f ca="1">AVERAGE(OFFSET($R$3,0,0,'Données projet'!$E$9+1,1))-AVERAGE(OFFSET($H$3,0,0,'Données projet'!$E$9+1,1))</f>
        <v>389.06620927245814</v>
      </c>
      <c r="T106" s="62">
        <f t="shared" si="88"/>
        <v>356.08144160383193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4.0970837299363208</v>
      </c>
      <c r="AB106" s="23">
        <f>EXP(-LN(2)/2)*AB105+(1-EXP(-LN(2)/2))/(LN(2)/2)*V106*Y106*VLOOKUP('Données projet'!$B$9,Paramètres!$A$1:$I$89,3,0)*0.475*44/12</f>
        <v>5.3325130114071785E-11</v>
      </c>
      <c r="AC106" s="24">
        <f t="shared" si="57"/>
        <v>4.0970837299896461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-3.1036506698001178E-14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293.73480285950245</v>
      </c>
      <c r="AO106" s="62">
        <f t="shared" si="90"/>
        <v>425.99823184414191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2.7916840187644896</v>
      </c>
      <c r="AW106" s="23">
        <f>EXP(-LN(2)/2)*AW105+(1-EXP(-LN(2)/2))/(LN(2)/2)*AQ106*AT106*VLOOKUP('Données projet'!$B$10,Paramètres!$A$1:$I$89,3,0)*0.475*44/12</f>
        <v>1.9889994059986499E-10</v>
      </c>
      <c r="AX106" s="23">
        <f t="shared" si="60"/>
        <v>2.7916840189633896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322.19999999999993</v>
      </c>
      <c r="BE106" s="14">
        <f>BD106*VLOOKUP('Données projet'!$B$11,Paramètres!$A$1:$I$89,3,0)*VLOOKUP('Données projet'!$B$11,Paramètres!$A$1:$I$89,5,0)</f>
        <v>291.5265599999999</v>
      </c>
      <c r="BF106" s="14">
        <f t="shared" si="91"/>
        <v>69.397153761857183</v>
      </c>
      <c r="BG106" s="22">
        <f t="shared" si="61"/>
        <v>628.60880146856778</v>
      </c>
      <c r="BH106" s="62">
        <f t="shared" si="62"/>
        <v>921.94213480190115</v>
      </c>
      <c r="BI106" s="62">
        <f ca="1">AVERAGE(OFFSET($BH$3,0,0,'Données projet'!$E$11+1,1))-AVERAGE(OFFSET($H$3,0,0,'Données projet'!$E$11+1,1))</f>
        <v>438.70522838726322</v>
      </c>
      <c r="BJ106" s="62">
        <f t="shared" si="92"/>
        <v>278.21741231699929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5.4</v>
      </c>
      <c r="BY106" s="13">
        <f>IF('Données projet'!$A$114&gt;35,BY105+BX106-CG105,IF(A106&lt;'Données projet'!$A$114,$BV$205^A106,IF(A106='Données projet'!$A$114,'Données projet'!$B$114,BY105+BX106-CG105)))</f>
        <v>322.19999999999993</v>
      </c>
      <c r="BZ106" s="14">
        <f>BY106*VLOOKUP('Données projet'!$B$12,Paramètres!$A$1:$I$89,3,0)*VLOOKUP('Données projet'!$B$12,Paramètres!$A$1:$I$89,5,0)</f>
        <v>311.63183999999995</v>
      </c>
      <c r="CA106" s="14">
        <f t="shared" si="93"/>
        <v>73.609519109735089</v>
      </c>
      <c r="CB106" s="22">
        <f t="shared" si="64"/>
        <v>670.96203378278858</v>
      </c>
      <c r="CC106" s="62">
        <f t="shared" si="65"/>
        <v>964.29536711612195</v>
      </c>
      <c r="CD106" s="62">
        <f ca="1">AVERAGE(OFFSET($CC$3,0,0,'Données projet'!$E$12+1,1))-AVERAGE(OFFSET($H$3,0,0,'Données projet'!$E$12+1,1))</f>
        <v>466.10838191274445</v>
      </c>
      <c r="CE106" s="62">
        <f t="shared" si="94"/>
        <v>294.45557293177131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-3.4106051316484809E-13</v>
      </c>
      <c r="CU106" s="18">
        <f>CT106*VLOOKUP('Données projet'!$B$13,Paramètres!$A$1:$I$89,3,0)*VLOOKUP('Données projet'!$B$13,Paramètres!$A$1:$I$89,5,0)</f>
        <v>-2.5006556825246659E-13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376.5422416541544</v>
      </c>
      <c r="CZ106" s="62">
        <f t="shared" si="96"/>
        <v>365.76175372075869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-2.8421709430404007E-13</v>
      </c>
      <c r="DP106" s="18">
        <f>DO106*VLOOKUP('Données projet'!$B$14,Paramètres!$A$1:$I$89,3,0)*VLOOKUP('Données projet'!$B$14,Paramètres!$A$1:$I$89,5,0)</f>
        <v>-2.2612312022829427E-13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352.5736659365665</v>
      </c>
      <c r="DU106" s="62">
        <f t="shared" si="98"/>
        <v>343.77208530767069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2.2737367544323206E-13</v>
      </c>
      <c r="EK106" s="18">
        <f>EJ106*VLOOKUP('Données projet'!$B$15,Paramètres!$A$1:$I$89,3,0)*VLOOKUP('Données projet'!$B$15,Paramètres!$A$1:$I$89,5,0)</f>
        <v>2.0572770154103635E-13</v>
      </c>
      <c r="EL106" s="14">
        <f t="shared" si="99"/>
        <v>2.8416956338469711E-12</v>
      </c>
      <c r="EM106" s="22">
        <f t="shared" si="73"/>
        <v>5.3075956424674458E-12</v>
      </c>
      <c r="EN106" s="62">
        <f t="shared" si="74"/>
        <v>293.3333333333386</v>
      </c>
      <c r="EO106" s="62">
        <f ca="1">AVERAGE(OFFSET($EN$3,0,0,'Données projet'!$E$15+1,1))-AVERAGE(OFFSET($H$3,0,0,'Données projet'!$E$15+1,1))</f>
        <v>436.23918637269577</v>
      </c>
      <c r="EP106" s="62">
        <f t="shared" si="100"/>
        <v>611.43967996341894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1.1073210534973199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1.1073210534973199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1.9895196601282805E-13</v>
      </c>
      <c r="FF106" s="18">
        <f>FE106*VLOOKUP('Données projet'!$B$16,Paramètres!$A$1:$I$89,3,0)*VLOOKUP('Données projet'!$B$16,Paramètres!$A$1:$I$89,5,0)</f>
        <v>1.738044375088066E-13</v>
      </c>
      <c r="FG106" s="14">
        <f t="shared" si="101"/>
        <v>2.4483293633950478E-12</v>
      </c>
      <c r="FH106" s="22">
        <f t="shared" si="76"/>
        <v>4.566883036574213E-12</v>
      </c>
      <c r="FI106" s="62">
        <f t="shared" si="77"/>
        <v>293.33333333333786</v>
      </c>
      <c r="FJ106" s="62">
        <f ca="1">AVERAGE(OFFSET($FI$3,0,0,'Données projet'!$E$16+1,1))-AVERAGE(OFFSET($H$3,0,0,'Données projet'!$E$16+1,1))</f>
        <v>321.23599968992932</v>
      </c>
      <c r="FK106" s="62">
        <f t="shared" si="102"/>
        <v>388.05195847800502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6.3550942286383367E-14</v>
      </c>
      <c r="P107" s="14">
        <f t="shared" si="87"/>
        <v>1.0064464192543978E-12</v>
      </c>
      <c r="Q107" s="22">
        <f t="shared" si="107"/>
        <v>1.8635787380168604E-12</v>
      </c>
      <c r="R107" s="62">
        <f t="shared" si="55"/>
        <v>293.33333333333519</v>
      </c>
      <c r="S107" s="62">
        <f ca="1">AVERAGE(OFFSET($R$3,0,0,'Données projet'!$E$9+1,1))-AVERAGE(OFFSET($H$3,0,0,'Données projet'!$E$9+1,1))</f>
        <v>389.06620927245814</v>
      </c>
      <c r="T107" s="62">
        <f t="shared" si="88"/>
        <v>356.08144160383193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3.9850487598849429</v>
      </c>
      <c r="AB107" s="23">
        <f>EXP(-LN(2)/2)*AB106+(1-EXP(-LN(2)/2))/(LN(2)/2)*V107*Y107*VLOOKUP('Données projet'!$B$9,Paramètres!$A$1:$I$89,3,0)*0.475*44/12</f>
        <v>3.7706561111315133E-11</v>
      </c>
      <c r="AC107" s="24">
        <f t="shared" si="57"/>
        <v>3.9850487599226496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-3.1036506698001178E-14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293.73480285950245</v>
      </c>
      <c r="AO107" s="62">
        <f t="shared" si="90"/>
        <v>425.99823184414191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2.7153452724630927</v>
      </c>
      <c r="AW107" s="23">
        <f>EXP(-LN(2)/2)*AW106+(1-EXP(-LN(2)/2))/(LN(2)/2)*AQ107*AT107*VLOOKUP('Données projet'!$B$10,Paramètres!$A$1:$I$89,3,0)*0.475*44/12</f>
        <v>1.4064349677576603E-10</v>
      </c>
      <c r="AX107" s="23">
        <f t="shared" si="60"/>
        <v>2.7153452726037361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327.59999999999991</v>
      </c>
      <c r="BE107" s="14">
        <f>BD107*VLOOKUP('Données projet'!$B$11,Paramètres!$A$1:$I$89,3,0)*VLOOKUP('Données projet'!$B$11,Paramètres!$A$1:$I$89,5,0)</f>
        <v>296.4124799999999</v>
      </c>
      <c r="BF107" s="14">
        <f t="shared" si="91"/>
        <v>70.423855708154704</v>
      </c>
      <c r="BG107" s="22">
        <f t="shared" si="61"/>
        <v>638.90661802503598</v>
      </c>
      <c r="BH107" s="62">
        <f t="shared" si="62"/>
        <v>932.23995135836935</v>
      </c>
      <c r="BI107" s="62">
        <f ca="1">AVERAGE(OFFSET($BH$3,0,0,'Données projet'!$E$11+1,1))-AVERAGE(OFFSET($H$3,0,0,'Données projet'!$E$11+1,1))</f>
        <v>438.70522838726322</v>
      </c>
      <c r="BJ107" s="62">
        <f t="shared" si="92"/>
        <v>278.21741231699929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5.4</v>
      </c>
      <c r="BY107" s="13">
        <f>IF('Données projet'!$A$114&gt;35,BY106+BX107-CG106,IF(A107&lt;'Données projet'!$A$114,$BV$205^A107,IF(A107='Données projet'!$A$114,'Données projet'!$B$114,BY106+BX107-CG106)))</f>
        <v>327.59999999999991</v>
      </c>
      <c r="BZ107" s="14">
        <f>BY107*VLOOKUP('Données projet'!$B$12,Paramètres!$A$1:$I$89,3,0)*VLOOKUP('Données projet'!$B$12,Paramètres!$A$1:$I$89,5,0)</f>
        <v>316.85471999999993</v>
      </c>
      <c r="CA107" s="14">
        <f t="shared" si="93"/>
        <v>74.698541244494848</v>
      </c>
      <c r="CB107" s="22">
        <f t="shared" si="64"/>
        <v>681.95526333416171</v>
      </c>
      <c r="CC107" s="62">
        <f t="shared" si="65"/>
        <v>975.28859666749509</v>
      </c>
      <c r="CD107" s="62">
        <f ca="1">AVERAGE(OFFSET($CC$3,0,0,'Données projet'!$E$12+1,1))-AVERAGE(OFFSET($H$3,0,0,'Données projet'!$E$12+1,1))</f>
        <v>466.10838191274445</v>
      </c>
      <c r="CE107" s="62">
        <f t="shared" si="94"/>
        <v>294.45557293177131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-3.4106051316484809E-13</v>
      </c>
      <c r="CU107" s="18">
        <f>CT107*VLOOKUP('Données projet'!$B$13,Paramètres!$A$1:$I$89,3,0)*VLOOKUP('Données projet'!$B$13,Paramètres!$A$1:$I$89,5,0)</f>
        <v>-2.5006556825246659E-13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376.5422416541544</v>
      </c>
      <c r="CZ107" s="62">
        <f t="shared" si="96"/>
        <v>365.76175372075869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-2.8421709430404007E-13</v>
      </c>
      <c r="DP107" s="18">
        <f>DO107*VLOOKUP('Données projet'!$B$14,Paramètres!$A$1:$I$89,3,0)*VLOOKUP('Données projet'!$B$14,Paramètres!$A$1:$I$89,5,0)</f>
        <v>-2.2612312022829427E-13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352.5736659365665</v>
      </c>
      <c r="DU107" s="62">
        <f t="shared" si="98"/>
        <v>343.77208530767069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2.2737367544323206E-13</v>
      </c>
      <c r="EK107" s="18">
        <f>EJ107*VLOOKUP('Données projet'!$B$15,Paramètres!$A$1:$I$89,3,0)*VLOOKUP('Données projet'!$B$15,Paramètres!$A$1:$I$89,5,0)</f>
        <v>2.0572770154103635E-13</v>
      </c>
      <c r="EL107" s="14">
        <f t="shared" si="99"/>
        <v>2.8416956338469711E-12</v>
      </c>
      <c r="EM107" s="22">
        <f t="shared" si="73"/>
        <v>5.3075956424674458E-12</v>
      </c>
      <c r="EN107" s="62">
        <f t="shared" si="74"/>
        <v>293.3333333333386</v>
      </c>
      <c r="EO107" s="62">
        <f ca="1">AVERAGE(OFFSET($EN$3,0,0,'Données projet'!$E$15+1,1))-AVERAGE(OFFSET($H$3,0,0,'Données projet'!$E$15+1,1))</f>
        <v>436.23918637269577</v>
      </c>
      <c r="EP107" s="62">
        <f t="shared" si="100"/>
        <v>611.43967996341894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1.08560716303739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1.08560716303739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1.9895196601282805E-13</v>
      </c>
      <c r="FF107" s="18">
        <f>FE107*VLOOKUP('Données projet'!$B$16,Paramètres!$A$1:$I$89,3,0)*VLOOKUP('Données projet'!$B$16,Paramètres!$A$1:$I$89,5,0)</f>
        <v>1.738044375088066E-13</v>
      </c>
      <c r="FG107" s="14">
        <f t="shared" si="101"/>
        <v>2.4483293633950478E-12</v>
      </c>
      <c r="FH107" s="22">
        <f t="shared" si="76"/>
        <v>4.566883036574213E-12</v>
      </c>
      <c r="FI107" s="62">
        <f t="shared" si="77"/>
        <v>293.33333333333786</v>
      </c>
      <c r="FJ107" s="62">
        <f ca="1">AVERAGE(OFFSET($FI$3,0,0,'Données projet'!$E$16+1,1))-AVERAGE(OFFSET($H$3,0,0,'Données projet'!$E$16+1,1))</f>
        <v>321.23599968992932</v>
      </c>
      <c r="FK107" s="62">
        <f t="shared" si="102"/>
        <v>388.05195847800502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6.3550942286383367E-14</v>
      </c>
      <c r="P108" s="14">
        <f t="shared" si="87"/>
        <v>1.0064464192543978E-12</v>
      </c>
      <c r="Q108" s="22">
        <f t="shared" si="107"/>
        <v>1.8635787380168604E-12</v>
      </c>
      <c r="R108" s="62">
        <f t="shared" si="55"/>
        <v>293.33333333333519</v>
      </c>
      <c r="S108" s="62">
        <f ca="1">AVERAGE(OFFSET($R$3,0,0,'Données projet'!$E$9+1,1))-AVERAGE(OFFSET($H$3,0,0,'Données projet'!$E$9+1,1))</f>
        <v>389.06620927245814</v>
      </c>
      <c r="T108" s="62">
        <f t="shared" si="88"/>
        <v>356.08144160383193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3.876077391981283</v>
      </c>
      <c r="AB108" s="23">
        <f>EXP(-LN(2)/2)*AB107+(1-EXP(-LN(2)/2))/(LN(2)/2)*V108*Y108*VLOOKUP('Données projet'!$B$9,Paramètres!$A$1:$I$89,3,0)*0.475*44/12</f>
        <v>2.6662565057035892E-11</v>
      </c>
      <c r="AC108" s="24">
        <f t="shared" si="57"/>
        <v>3.8760773920079457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-3.1036506698001178E-14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293.73480285950245</v>
      </c>
      <c r="AO108" s="62">
        <f t="shared" si="90"/>
        <v>425.99823184414191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2.6410940131937877</v>
      </c>
      <c r="AW108" s="23">
        <f>EXP(-LN(2)/2)*AW107+(1-EXP(-LN(2)/2))/(LN(2)/2)*AQ108*AT108*VLOOKUP('Données projet'!$B$10,Paramètres!$A$1:$I$89,3,0)*0.475*44/12</f>
        <v>9.9449970299932496E-11</v>
      </c>
      <c r="AX108" s="23">
        <f t="shared" si="60"/>
        <v>2.6410940132932375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333</v>
      </c>
      <c r="BB108" s="13">
        <f>VLOOKUP(A108,'Données projet'!$A$87:$I$107,9,0)</f>
        <v>5.4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332.99999999999989</v>
      </c>
      <c r="BE108" s="14">
        <f>BD108*VLOOKUP('Données projet'!$B$11,Paramètres!$A$1:$I$89,3,0)*VLOOKUP('Données projet'!$B$11,Paramètres!$A$1:$I$89,5,0)</f>
        <v>301.2983999999999</v>
      </c>
      <c r="BF108" s="14">
        <f t="shared" si="91"/>
        <v>71.448589534990518</v>
      </c>
      <c r="BG108" s="22">
        <f t="shared" si="61"/>
        <v>649.20100677344158</v>
      </c>
      <c r="BH108" s="62">
        <f t="shared" si="62"/>
        <v>942.53434010677483</v>
      </c>
      <c r="BI108" s="62">
        <f ca="1">AVERAGE(OFFSET($BH$3,0,0,'Données projet'!$E$11+1,1))-AVERAGE(OFFSET($H$3,0,0,'Données projet'!$E$11+1,1))</f>
        <v>438.70522838726322</v>
      </c>
      <c r="BJ108" s="62">
        <f t="shared" si="92"/>
        <v>278.21741231699929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26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333</v>
      </c>
      <c r="BW108" s="13">
        <f>VLOOKUP(A108,'Données projet'!$A$113:$I$133,9,0)</f>
        <v>5.4</v>
      </c>
      <c r="BX108" s="13">
        <f t="array" ref="BX108">INDEX(BW:BW,MIN(IF(ISNUMBER(BW108:BW304),ROW(BW108:BW304),"")))</f>
        <v>5.4</v>
      </c>
      <c r="BY108" s="13">
        <f>IF('Données projet'!$A$114&gt;35,BY107+BX108-CG107,IF(A108&lt;'Données projet'!$A$114,$BV$205^A108,IF(A108='Données projet'!$A$114,'Données projet'!$B$114,BY107+BX108-CG107)))</f>
        <v>332.99999999999989</v>
      </c>
      <c r="BZ108" s="14">
        <f>BY108*VLOOKUP('Données projet'!$B$12,Paramètres!$A$1:$I$89,3,0)*VLOOKUP('Données projet'!$B$12,Paramètres!$A$1:$I$89,5,0)</f>
        <v>322.0775999999999</v>
      </c>
      <c r="CA108" s="14">
        <f t="shared" si="93"/>
        <v>75.785475796129404</v>
      </c>
      <c r="CB108" s="22">
        <f t="shared" si="64"/>
        <v>692.94485701159181</v>
      </c>
      <c r="CC108" s="62">
        <f t="shared" si="65"/>
        <v>986.27819034492518</v>
      </c>
      <c r="CD108" s="62">
        <f ca="1">AVERAGE(OFFSET($CC$3,0,0,'Données projet'!$E$12+1,1))-AVERAGE(OFFSET($H$3,0,0,'Données projet'!$E$12+1,1))</f>
        <v>466.10838191274445</v>
      </c>
      <c r="CE108" s="62">
        <f t="shared" si="94"/>
        <v>294.45557293177131</v>
      </c>
      <c r="CF108" s="16">
        <f>IF(ISNA(VLOOKUP(A108,'Données projet'!$A$113:$I$133,3,0)),0,VLOOKUP(A108,'Données projet'!$A$113:$I$133,3,0))</f>
        <v>18</v>
      </c>
      <c r="CG108" s="16">
        <f>IF(ISNA(VLOOKUP(A108,'Données projet'!$A$113:$I$133,4,0)),0,VLOOKUP(A108,'Données projet'!$A$113:$I$133,4,0))</f>
        <v>26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-3.4106051316484809E-13</v>
      </c>
      <c r="CU108" s="18">
        <f>CT108*VLOOKUP('Données projet'!$B$13,Paramètres!$A$1:$I$89,3,0)*VLOOKUP('Données projet'!$B$13,Paramètres!$A$1:$I$89,5,0)</f>
        <v>-2.5006556825246659E-13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376.5422416541544</v>
      </c>
      <c r="CZ108" s="62">
        <f t="shared" si="96"/>
        <v>365.76175372075869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-2.8421709430404007E-13</v>
      </c>
      <c r="DP108" s="18">
        <f>DO108*VLOOKUP('Données projet'!$B$14,Paramètres!$A$1:$I$89,3,0)*VLOOKUP('Données projet'!$B$14,Paramètres!$A$1:$I$89,5,0)</f>
        <v>-2.2612312022829427E-13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352.5736659365665</v>
      </c>
      <c r="DU108" s="62">
        <f t="shared" si="98"/>
        <v>343.77208530767069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2.2737367544323206E-13</v>
      </c>
      <c r="EK108" s="18">
        <f>EJ108*VLOOKUP('Données projet'!$B$15,Paramètres!$A$1:$I$89,3,0)*VLOOKUP('Données projet'!$B$15,Paramètres!$A$1:$I$89,5,0)</f>
        <v>2.0572770154103635E-13</v>
      </c>
      <c r="EL108" s="14">
        <f t="shared" si="99"/>
        <v>2.8416956338469711E-12</v>
      </c>
      <c r="EM108" s="22">
        <f t="shared" si="73"/>
        <v>5.3075956424674458E-12</v>
      </c>
      <c r="EN108" s="62">
        <f t="shared" si="74"/>
        <v>293.3333333333386</v>
      </c>
      <c r="EO108" s="62">
        <f ca="1">AVERAGE(OFFSET($EN$3,0,0,'Données projet'!$E$15+1,1))-AVERAGE(OFFSET($H$3,0,0,'Données projet'!$E$15+1,1))</f>
        <v>436.23918637269577</v>
      </c>
      <c r="EP108" s="62">
        <f t="shared" si="100"/>
        <v>611.43967996341894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1.064319068725214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1.064319068725214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1.9895196601282805E-13</v>
      </c>
      <c r="FF108" s="18">
        <f>FE108*VLOOKUP('Données projet'!$B$16,Paramètres!$A$1:$I$89,3,0)*VLOOKUP('Données projet'!$B$16,Paramètres!$A$1:$I$89,5,0)</f>
        <v>1.738044375088066E-13</v>
      </c>
      <c r="FG108" s="14">
        <f t="shared" si="101"/>
        <v>2.4483293633950478E-12</v>
      </c>
      <c r="FH108" s="22">
        <f t="shared" si="76"/>
        <v>4.566883036574213E-12</v>
      </c>
      <c r="FI108" s="62">
        <f t="shared" si="77"/>
        <v>293.33333333333786</v>
      </c>
      <c r="FJ108" s="62">
        <f ca="1">AVERAGE(OFFSET($FI$3,0,0,'Données projet'!$E$16+1,1))-AVERAGE(OFFSET($H$3,0,0,'Données projet'!$E$16+1,1))</f>
        <v>321.23599968992932</v>
      </c>
      <c r="FK108" s="62">
        <f t="shared" si="102"/>
        <v>388.05195847800502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6.3550942286383367E-14</v>
      </c>
      <c r="P109" s="14">
        <f t="shared" si="87"/>
        <v>1.0064464192543978E-12</v>
      </c>
      <c r="Q109" s="22">
        <f t="shared" si="107"/>
        <v>1.8635787380168604E-12</v>
      </c>
      <c r="R109" s="62">
        <f t="shared" si="55"/>
        <v>293.33333333333519</v>
      </c>
      <c r="S109" s="62">
        <f ca="1">AVERAGE(OFFSET($R$3,0,0,'Données projet'!$E$9+1,1))-AVERAGE(OFFSET($H$3,0,0,'Données projet'!$E$9+1,1))</f>
        <v>389.06620927245814</v>
      </c>
      <c r="T109" s="62">
        <f t="shared" si="88"/>
        <v>356.08144160383193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3.7700858518635036</v>
      </c>
      <c r="AB109" s="23">
        <f>EXP(-LN(2)/2)*AB108+(1-EXP(-LN(2)/2))/(LN(2)/2)*V109*Y109*VLOOKUP('Données projet'!$B$9,Paramètres!$A$1:$I$89,3,0)*0.475*44/12</f>
        <v>1.8853280555657567E-11</v>
      </c>
      <c r="AC109" s="24">
        <f t="shared" si="57"/>
        <v>3.770085851882357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-3.1036506698001178E-14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293.73480285950245</v>
      </c>
      <c r="AO109" s="62">
        <f t="shared" si="90"/>
        <v>425.99823184414191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2.5688731585139055</v>
      </c>
      <c r="AW109" s="23">
        <f>EXP(-LN(2)/2)*AW108+(1-EXP(-LN(2)/2))/(LN(2)/2)*AQ109*AT109*VLOOKUP('Données projet'!$B$10,Paramètres!$A$1:$I$89,3,0)*0.475*44/12</f>
        <v>7.0321748387883016E-11</v>
      </c>
      <c r="AX109" s="23">
        <f t="shared" si="60"/>
        <v>2.5688731585842275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</v>
      </c>
      <c r="BD109" s="13">
        <f>IF('Données projet'!$A$88&gt;35,BD108+BC109-BL108,IF(A109&lt;'Données projet'!$A$88,$BA$205^A109,IF(A109='Données projet'!$A$88,'Données projet'!$B$88,BD108+BC109-BL108)))</f>
        <v>311.99999999999989</v>
      </c>
      <c r="BE109" s="14">
        <f>BD109*VLOOKUP('Données projet'!$B$11,Paramètres!$A$1:$I$89,3,0)*VLOOKUP('Données projet'!$B$11,Paramètres!$A$1:$I$89,5,0)</f>
        <v>282.29759999999987</v>
      </c>
      <c r="BF109" s="14">
        <f t="shared" si="91"/>
        <v>67.452326629470178</v>
      </c>
      <c r="BG109" s="22">
        <f t="shared" si="61"/>
        <v>609.14778887966042</v>
      </c>
      <c r="BH109" s="62">
        <f t="shared" si="62"/>
        <v>902.4811222129938</v>
      </c>
      <c r="BI109" s="62">
        <f ca="1">AVERAGE(OFFSET($BH$3,0,0,'Données projet'!$E$11+1,1))-AVERAGE(OFFSET($H$3,0,0,'Données projet'!$E$11+1,1))</f>
        <v>438.70522838726322</v>
      </c>
      <c r="BJ109" s="62">
        <f t="shared" si="92"/>
        <v>278.21741231699929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</v>
      </c>
      <c r="BY109" s="13">
        <f>IF('Données projet'!$A$114&gt;35,BY108+BX109-CG108,IF(A109&lt;'Données projet'!$A$114,$BV$205^A109,IF(A109='Données projet'!$A$114,'Données projet'!$B$114,BY108+BX109-CG108)))</f>
        <v>311.99999999999989</v>
      </c>
      <c r="BZ109" s="14">
        <f>BY109*VLOOKUP('Données projet'!$B$12,Paramètres!$A$1:$I$89,3,0)*VLOOKUP('Données projet'!$B$12,Paramètres!$A$1:$I$89,5,0)</f>
        <v>301.76639999999992</v>
      </c>
      <c r="CA109" s="14">
        <f t="shared" si="93"/>
        <v>71.546642144235292</v>
      </c>
      <c r="CB109" s="22">
        <f t="shared" si="64"/>
        <v>650.18688173454302</v>
      </c>
      <c r="CC109" s="62">
        <f t="shared" si="65"/>
        <v>943.52021506787628</v>
      </c>
      <c r="CD109" s="62">
        <f ca="1">AVERAGE(OFFSET($CC$3,0,0,'Données projet'!$E$12+1,1))-AVERAGE(OFFSET($H$3,0,0,'Données projet'!$E$12+1,1))</f>
        <v>466.10838191274445</v>
      </c>
      <c r="CE109" s="62">
        <f t="shared" si="94"/>
        <v>294.45557293177131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-3.4106051316484809E-13</v>
      </c>
      <c r="CU109" s="18">
        <f>CT109*VLOOKUP('Données projet'!$B$13,Paramètres!$A$1:$I$89,3,0)*VLOOKUP('Données projet'!$B$13,Paramètres!$A$1:$I$89,5,0)</f>
        <v>-2.5006556825246659E-13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376.5422416541544</v>
      </c>
      <c r="CZ109" s="62">
        <f t="shared" si="96"/>
        <v>365.76175372075869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-2.8421709430404007E-13</v>
      </c>
      <c r="DP109" s="18">
        <f>DO109*VLOOKUP('Données projet'!$B$14,Paramètres!$A$1:$I$89,3,0)*VLOOKUP('Données projet'!$B$14,Paramètres!$A$1:$I$89,5,0)</f>
        <v>-2.2612312022829427E-13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352.5736659365665</v>
      </c>
      <c r="DU109" s="62">
        <f t="shared" si="98"/>
        <v>343.77208530767069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2.2737367544323206E-13</v>
      </c>
      <c r="EK109" s="18">
        <f>EJ109*VLOOKUP('Données projet'!$B$15,Paramètres!$A$1:$I$89,3,0)*VLOOKUP('Données projet'!$B$15,Paramètres!$A$1:$I$89,5,0)</f>
        <v>2.0572770154103635E-13</v>
      </c>
      <c r="EL109" s="14">
        <f t="shared" si="99"/>
        <v>2.8416956338469711E-12</v>
      </c>
      <c r="EM109" s="22">
        <f t="shared" si="73"/>
        <v>5.3075956424674458E-12</v>
      </c>
      <c r="EN109" s="62">
        <f t="shared" si="74"/>
        <v>293.3333333333386</v>
      </c>
      <c r="EO109" s="62">
        <f ca="1">AVERAGE(OFFSET($EN$3,0,0,'Données projet'!$E$15+1,1))-AVERAGE(OFFSET($H$3,0,0,'Données projet'!$E$15+1,1))</f>
        <v>436.23918637269577</v>
      </c>
      <c r="EP109" s="62">
        <f t="shared" si="100"/>
        <v>611.43967996341894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1.0434484209580441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1.0434484209580441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1.9895196601282805E-13</v>
      </c>
      <c r="FF109" s="18">
        <f>FE109*VLOOKUP('Données projet'!$B$16,Paramètres!$A$1:$I$89,3,0)*VLOOKUP('Données projet'!$B$16,Paramètres!$A$1:$I$89,5,0)</f>
        <v>1.738044375088066E-13</v>
      </c>
      <c r="FG109" s="14">
        <f t="shared" si="101"/>
        <v>2.4483293633950478E-12</v>
      </c>
      <c r="FH109" s="22">
        <f t="shared" si="76"/>
        <v>4.566883036574213E-12</v>
      </c>
      <c r="FI109" s="62">
        <f t="shared" si="77"/>
        <v>293.33333333333786</v>
      </c>
      <c r="FJ109" s="62">
        <f ca="1">AVERAGE(OFFSET($FI$3,0,0,'Données projet'!$E$16+1,1))-AVERAGE(OFFSET($H$3,0,0,'Données projet'!$E$16+1,1))</f>
        <v>321.23599968992932</v>
      </c>
      <c r="FK109" s="62">
        <f t="shared" si="102"/>
        <v>388.05195847800502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6.3550942286383367E-14</v>
      </c>
      <c r="P110" s="14">
        <f t="shared" si="87"/>
        <v>1.0064464192543978E-12</v>
      </c>
      <c r="Q110" s="22">
        <f t="shared" si="107"/>
        <v>1.8635787380168604E-12</v>
      </c>
      <c r="R110" s="62">
        <f t="shared" si="55"/>
        <v>293.33333333333519</v>
      </c>
      <c r="S110" s="62">
        <f ca="1">AVERAGE(OFFSET($R$3,0,0,'Données projet'!$E$9+1,1))-AVERAGE(OFFSET($H$3,0,0,'Données projet'!$E$9+1,1))</f>
        <v>389.06620927245814</v>
      </c>
      <c r="T110" s="62">
        <f t="shared" si="88"/>
        <v>356.08144160383193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3.6669926559840977</v>
      </c>
      <c r="AB110" s="23">
        <f>EXP(-LN(2)/2)*AB109+(1-EXP(-LN(2)/2))/(LN(2)/2)*V110*Y110*VLOOKUP('Données projet'!$B$9,Paramètres!$A$1:$I$89,3,0)*0.475*44/12</f>
        <v>1.3331282528517946E-11</v>
      </c>
      <c r="AC110" s="24">
        <f t="shared" si="57"/>
        <v>3.6669926559974289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-3.1036506698001178E-14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293.73480285950245</v>
      </c>
      <c r="AO110" s="62">
        <f t="shared" si="90"/>
        <v>425.99823184414191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2.4986271869031746</v>
      </c>
      <c r="AW110" s="23">
        <f>EXP(-LN(2)/2)*AW109+(1-EXP(-LN(2)/2))/(LN(2)/2)*AQ110*AT110*VLOOKUP('Données projet'!$B$10,Paramètres!$A$1:$I$89,3,0)*0.475*44/12</f>
        <v>4.9724985149966248E-11</v>
      </c>
      <c r="AX110" s="23">
        <f t="shared" si="60"/>
        <v>2.4986271869528998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</v>
      </c>
      <c r="BD110" s="13">
        <f>IF('Données projet'!$A$88&gt;35,BD109+BC110-BL109,IF(A110&lt;'Données projet'!$A$88,$BA$205^A110,IF(A110='Données projet'!$A$88,'Données projet'!$B$88,BD109+BC110-BL109)))</f>
        <v>316.99999999999989</v>
      </c>
      <c r="BE110" s="14">
        <f>BD110*VLOOKUP('Données projet'!$B$11,Paramètres!$A$1:$I$89,3,0)*VLOOKUP('Données projet'!$B$11,Paramètres!$A$1:$I$89,5,0)</f>
        <v>286.82159999999988</v>
      </c>
      <c r="BF110" s="14">
        <f t="shared" si="91"/>
        <v>68.406583284351413</v>
      </c>
      <c r="BG110" s="22">
        <f t="shared" si="61"/>
        <v>618.68908588691181</v>
      </c>
      <c r="BH110" s="62">
        <f t="shared" si="62"/>
        <v>912.02241922024518</v>
      </c>
      <c r="BI110" s="62">
        <f ca="1">AVERAGE(OFFSET($BH$3,0,0,'Données projet'!$E$11+1,1))-AVERAGE(OFFSET($H$3,0,0,'Données projet'!$E$11+1,1))</f>
        <v>438.70522838726322</v>
      </c>
      <c r="BJ110" s="62">
        <f t="shared" si="92"/>
        <v>278.21741231699929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</v>
      </c>
      <c r="BY110" s="13">
        <f>IF('Données projet'!$A$114&gt;35,BY109+BX110-CG109,IF(A110&lt;'Données projet'!$A$114,$BV$205^A110,IF(A110='Données projet'!$A$114,'Données projet'!$B$114,BY109+BX110-CG109)))</f>
        <v>316.99999999999989</v>
      </c>
      <c r="BZ110" s="14">
        <f>BY110*VLOOKUP('Données projet'!$B$12,Paramètres!$A$1:$I$89,3,0)*VLOOKUP('Données projet'!$B$12,Paramètres!$A$1:$I$89,5,0)</f>
        <v>306.60239999999993</v>
      </c>
      <c r="CA110" s="14">
        <f t="shared" si="93"/>
        <v>72.558821602115088</v>
      </c>
      <c r="CB110" s="22">
        <f t="shared" si="64"/>
        <v>660.37246095701687</v>
      </c>
      <c r="CC110" s="62">
        <f t="shared" si="65"/>
        <v>953.70579429035024</v>
      </c>
      <c r="CD110" s="62">
        <f ca="1">AVERAGE(OFFSET($CC$3,0,0,'Données projet'!$E$12+1,1))-AVERAGE(OFFSET($H$3,0,0,'Données projet'!$E$12+1,1))</f>
        <v>466.10838191274445</v>
      </c>
      <c r="CE110" s="62">
        <f t="shared" si="94"/>
        <v>294.45557293177131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-3.4106051316484809E-13</v>
      </c>
      <c r="CU110" s="18">
        <f>CT110*VLOOKUP('Données projet'!$B$13,Paramètres!$A$1:$I$89,3,0)*VLOOKUP('Données projet'!$B$13,Paramètres!$A$1:$I$89,5,0)</f>
        <v>-2.5006556825246659E-13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376.5422416541544</v>
      </c>
      <c r="CZ110" s="62">
        <f t="shared" si="96"/>
        <v>365.76175372075869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-2.8421709430404007E-13</v>
      </c>
      <c r="DP110" s="18">
        <f>DO110*VLOOKUP('Données projet'!$B$14,Paramètres!$A$1:$I$89,3,0)*VLOOKUP('Données projet'!$B$14,Paramètres!$A$1:$I$89,5,0)</f>
        <v>-2.2612312022829427E-13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352.5736659365665</v>
      </c>
      <c r="DU110" s="62">
        <f t="shared" si="98"/>
        <v>343.77208530767069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2.2737367544323206E-13</v>
      </c>
      <c r="EK110" s="18">
        <f>EJ110*VLOOKUP('Données projet'!$B$15,Paramètres!$A$1:$I$89,3,0)*VLOOKUP('Données projet'!$B$15,Paramètres!$A$1:$I$89,5,0)</f>
        <v>2.0572770154103635E-13</v>
      </c>
      <c r="EL110" s="14">
        <f t="shared" si="99"/>
        <v>2.8416956338469711E-12</v>
      </c>
      <c r="EM110" s="22">
        <f t="shared" si="73"/>
        <v>5.3075956424674458E-12</v>
      </c>
      <c r="EN110" s="62">
        <f t="shared" si="74"/>
        <v>293.3333333333386</v>
      </c>
      <c r="EO110" s="62">
        <f ca="1">AVERAGE(OFFSET($EN$3,0,0,'Données projet'!$E$15+1,1))-AVERAGE(OFFSET($H$3,0,0,'Données projet'!$E$15+1,1))</f>
        <v>436.23918637269577</v>
      </c>
      <c r="EP110" s="62">
        <f t="shared" si="100"/>
        <v>611.43967996341894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1.0229870338637503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1.0229870338637503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1.9895196601282805E-13</v>
      </c>
      <c r="FF110" s="18">
        <f>FE110*VLOOKUP('Données projet'!$B$16,Paramètres!$A$1:$I$89,3,0)*VLOOKUP('Données projet'!$B$16,Paramètres!$A$1:$I$89,5,0)</f>
        <v>1.738044375088066E-13</v>
      </c>
      <c r="FG110" s="14">
        <f t="shared" si="101"/>
        <v>2.4483293633950478E-12</v>
      </c>
      <c r="FH110" s="22">
        <f t="shared" si="76"/>
        <v>4.566883036574213E-12</v>
      </c>
      <c r="FI110" s="62">
        <f t="shared" si="77"/>
        <v>293.33333333333786</v>
      </c>
      <c r="FJ110" s="62">
        <f ca="1">AVERAGE(OFFSET($FI$3,0,0,'Données projet'!$E$16+1,1))-AVERAGE(OFFSET($H$3,0,0,'Données projet'!$E$16+1,1))</f>
        <v>321.23599968992932</v>
      </c>
      <c r="FK110" s="62">
        <f t="shared" si="102"/>
        <v>388.05195847800502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6.3550942286383367E-14</v>
      </c>
      <c r="P111" s="14">
        <f t="shared" si="87"/>
        <v>1.0064464192543978E-12</v>
      </c>
      <c r="Q111" s="22">
        <f t="shared" si="107"/>
        <v>1.8635787380168604E-12</v>
      </c>
      <c r="R111" s="62">
        <f t="shared" si="55"/>
        <v>293.33333333333519</v>
      </c>
      <c r="S111" s="62">
        <f ca="1">AVERAGE(OFFSET($R$3,0,0,'Données projet'!$E$9+1,1))-AVERAGE(OFFSET($H$3,0,0,'Données projet'!$E$9+1,1))</f>
        <v>389.06620927245814</v>
      </c>
      <c r="T111" s="62">
        <f t="shared" si="88"/>
        <v>356.08144160383193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3.56671854896745</v>
      </c>
      <c r="AB111" s="23">
        <f>EXP(-LN(2)/2)*AB110+(1-EXP(-LN(2)/2))/(LN(2)/2)*V111*Y111*VLOOKUP('Données projet'!$B$9,Paramètres!$A$1:$I$89,3,0)*0.475*44/12</f>
        <v>9.4266402778287833E-12</v>
      </c>
      <c r="AC111" s="24">
        <f t="shared" si="57"/>
        <v>3.5667185489768767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-3.1036506698001178E-14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293.73480285950245</v>
      </c>
      <c r="AO111" s="62">
        <f t="shared" si="90"/>
        <v>425.99823184414191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2.4303020950802141</v>
      </c>
      <c r="AW111" s="23">
        <f>EXP(-LN(2)/2)*AW110+(1-EXP(-LN(2)/2))/(LN(2)/2)*AQ111*AT111*VLOOKUP('Données projet'!$B$10,Paramètres!$A$1:$I$89,3,0)*0.475*44/12</f>
        <v>3.5160874193941508E-11</v>
      </c>
      <c r="AX111" s="23">
        <f t="shared" si="60"/>
        <v>2.4303020951153749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</v>
      </c>
      <c r="BD111" s="13">
        <f>IF('Données projet'!$A$88&gt;35,BD110+BC111-BL110,IF(A111&lt;'Données projet'!$A$88,$BA$205^A111,IF(A111='Données projet'!$A$88,'Données projet'!$B$88,BD110+BC111-BL110)))</f>
        <v>321.99999999999989</v>
      </c>
      <c r="BE111" s="14">
        <f>BD111*VLOOKUP('Données projet'!$B$11,Paramètres!$A$1:$I$89,3,0)*VLOOKUP('Données projet'!$B$11,Paramètres!$A$1:$I$89,5,0)</f>
        <v>291.34559999999993</v>
      </c>
      <c r="BF111" s="14">
        <f t="shared" si="91"/>
        <v>69.359089490698707</v>
      </c>
      <c r="BG111" s="22">
        <f t="shared" si="61"/>
        <v>628.22733419630015</v>
      </c>
      <c r="BH111" s="62">
        <f t="shared" si="62"/>
        <v>921.56066752963352</v>
      </c>
      <c r="BI111" s="62">
        <f ca="1">AVERAGE(OFFSET($BH$3,0,0,'Données projet'!$E$11+1,1))-AVERAGE(OFFSET($H$3,0,0,'Données projet'!$E$11+1,1))</f>
        <v>438.70522838726322</v>
      </c>
      <c r="BJ111" s="62">
        <f t="shared" si="92"/>
        <v>278.21741231699929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</v>
      </c>
      <c r="BY111" s="13">
        <f>IF('Données projet'!$A$114&gt;35,BY110+BX111-CG110,IF(A111&lt;'Données projet'!$A$114,$BV$205^A111,IF(A111='Données projet'!$A$114,'Données projet'!$B$114,BY110+BX111-CG110)))</f>
        <v>321.99999999999989</v>
      </c>
      <c r="BZ111" s="14">
        <f>BY111*VLOOKUP('Données projet'!$B$12,Paramètres!$A$1:$I$89,3,0)*VLOOKUP('Données projet'!$B$12,Paramètres!$A$1:$I$89,5,0)</f>
        <v>311.43839999999989</v>
      </c>
      <c r="CA111" s="14">
        <f t="shared" si="93"/>
        <v>73.569144360291361</v>
      </c>
      <c r="CB111" s="22">
        <f t="shared" si="64"/>
        <v>670.55480642750729</v>
      </c>
      <c r="CC111" s="62">
        <f t="shared" si="65"/>
        <v>963.88813976084066</v>
      </c>
      <c r="CD111" s="62">
        <f ca="1">AVERAGE(OFFSET($CC$3,0,0,'Données projet'!$E$12+1,1))-AVERAGE(OFFSET($H$3,0,0,'Données projet'!$E$12+1,1))</f>
        <v>466.10838191274445</v>
      </c>
      <c r="CE111" s="62">
        <f t="shared" si="94"/>
        <v>294.45557293177131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-3.4106051316484809E-13</v>
      </c>
      <c r="CU111" s="18">
        <f>CT111*VLOOKUP('Données projet'!$B$13,Paramètres!$A$1:$I$89,3,0)*VLOOKUP('Données projet'!$B$13,Paramètres!$A$1:$I$89,5,0)</f>
        <v>-2.5006556825246659E-13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376.5422416541544</v>
      </c>
      <c r="CZ111" s="62">
        <f t="shared" si="96"/>
        <v>365.76175372075869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-2.8421709430404007E-13</v>
      </c>
      <c r="DP111" s="18">
        <f>DO111*VLOOKUP('Données projet'!$B$14,Paramètres!$A$1:$I$89,3,0)*VLOOKUP('Données projet'!$B$14,Paramètres!$A$1:$I$89,5,0)</f>
        <v>-2.2612312022829427E-13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352.5736659365665</v>
      </c>
      <c r="DU111" s="62">
        <f t="shared" si="98"/>
        <v>343.77208530767069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2.2737367544323206E-13</v>
      </c>
      <c r="EK111" s="18">
        <f>EJ111*VLOOKUP('Données projet'!$B$15,Paramètres!$A$1:$I$89,3,0)*VLOOKUP('Données projet'!$B$15,Paramètres!$A$1:$I$89,5,0)</f>
        <v>2.0572770154103635E-13</v>
      </c>
      <c r="EL111" s="14">
        <f t="shared" si="99"/>
        <v>2.8416956338469711E-12</v>
      </c>
      <c r="EM111" s="22">
        <f t="shared" si="73"/>
        <v>5.3075956424674458E-12</v>
      </c>
      <c r="EN111" s="62">
        <f t="shared" si="74"/>
        <v>293.3333333333386</v>
      </c>
      <c r="EO111" s="62">
        <f ca="1">AVERAGE(OFFSET($EN$3,0,0,'Données projet'!$E$15+1,1))-AVERAGE(OFFSET($H$3,0,0,'Données projet'!$E$15+1,1))</f>
        <v>436.23918637269577</v>
      </c>
      <c r="EP111" s="62">
        <f t="shared" si="100"/>
        <v>611.43967996341894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1.0029268820901618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1.0029268820901618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1.9895196601282805E-13</v>
      </c>
      <c r="FF111" s="18">
        <f>FE111*VLOOKUP('Données projet'!$B$16,Paramètres!$A$1:$I$89,3,0)*VLOOKUP('Données projet'!$B$16,Paramètres!$A$1:$I$89,5,0)</f>
        <v>1.738044375088066E-13</v>
      </c>
      <c r="FG111" s="14">
        <f t="shared" si="101"/>
        <v>2.4483293633950478E-12</v>
      </c>
      <c r="FH111" s="22">
        <f t="shared" si="76"/>
        <v>4.566883036574213E-12</v>
      </c>
      <c r="FI111" s="62">
        <f t="shared" si="77"/>
        <v>293.33333333333786</v>
      </c>
      <c r="FJ111" s="62">
        <f ca="1">AVERAGE(OFFSET($FI$3,0,0,'Données projet'!$E$16+1,1))-AVERAGE(OFFSET($H$3,0,0,'Données projet'!$E$16+1,1))</f>
        <v>321.23599968992932</v>
      </c>
      <c r="FK111" s="62">
        <f t="shared" si="102"/>
        <v>388.05195847800502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6.3550942286383367E-14</v>
      </c>
      <c r="P112" s="14">
        <f t="shared" si="87"/>
        <v>1.0064464192543978E-12</v>
      </c>
      <c r="Q112" s="22">
        <f t="shared" si="107"/>
        <v>1.8635787380168604E-12</v>
      </c>
      <c r="R112" s="62">
        <f t="shared" si="55"/>
        <v>293.33333333333519</v>
      </c>
      <c r="S112" s="62">
        <f ca="1">AVERAGE(OFFSET($R$3,0,0,'Données projet'!$E$9+1,1))-AVERAGE(OFFSET($H$3,0,0,'Données projet'!$E$9+1,1))</f>
        <v>389.06620927245814</v>
      </c>
      <c r="T112" s="62">
        <f t="shared" si="88"/>
        <v>356.08144160383193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3.4691864426803583</v>
      </c>
      <c r="AB112" s="23">
        <f>EXP(-LN(2)/2)*AB111+(1-EXP(-LN(2)/2))/(LN(2)/2)*V112*Y112*VLOOKUP('Données projet'!$B$9,Paramètres!$A$1:$I$89,3,0)*0.475*44/12</f>
        <v>6.6656412642589731E-12</v>
      </c>
      <c r="AC112" s="24">
        <f t="shared" si="57"/>
        <v>3.469186442687024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-3.1036506698001178E-14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293.73480285950245</v>
      </c>
      <c r="AO112" s="62">
        <f t="shared" si="90"/>
        <v>425.99823184414191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2.363845356486213</v>
      </c>
      <c r="AW112" s="23">
        <f>EXP(-LN(2)/2)*AW111+(1-EXP(-LN(2)/2))/(LN(2)/2)*AQ112*AT112*VLOOKUP('Données projet'!$B$10,Paramètres!$A$1:$I$89,3,0)*0.475*44/12</f>
        <v>2.4862492574983124E-11</v>
      </c>
      <c r="AX112" s="23">
        <f t="shared" si="60"/>
        <v>2.3638453565110753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</v>
      </c>
      <c r="BD112" s="13">
        <f>IF('Données projet'!$A$88&gt;35,BD111+BC112-BL111,IF(A112&lt;'Données projet'!$A$88,$BA$205^A112,IF(A112='Données projet'!$A$88,'Données projet'!$B$88,BD111+BC112-BL111)))</f>
        <v>326.99999999999989</v>
      </c>
      <c r="BE112" s="14">
        <f>BD112*VLOOKUP('Données projet'!$B$11,Paramètres!$A$1:$I$89,3,0)*VLOOKUP('Données projet'!$B$11,Paramètres!$A$1:$I$89,5,0)</f>
        <v>295.86959999999988</v>
      </c>
      <c r="BF112" s="14">
        <f t="shared" si="91"/>
        <v>70.309875568291218</v>
      </c>
      <c r="BG112" s="22">
        <f t="shared" si="61"/>
        <v>637.76258661477357</v>
      </c>
      <c r="BH112" s="62">
        <f t="shared" si="62"/>
        <v>931.09591994810694</v>
      </c>
      <c r="BI112" s="62">
        <f ca="1">AVERAGE(OFFSET($BH$3,0,0,'Données projet'!$E$11+1,1))-AVERAGE(OFFSET($H$3,0,0,'Données projet'!$E$11+1,1))</f>
        <v>438.70522838726322</v>
      </c>
      <c r="BJ112" s="62">
        <f t="shared" si="92"/>
        <v>278.21741231699929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</v>
      </c>
      <c r="BY112" s="13">
        <f>IF('Données projet'!$A$114&gt;35,BY111+BX112-CG111,IF(A112&lt;'Données projet'!$A$114,$BV$205^A112,IF(A112='Données projet'!$A$114,'Données projet'!$B$114,BY111+BX112-CG111)))</f>
        <v>326.99999999999989</v>
      </c>
      <c r="BZ112" s="14">
        <f>BY112*VLOOKUP('Données projet'!$B$12,Paramètres!$A$1:$I$89,3,0)*VLOOKUP('Données projet'!$B$12,Paramètres!$A$1:$I$89,5,0)</f>
        <v>316.2743999999999</v>
      </c>
      <c r="CA112" s="14">
        <f t="shared" si="93"/>
        <v>74.577642578935567</v>
      </c>
      <c r="CB112" s="22">
        <f t="shared" si="64"/>
        <v>680.73397415831266</v>
      </c>
      <c r="CC112" s="62">
        <f t="shared" si="65"/>
        <v>974.06730749164603</v>
      </c>
      <c r="CD112" s="62">
        <f ca="1">AVERAGE(OFFSET($CC$3,0,0,'Données projet'!$E$12+1,1))-AVERAGE(OFFSET($H$3,0,0,'Données projet'!$E$12+1,1))</f>
        <v>466.10838191274445</v>
      </c>
      <c r="CE112" s="62">
        <f t="shared" si="94"/>
        <v>294.45557293177131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-3.4106051316484809E-13</v>
      </c>
      <c r="CU112" s="18">
        <f>CT112*VLOOKUP('Données projet'!$B$13,Paramètres!$A$1:$I$89,3,0)*VLOOKUP('Données projet'!$B$13,Paramètres!$A$1:$I$89,5,0)</f>
        <v>-2.5006556825246659E-13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376.5422416541544</v>
      </c>
      <c r="CZ112" s="62">
        <f t="shared" si="96"/>
        <v>365.76175372075869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-2.8421709430404007E-13</v>
      </c>
      <c r="DP112" s="18">
        <f>DO112*VLOOKUP('Données projet'!$B$14,Paramètres!$A$1:$I$89,3,0)*VLOOKUP('Données projet'!$B$14,Paramètres!$A$1:$I$89,5,0)</f>
        <v>-2.2612312022829427E-13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352.5736659365665</v>
      </c>
      <c r="DU112" s="62">
        <f t="shared" si="98"/>
        <v>343.77208530767069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2.2737367544323206E-13</v>
      </c>
      <c r="EK112" s="18">
        <f>EJ112*VLOOKUP('Données projet'!$B$15,Paramètres!$A$1:$I$89,3,0)*VLOOKUP('Données projet'!$B$15,Paramètres!$A$1:$I$89,5,0)</f>
        <v>2.0572770154103635E-13</v>
      </c>
      <c r="EL112" s="14">
        <f t="shared" si="99"/>
        <v>2.8416956338469711E-12</v>
      </c>
      <c r="EM112" s="22">
        <f t="shared" si="73"/>
        <v>5.3075956424674458E-12</v>
      </c>
      <c r="EN112" s="62">
        <f t="shared" si="74"/>
        <v>293.3333333333386</v>
      </c>
      <c r="EO112" s="62">
        <f ca="1">AVERAGE(OFFSET($EN$3,0,0,'Données projet'!$E$15+1,1))-AVERAGE(OFFSET($H$3,0,0,'Données projet'!$E$15+1,1))</f>
        <v>436.23918637269577</v>
      </c>
      <c r="EP112" s="62">
        <f t="shared" si="100"/>
        <v>611.43967996341894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0.98326009765736899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0.98326009765736899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1.9895196601282805E-13</v>
      </c>
      <c r="FF112" s="18">
        <f>FE112*VLOOKUP('Données projet'!$B$16,Paramètres!$A$1:$I$89,3,0)*VLOOKUP('Données projet'!$B$16,Paramètres!$A$1:$I$89,5,0)</f>
        <v>1.738044375088066E-13</v>
      </c>
      <c r="FG112" s="14">
        <f t="shared" si="101"/>
        <v>2.4483293633950478E-12</v>
      </c>
      <c r="FH112" s="22">
        <f t="shared" si="76"/>
        <v>4.566883036574213E-12</v>
      </c>
      <c r="FI112" s="62">
        <f t="shared" si="77"/>
        <v>293.33333333333786</v>
      </c>
      <c r="FJ112" s="62">
        <f ca="1">AVERAGE(OFFSET($FI$3,0,0,'Données projet'!$E$16+1,1))-AVERAGE(OFFSET($H$3,0,0,'Données projet'!$E$16+1,1))</f>
        <v>321.23599968992932</v>
      </c>
      <c r="FK112" s="62">
        <f t="shared" si="102"/>
        <v>388.05195847800502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6.3550942286383367E-14</v>
      </c>
      <c r="P113" s="14">
        <f t="shared" si="87"/>
        <v>1.0064464192543978E-12</v>
      </c>
      <c r="Q113" s="22">
        <f t="shared" si="107"/>
        <v>1.8635787380168604E-12</v>
      </c>
      <c r="R113" s="62">
        <f t="shared" si="55"/>
        <v>293.33333333333519</v>
      </c>
      <c r="S113" s="62">
        <f ca="1">AVERAGE(OFFSET($R$3,0,0,'Données projet'!$E$9+1,1))-AVERAGE(OFFSET($H$3,0,0,'Données projet'!$E$9+1,1))</f>
        <v>389.06620927245814</v>
      </c>
      <c r="T113" s="62">
        <f t="shared" si="88"/>
        <v>356.08144160383193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3.3743213569686779</v>
      </c>
      <c r="AB113" s="23">
        <f>EXP(-LN(2)/2)*AB112+(1-EXP(-LN(2)/2))/(LN(2)/2)*V113*Y113*VLOOKUP('Données projet'!$B$9,Paramètres!$A$1:$I$89,3,0)*0.475*44/12</f>
        <v>4.7133201389143916E-12</v>
      </c>
      <c r="AC113" s="24">
        <f t="shared" si="57"/>
        <v>3.374321356973391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-3.1036506698001178E-14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293.73480285950245</v>
      </c>
      <c r="AO113" s="62">
        <f t="shared" si="90"/>
        <v>425.99823184414191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2.2992058809038727</v>
      </c>
      <c r="AW113" s="23">
        <f>EXP(-LN(2)/2)*AW112+(1-EXP(-LN(2)/2))/(LN(2)/2)*AQ113*AT113*VLOOKUP('Données projet'!$B$10,Paramètres!$A$1:$I$89,3,0)*0.475*44/12</f>
        <v>1.7580437096970754E-11</v>
      </c>
      <c r="AX113" s="23">
        <f t="shared" si="60"/>
        <v>2.2992058809214533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332</v>
      </c>
      <c r="BB113" s="13">
        <f>VLOOKUP(A113,'Données projet'!$A$87:$I$107,9,0)</f>
        <v>5</v>
      </c>
      <c r="BC113" s="13">
        <f t="array" ref="BC113">INDEX(BB:BB,MIN(IF(ISNUMBER(BB113:BB309),ROW(BB113:BB309),"")))</f>
        <v>5</v>
      </c>
      <c r="BD113" s="13">
        <f>IF('Données projet'!$A$88&gt;35,BD112+BC113-BL112,IF(A113&lt;'Données projet'!$A$88,$BA$205^A113,IF(A113='Données projet'!$A$88,'Données projet'!$B$88,BD112+BC113-BL112)))</f>
        <v>331.99999999999989</v>
      </c>
      <c r="BE113" s="14">
        <f>BD113*VLOOKUP('Données projet'!$B$11,Paramètres!$A$1:$I$89,3,0)*VLOOKUP('Données projet'!$B$11,Paramètres!$A$1:$I$89,5,0)</f>
        <v>300.39359999999988</v>
      </c>
      <c r="BF113" s="14">
        <f t="shared" si="91"/>
        <v>71.258970856492667</v>
      </c>
      <c r="BG113" s="22">
        <f t="shared" si="61"/>
        <v>647.29489424172459</v>
      </c>
      <c r="BH113" s="62">
        <f t="shared" si="62"/>
        <v>940.62822757505796</v>
      </c>
      <c r="BI113" s="62">
        <f ca="1">AVERAGE(OFFSET($BH$3,0,0,'Données projet'!$E$11+1,1))-AVERAGE(OFFSET($H$3,0,0,'Données projet'!$E$11+1,1))</f>
        <v>438.70522838726322</v>
      </c>
      <c r="BJ113" s="62">
        <f t="shared" si="92"/>
        <v>278.21741231699929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25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332</v>
      </c>
      <c r="BW113" s="13">
        <f>VLOOKUP(A113,'Données projet'!$A$113:$I$133,9,0)</f>
        <v>5</v>
      </c>
      <c r="BX113" s="13">
        <f t="array" ref="BX113">INDEX(BW:BW,MIN(IF(ISNUMBER(BW113:BW309),ROW(BW113:BW309),"")))</f>
        <v>5</v>
      </c>
      <c r="BY113" s="13">
        <f>IF('Données projet'!$A$114&gt;35,BY112+BX113-CG112,IF(A113&lt;'Données projet'!$A$114,$BV$205^A113,IF(A113='Données projet'!$A$114,'Données projet'!$B$114,BY112+BX113-CG112)))</f>
        <v>331.99999999999989</v>
      </c>
      <c r="BZ113" s="14">
        <f>BY113*VLOOKUP('Données projet'!$B$12,Paramètres!$A$1:$I$89,3,0)*VLOOKUP('Données projet'!$B$12,Paramètres!$A$1:$I$89,5,0)</f>
        <v>321.11039999999986</v>
      </c>
      <c r="CA113" s="14">
        <f t="shared" si="93"/>
        <v>75.584347378293316</v>
      </c>
      <c r="CB113" s="22">
        <f t="shared" si="64"/>
        <v>690.91001835052737</v>
      </c>
      <c r="CC113" s="62">
        <f t="shared" si="65"/>
        <v>984.24335168386074</v>
      </c>
      <c r="CD113" s="62">
        <f ca="1">AVERAGE(OFFSET($CC$3,0,0,'Données projet'!$E$12+1,1))-AVERAGE(OFFSET($H$3,0,0,'Données projet'!$E$12+1,1))</f>
        <v>466.10838191274445</v>
      </c>
      <c r="CE113" s="62">
        <f t="shared" si="94"/>
        <v>294.45557293177131</v>
      </c>
      <c r="CF113" s="16">
        <f>IF(ISNA(VLOOKUP(A113,'Données projet'!$A$113:$I$133,3,0)),0,VLOOKUP(A113,'Données projet'!$A$113:$I$133,3,0))</f>
        <v>19</v>
      </c>
      <c r="CG113" s="16">
        <f>IF(ISNA(VLOOKUP(A113,'Données projet'!$A$113:$I$133,4,0)),0,VLOOKUP(A113,'Données projet'!$A$113:$I$133,4,0))</f>
        <v>25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-3.4106051316484809E-13</v>
      </c>
      <c r="CU113" s="18">
        <f>CT113*VLOOKUP('Données projet'!$B$13,Paramètres!$A$1:$I$89,3,0)*VLOOKUP('Données projet'!$B$13,Paramètres!$A$1:$I$89,5,0)</f>
        <v>-2.5006556825246659E-13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376.5422416541544</v>
      </c>
      <c r="CZ113" s="62">
        <f t="shared" si="96"/>
        <v>365.76175372075869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-2.8421709430404007E-13</v>
      </c>
      <c r="DP113" s="18">
        <f>DO113*VLOOKUP('Données projet'!$B$14,Paramètres!$A$1:$I$89,3,0)*VLOOKUP('Données projet'!$B$14,Paramètres!$A$1:$I$89,5,0)</f>
        <v>-2.2612312022829427E-13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352.5736659365665</v>
      </c>
      <c r="DU113" s="62">
        <f t="shared" si="98"/>
        <v>343.77208530767069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2.2737367544323206E-13</v>
      </c>
      <c r="EK113" s="18">
        <f>EJ113*VLOOKUP('Données projet'!$B$15,Paramètres!$A$1:$I$89,3,0)*VLOOKUP('Données projet'!$B$15,Paramètres!$A$1:$I$89,5,0)</f>
        <v>2.0572770154103635E-13</v>
      </c>
      <c r="EL113" s="14">
        <f t="shared" si="99"/>
        <v>2.8416956338469711E-12</v>
      </c>
      <c r="EM113" s="22">
        <f t="shared" si="73"/>
        <v>5.3075956424674458E-12</v>
      </c>
      <c r="EN113" s="62">
        <f t="shared" si="74"/>
        <v>293.3333333333386</v>
      </c>
      <c r="EO113" s="62">
        <f ca="1">AVERAGE(OFFSET($EN$3,0,0,'Données projet'!$E$15+1,1))-AVERAGE(OFFSET($H$3,0,0,'Données projet'!$E$15+1,1))</f>
        <v>436.23918637269577</v>
      </c>
      <c r="EP113" s="62">
        <f t="shared" si="100"/>
        <v>611.43967996341894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0.96397896687174922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0.96397896687174922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1.9895196601282805E-13</v>
      </c>
      <c r="FF113" s="18">
        <f>FE113*VLOOKUP('Données projet'!$B$16,Paramètres!$A$1:$I$89,3,0)*VLOOKUP('Données projet'!$B$16,Paramètres!$A$1:$I$89,5,0)</f>
        <v>1.738044375088066E-13</v>
      </c>
      <c r="FG113" s="14">
        <f t="shared" si="101"/>
        <v>2.4483293633950478E-12</v>
      </c>
      <c r="FH113" s="22">
        <f t="shared" si="76"/>
        <v>4.566883036574213E-12</v>
      </c>
      <c r="FI113" s="62">
        <f t="shared" si="77"/>
        <v>293.33333333333786</v>
      </c>
      <c r="FJ113" s="62">
        <f ca="1">AVERAGE(OFFSET($FI$3,0,0,'Données projet'!$E$16+1,1))-AVERAGE(OFFSET($H$3,0,0,'Données projet'!$E$16+1,1))</f>
        <v>321.23599968992932</v>
      </c>
      <c r="FK113" s="62">
        <f t="shared" si="102"/>
        <v>388.05195847800502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6.3550942286383367E-14</v>
      </c>
      <c r="P114" s="14">
        <f t="shared" si="87"/>
        <v>1.0064464192543978E-12</v>
      </c>
      <c r="Q114" s="22">
        <f t="shared" si="107"/>
        <v>1.8635787380168604E-12</v>
      </c>
      <c r="R114" s="62">
        <f t="shared" si="55"/>
        <v>293.33333333333519</v>
      </c>
      <c r="S114" s="62">
        <f ca="1">AVERAGE(OFFSET($R$3,0,0,'Données projet'!$E$9+1,1))-AVERAGE(OFFSET($H$3,0,0,'Données projet'!$E$9+1,1))</f>
        <v>389.06620927245814</v>
      </c>
      <c r="T114" s="62">
        <f t="shared" si="88"/>
        <v>356.08144160383193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3.2820503620145214</v>
      </c>
      <c r="AB114" s="23">
        <f>EXP(-LN(2)/2)*AB113+(1-EXP(-LN(2)/2))/(LN(2)/2)*V114*Y114*VLOOKUP('Données projet'!$B$9,Paramètres!$A$1:$I$89,3,0)*0.475*44/12</f>
        <v>3.3328206321294865E-12</v>
      </c>
      <c r="AC114" s="24">
        <f t="shared" si="57"/>
        <v>3.2820503620178543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-3.1036506698001178E-14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293.73480285950245</v>
      </c>
      <c r="AO114" s="62">
        <f t="shared" si="90"/>
        <v>425.99823184414191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2.2363339751805738</v>
      </c>
      <c r="AW114" s="23">
        <f>EXP(-LN(2)/2)*AW113+(1-EXP(-LN(2)/2))/(LN(2)/2)*AQ114*AT114*VLOOKUP('Données projet'!$B$10,Paramètres!$A$1:$I$89,3,0)*0.475*44/12</f>
        <v>1.2431246287491562E-11</v>
      </c>
      <c r="AX114" s="23">
        <f t="shared" si="60"/>
        <v>2.2363339751930051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2.8</v>
      </c>
      <c r="BD114" s="13">
        <f>IF('Données projet'!$A$88&gt;35,BD113+BC114-BL113,IF(A114&lt;'Données projet'!$A$88,$BA$205^A114,IF(A114='Données projet'!$A$88,'Données projet'!$B$88,BD113+BC114-BL113)))</f>
        <v>309.7999999999999</v>
      </c>
      <c r="BE114" s="14">
        <f>BD114*VLOOKUP('Données projet'!$B$11,Paramètres!$A$1:$I$89,3,0)*VLOOKUP('Données projet'!$B$11,Paramètres!$A$1:$I$89,5,0)</f>
        <v>280.30703999999992</v>
      </c>
      <c r="BF114" s="14">
        <f t="shared" si="91"/>
        <v>67.03189112007388</v>
      </c>
      <c r="BG114" s="22">
        <f t="shared" si="61"/>
        <v>604.94863836746174</v>
      </c>
      <c r="BH114" s="62">
        <f t="shared" si="62"/>
        <v>898.28197170079511</v>
      </c>
      <c r="BI114" s="62">
        <f ca="1">AVERAGE(OFFSET($BH$3,0,0,'Données projet'!$E$11+1,1))-AVERAGE(OFFSET($H$3,0,0,'Données projet'!$E$11+1,1))</f>
        <v>438.70522838726322</v>
      </c>
      <c r="BJ114" s="62">
        <f t="shared" si="92"/>
        <v>278.21741231699929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2.8</v>
      </c>
      <c r="BY114" s="13">
        <f>IF('Données projet'!$A$114&gt;35,BY113+BX114-CG113,IF(A114&lt;'Données projet'!$A$114,$BV$205^A114,IF(A114='Données projet'!$A$114,'Données projet'!$B$114,BY113+BX114-CG113)))</f>
        <v>309.7999999999999</v>
      </c>
      <c r="BZ114" s="14">
        <f>BY114*VLOOKUP('Données projet'!$B$12,Paramètres!$A$1:$I$89,3,0)*VLOOKUP('Données projet'!$B$12,Paramètres!$A$1:$I$89,5,0)</f>
        <v>299.63855999999993</v>
      </c>
      <c r="CA114" s="14">
        <f t="shared" si="93"/>
        <v>71.100686453177502</v>
      </c>
      <c r="CB114" s="22">
        <f t="shared" si="64"/>
        <v>645.70418757261734</v>
      </c>
      <c r="CC114" s="62">
        <f t="shared" si="65"/>
        <v>939.03752090595071</v>
      </c>
      <c r="CD114" s="62">
        <f ca="1">AVERAGE(OFFSET($CC$3,0,0,'Données projet'!$E$12+1,1))-AVERAGE(OFFSET($H$3,0,0,'Données projet'!$E$12+1,1))</f>
        <v>466.10838191274445</v>
      </c>
      <c r="CE114" s="62">
        <f t="shared" si="94"/>
        <v>294.45557293177131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-3.4106051316484809E-13</v>
      </c>
      <c r="CU114" s="18">
        <f>CT114*VLOOKUP('Données projet'!$B$13,Paramètres!$A$1:$I$89,3,0)*VLOOKUP('Données projet'!$B$13,Paramètres!$A$1:$I$89,5,0)</f>
        <v>-2.5006556825246659E-13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376.5422416541544</v>
      </c>
      <c r="CZ114" s="62">
        <f t="shared" si="96"/>
        <v>365.76175372075869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-2.8421709430404007E-13</v>
      </c>
      <c r="DP114" s="18">
        <f>DO114*VLOOKUP('Données projet'!$B$14,Paramètres!$A$1:$I$89,3,0)*VLOOKUP('Données projet'!$B$14,Paramètres!$A$1:$I$89,5,0)</f>
        <v>-2.2612312022829427E-13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352.5736659365665</v>
      </c>
      <c r="DU114" s="62">
        <f t="shared" si="98"/>
        <v>343.77208530767069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2.2737367544323206E-13</v>
      </c>
      <c r="EK114" s="18">
        <f>EJ114*VLOOKUP('Données projet'!$B$15,Paramètres!$A$1:$I$89,3,0)*VLOOKUP('Données projet'!$B$15,Paramètres!$A$1:$I$89,5,0)</f>
        <v>2.0572770154103635E-13</v>
      </c>
      <c r="EL114" s="14">
        <f t="shared" si="99"/>
        <v>2.8416956338469711E-12</v>
      </c>
      <c r="EM114" s="22">
        <f t="shared" si="73"/>
        <v>5.3075956424674458E-12</v>
      </c>
      <c r="EN114" s="62">
        <f t="shared" si="74"/>
        <v>293.3333333333386</v>
      </c>
      <c r="EO114" s="62">
        <f ca="1">AVERAGE(OFFSET($EN$3,0,0,'Données projet'!$E$15+1,1))-AVERAGE(OFFSET($H$3,0,0,'Données projet'!$E$15+1,1))</f>
        <v>436.23918637269577</v>
      </c>
      <c r="EP114" s="62">
        <f t="shared" si="100"/>
        <v>611.43967996341894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0.94507592730050693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0.94507592730050693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1.9895196601282805E-13</v>
      </c>
      <c r="FF114" s="18">
        <f>FE114*VLOOKUP('Données projet'!$B$16,Paramètres!$A$1:$I$89,3,0)*VLOOKUP('Données projet'!$B$16,Paramètres!$A$1:$I$89,5,0)</f>
        <v>1.738044375088066E-13</v>
      </c>
      <c r="FG114" s="14">
        <f t="shared" si="101"/>
        <v>2.4483293633950478E-12</v>
      </c>
      <c r="FH114" s="22">
        <f t="shared" si="76"/>
        <v>4.566883036574213E-12</v>
      </c>
      <c r="FI114" s="62">
        <f t="shared" si="77"/>
        <v>293.33333333333786</v>
      </c>
      <c r="FJ114" s="62">
        <f ca="1">AVERAGE(OFFSET($FI$3,0,0,'Données projet'!$E$16+1,1))-AVERAGE(OFFSET($H$3,0,0,'Données projet'!$E$16+1,1))</f>
        <v>321.23599968992932</v>
      </c>
      <c r="FK114" s="62">
        <f t="shared" si="102"/>
        <v>388.05195847800502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6.3550942286383367E-14</v>
      </c>
      <c r="P115" s="14">
        <f t="shared" si="87"/>
        <v>1.0064464192543978E-12</v>
      </c>
      <c r="Q115" s="22">
        <f t="shared" si="107"/>
        <v>1.8635787380168604E-12</v>
      </c>
      <c r="R115" s="62">
        <f t="shared" si="55"/>
        <v>293.33333333333519</v>
      </c>
      <c r="S115" s="62">
        <f ca="1">AVERAGE(OFFSET($R$3,0,0,'Données projet'!$E$9+1,1))-AVERAGE(OFFSET($H$3,0,0,'Données projet'!$E$9+1,1))</f>
        <v>389.06620927245814</v>
      </c>
      <c r="T115" s="62">
        <f t="shared" si="88"/>
        <v>356.08144160383193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3.1923025222697068</v>
      </c>
      <c r="AB115" s="23">
        <f>EXP(-LN(2)/2)*AB114+(1-EXP(-LN(2)/2))/(LN(2)/2)*V115*Y115*VLOOKUP('Données projet'!$B$9,Paramètres!$A$1:$I$89,3,0)*0.475*44/12</f>
        <v>2.3566600694571958E-12</v>
      </c>
      <c r="AC115" s="24">
        <f t="shared" si="57"/>
        <v>3.1923025222720636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-3.1036506698001178E-14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293.73480285950245</v>
      </c>
      <c r="AO115" s="62">
        <f t="shared" si="90"/>
        <v>425.99823184414191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2.1751813050255686</v>
      </c>
      <c r="AW115" s="23">
        <f>EXP(-LN(2)/2)*AW114+(1-EXP(-LN(2)/2))/(LN(2)/2)*AQ115*AT115*VLOOKUP('Données projet'!$B$10,Paramètres!$A$1:$I$89,3,0)*0.475*44/12</f>
        <v>8.790218548485377E-12</v>
      </c>
      <c r="AX115" s="23">
        <f t="shared" si="60"/>
        <v>2.1751813050343589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2.8</v>
      </c>
      <c r="BD115" s="13">
        <f>IF('Données projet'!$A$88&gt;35,BD114+BC115-BL114,IF(A115&lt;'Données projet'!$A$88,$BA$205^A115,IF(A115='Données projet'!$A$88,'Données projet'!$B$88,BD114+BC115-BL114)))</f>
        <v>312.59999999999991</v>
      </c>
      <c r="BE115" s="14">
        <f>BD115*VLOOKUP('Données projet'!$B$11,Paramètres!$A$1:$I$89,3,0)*VLOOKUP('Données projet'!$B$11,Paramètres!$A$1:$I$89,5,0)</f>
        <v>282.8404799999999</v>
      </c>
      <c r="BF115" s="14">
        <f t="shared" si="91"/>
        <v>67.56693087921127</v>
      </c>
      <c r="BG115" s="22">
        <f t="shared" si="61"/>
        <v>610.29290728129274</v>
      </c>
      <c r="BH115" s="62">
        <f t="shared" si="62"/>
        <v>903.62624061462611</v>
      </c>
      <c r="BI115" s="62">
        <f ca="1">AVERAGE(OFFSET($BH$3,0,0,'Données projet'!$E$11+1,1))-AVERAGE(OFFSET($H$3,0,0,'Données projet'!$E$11+1,1))</f>
        <v>438.70522838726322</v>
      </c>
      <c r="BJ115" s="62">
        <f t="shared" si="92"/>
        <v>278.21741231699929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2.8</v>
      </c>
      <c r="BY115" s="13">
        <f>IF('Données projet'!$A$114&gt;35,BY114+BX115-CG114,IF(A115&lt;'Données projet'!$A$114,$BV$205^A115,IF(A115='Données projet'!$A$114,'Données projet'!$B$114,BY114+BX115-CG114)))</f>
        <v>312.59999999999991</v>
      </c>
      <c r="BZ115" s="14">
        <f>BY115*VLOOKUP('Données projet'!$B$12,Paramètres!$A$1:$I$89,3,0)*VLOOKUP('Données projet'!$B$12,Paramètres!$A$1:$I$89,5,0)</f>
        <v>302.34671999999995</v>
      </c>
      <c r="CA115" s="14">
        <f t="shared" si="93"/>
        <v>71.668202802764995</v>
      </c>
      <c r="CB115" s="22">
        <f t="shared" si="64"/>
        <v>651.40932388148224</v>
      </c>
      <c r="CC115" s="62">
        <f t="shared" si="65"/>
        <v>944.74265721481561</v>
      </c>
      <c r="CD115" s="62">
        <f ca="1">AVERAGE(OFFSET($CC$3,0,0,'Données projet'!$E$12+1,1))-AVERAGE(OFFSET($H$3,0,0,'Données projet'!$E$12+1,1))</f>
        <v>466.10838191274445</v>
      </c>
      <c r="CE115" s="62">
        <f t="shared" si="94"/>
        <v>294.45557293177131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-3.4106051316484809E-13</v>
      </c>
      <c r="CU115" s="18">
        <f>CT115*VLOOKUP('Données projet'!$B$13,Paramètres!$A$1:$I$89,3,0)*VLOOKUP('Données projet'!$B$13,Paramètres!$A$1:$I$89,5,0)</f>
        <v>-2.5006556825246659E-13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376.5422416541544</v>
      </c>
      <c r="CZ115" s="62">
        <f t="shared" si="96"/>
        <v>365.76175372075869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-2.8421709430404007E-13</v>
      </c>
      <c r="DP115" s="18">
        <f>DO115*VLOOKUP('Données projet'!$B$14,Paramètres!$A$1:$I$89,3,0)*VLOOKUP('Données projet'!$B$14,Paramètres!$A$1:$I$89,5,0)</f>
        <v>-2.2612312022829427E-13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352.5736659365665</v>
      </c>
      <c r="DU115" s="62">
        <f t="shared" si="98"/>
        <v>343.77208530767069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2.2737367544323206E-13</v>
      </c>
      <c r="EK115" s="18">
        <f>EJ115*VLOOKUP('Données projet'!$B$15,Paramètres!$A$1:$I$89,3,0)*VLOOKUP('Données projet'!$B$15,Paramètres!$A$1:$I$89,5,0)</f>
        <v>2.0572770154103635E-13</v>
      </c>
      <c r="EL115" s="14">
        <f t="shared" si="99"/>
        <v>2.8416956338469711E-12</v>
      </c>
      <c r="EM115" s="22">
        <f t="shared" si="73"/>
        <v>5.3075956424674458E-12</v>
      </c>
      <c r="EN115" s="62">
        <f t="shared" si="74"/>
        <v>293.3333333333386</v>
      </c>
      <c r="EO115" s="62">
        <f ca="1">AVERAGE(OFFSET($EN$3,0,0,'Données projet'!$E$15+1,1))-AVERAGE(OFFSET($H$3,0,0,'Données projet'!$E$15+1,1))</f>
        <v>436.23918637269577</v>
      </c>
      <c r="EP115" s="62">
        <f t="shared" si="100"/>
        <v>611.43967996341894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0.92654356480554101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0.92654356480554101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1.9895196601282805E-13</v>
      </c>
      <c r="FF115" s="18">
        <f>FE115*VLOOKUP('Données projet'!$B$16,Paramètres!$A$1:$I$89,3,0)*VLOOKUP('Données projet'!$B$16,Paramètres!$A$1:$I$89,5,0)</f>
        <v>1.738044375088066E-13</v>
      </c>
      <c r="FG115" s="14">
        <f t="shared" si="101"/>
        <v>2.4483293633950478E-12</v>
      </c>
      <c r="FH115" s="22">
        <f t="shared" si="76"/>
        <v>4.566883036574213E-12</v>
      </c>
      <c r="FI115" s="62">
        <f t="shared" si="77"/>
        <v>293.33333333333786</v>
      </c>
      <c r="FJ115" s="62">
        <f ca="1">AVERAGE(OFFSET($FI$3,0,0,'Données projet'!$E$16+1,1))-AVERAGE(OFFSET($H$3,0,0,'Données projet'!$E$16+1,1))</f>
        <v>321.23599968992932</v>
      </c>
      <c r="FK115" s="62">
        <f t="shared" si="102"/>
        <v>388.05195847800502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6.3550942286383367E-14</v>
      </c>
      <c r="P116" s="14">
        <f t="shared" si="87"/>
        <v>1.0064464192543978E-12</v>
      </c>
      <c r="Q116" s="22">
        <f t="shared" si="107"/>
        <v>1.8635787380168604E-12</v>
      </c>
      <c r="R116" s="62">
        <f t="shared" si="55"/>
        <v>293.33333333333519</v>
      </c>
      <c r="S116" s="62">
        <f ca="1">AVERAGE(OFFSET($R$3,0,0,'Données projet'!$E$9+1,1))-AVERAGE(OFFSET($H$3,0,0,'Données projet'!$E$9+1,1))</f>
        <v>389.06620927245814</v>
      </c>
      <c r="T116" s="62">
        <f t="shared" si="88"/>
        <v>356.08144160383193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3.1050088419223481</v>
      </c>
      <c r="AB116" s="23">
        <f>EXP(-LN(2)/2)*AB115+(1-EXP(-LN(2)/2))/(LN(2)/2)*V116*Y116*VLOOKUP('Données projet'!$B$9,Paramètres!$A$1:$I$89,3,0)*0.475*44/12</f>
        <v>1.6664103160647433E-12</v>
      </c>
      <c r="AC116" s="24">
        <f t="shared" si="57"/>
        <v>3.1050088419240143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-3.1036506698001178E-14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293.73480285950245</v>
      </c>
      <c r="AO116" s="62">
        <f t="shared" si="90"/>
        <v>425.99823184414191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2.1157008578518313</v>
      </c>
      <c r="AW116" s="23">
        <f>EXP(-LN(2)/2)*AW115+(1-EXP(-LN(2)/2))/(LN(2)/2)*AQ116*AT116*VLOOKUP('Données projet'!$B$10,Paramètres!$A$1:$I$89,3,0)*0.475*44/12</f>
        <v>6.215623143745781E-12</v>
      </c>
      <c r="AX116" s="23">
        <f t="shared" si="60"/>
        <v>2.1157008578580467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2.8</v>
      </c>
      <c r="BD116" s="13">
        <f>IF('Données projet'!$A$88&gt;35,BD115+BC116-BL115,IF(A116&lt;'Données projet'!$A$88,$BA$205^A116,IF(A116='Données projet'!$A$88,'Données projet'!$B$88,BD115+BC116-BL115)))</f>
        <v>315.39999999999992</v>
      </c>
      <c r="BE116" s="14">
        <f>BD116*VLOOKUP('Données projet'!$B$11,Paramètres!$A$1:$I$89,3,0)*VLOOKUP('Données projet'!$B$11,Paramètres!$A$1:$I$89,5,0)</f>
        <v>285.37391999999988</v>
      </c>
      <c r="BF116" s="14">
        <f t="shared" si="91"/>
        <v>68.101413083167643</v>
      </c>
      <c r="BG116" s="22">
        <f t="shared" si="61"/>
        <v>615.63620511985016</v>
      </c>
      <c r="BH116" s="62">
        <f t="shared" si="62"/>
        <v>908.96953845318353</v>
      </c>
      <c r="BI116" s="62">
        <f ca="1">AVERAGE(OFFSET($BH$3,0,0,'Données projet'!$E$11+1,1))-AVERAGE(OFFSET($H$3,0,0,'Données projet'!$E$11+1,1))</f>
        <v>438.70522838726322</v>
      </c>
      <c r="BJ116" s="62">
        <f t="shared" si="92"/>
        <v>278.21741231699929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2.8</v>
      </c>
      <c r="BY116" s="13">
        <f>IF('Données projet'!$A$114&gt;35,BY115+BX116-CG115,IF(A116&lt;'Données projet'!$A$114,$BV$205^A116,IF(A116='Données projet'!$A$114,'Données projet'!$B$114,BY115+BX116-CG115)))</f>
        <v>315.39999999999992</v>
      </c>
      <c r="BZ116" s="14">
        <f>BY116*VLOOKUP('Données projet'!$B$12,Paramètres!$A$1:$I$89,3,0)*VLOOKUP('Données projet'!$B$12,Paramètres!$A$1:$I$89,5,0)</f>
        <v>305.05487999999991</v>
      </c>
      <c r="CA116" s="14">
        <f t="shared" si="93"/>
        <v>72.235127753908458</v>
      </c>
      <c r="CB116" s="22">
        <f t="shared" si="64"/>
        <v>657.11343017139041</v>
      </c>
      <c r="CC116" s="62">
        <f t="shared" si="65"/>
        <v>950.44676350472378</v>
      </c>
      <c r="CD116" s="62">
        <f ca="1">AVERAGE(OFFSET($CC$3,0,0,'Données projet'!$E$12+1,1))-AVERAGE(OFFSET($H$3,0,0,'Données projet'!$E$12+1,1))</f>
        <v>466.10838191274445</v>
      </c>
      <c r="CE116" s="62">
        <f t="shared" si="94"/>
        <v>294.45557293177131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-3.4106051316484809E-13</v>
      </c>
      <c r="CU116" s="18">
        <f>CT116*VLOOKUP('Données projet'!$B$13,Paramètres!$A$1:$I$89,3,0)*VLOOKUP('Données projet'!$B$13,Paramètres!$A$1:$I$89,5,0)</f>
        <v>-2.5006556825246659E-13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376.5422416541544</v>
      </c>
      <c r="CZ116" s="62">
        <f t="shared" si="96"/>
        <v>365.76175372075869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-2.8421709430404007E-13</v>
      </c>
      <c r="DP116" s="18">
        <f>DO116*VLOOKUP('Données projet'!$B$14,Paramètres!$A$1:$I$89,3,0)*VLOOKUP('Données projet'!$B$14,Paramètres!$A$1:$I$89,5,0)</f>
        <v>-2.2612312022829427E-13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352.5736659365665</v>
      </c>
      <c r="DU116" s="62">
        <f t="shared" si="98"/>
        <v>343.77208530767069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2.2737367544323206E-13</v>
      </c>
      <c r="EK116" s="18">
        <f>EJ116*VLOOKUP('Données projet'!$B$15,Paramètres!$A$1:$I$89,3,0)*VLOOKUP('Données projet'!$B$15,Paramètres!$A$1:$I$89,5,0)</f>
        <v>2.0572770154103635E-13</v>
      </c>
      <c r="EL116" s="14">
        <f t="shared" si="99"/>
        <v>2.8416956338469711E-12</v>
      </c>
      <c r="EM116" s="22">
        <f t="shared" si="73"/>
        <v>5.3075956424674458E-12</v>
      </c>
      <c r="EN116" s="62">
        <f t="shared" si="74"/>
        <v>293.3333333333386</v>
      </c>
      <c r="EO116" s="62">
        <f ca="1">AVERAGE(OFFSET($EN$3,0,0,'Données projet'!$E$15+1,1))-AVERAGE(OFFSET($H$3,0,0,'Données projet'!$E$15+1,1))</f>
        <v>436.23918637269577</v>
      </c>
      <c r="EP116" s="62">
        <f t="shared" si="100"/>
        <v>611.43967996341894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0.90837461063547631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0.90837461063547631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1.9895196601282805E-13</v>
      </c>
      <c r="FF116" s="18">
        <f>FE116*VLOOKUP('Données projet'!$B$16,Paramètres!$A$1:$I$89,3,0)*VLOOKUP('Données projet'!$B$16,Paramètres!$A$1:$I$89,5,0)</f>
        <v>1.738044375088066E-13</v>
      </c>
      <c r="FG116" s="14">
        <f t="shared" si="101"/>
        <v>2.4483293633950478E-12</v>
      </c>
      <c r="FH116" s="22">
        <f t="shared" si="76"/>
        <v>4.566883036574213E-12</v>
      </c>
      <c r="FI116" s="62">
        <f t="shared" si="77"/>
        <v>293.33333333333786</v>
      </c>
      <c r="FJ116" s="62">
        <f ca="1">AVERAGE(OFFSET($FI$3,0,0,'Données projet'!$E$16+1,1))-AVERAGE(OFFSET($H$3,0,0,'Données projet'!$E$16+1,1))</f>
        <v>321.23599968992932</v>
      </c>
      <c r="FK116" s="62">
        <f t="shared" si="102"/>
        <v>388.05195847800502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6.3550942286383367E-14</v>
      </c>
      <c r="P117" s="14">
        <f t="shared" si="87"/>
        <v>1.0064464192543978E-12</v>
      </c>
      <c r="Q117" s="22">
        <f t="shared" si="107"/>
        <v>1.8635787380168604E-12</v>
      </c>
      <c r="R117" s="62">
        <f t="shared" si="55"/>
        <v>293.33333333333519</v>
      </c>
      <c r="S117" s="62">
        <f ca="1">AVERAGE(OFFSET($R$3,0,0,'Données projet'!$E$9+1,1))-AVERAGE(OFFSET($H$3,0,0,'Données projet'!$E$9+1,1))</f>
        <v>389.06620927245814</v>
      </c>
      <c r="T117" s="62">
        <f t="shared" si="88"/>
        <v>356.08144160383193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3.0201022118546632</v>
      </c>
      <c r="AB117" s="23">
        <f>EXP(-LN(2)/2)*AB116+(1-EXP(-LN(2)/2))/(LN(2)/2)*V117*Y117*VLOOKUP('Données projet'!$B$9,Paramètres!$A$1:$I$89,3,0)*0.475*44/12</f>
        <v>1.1783300347285979E-12</v>
      </c>
      <c r="AC117" s="24">
        <f t="shared" si="57"/>
        <v>3.0201022118558414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-3.1036506698001178E-14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293.73480285950245</v>
      </c>
      <c r="AO117" s="62">
        <f t="shared" si="90"/>
        <v>425.99823184414191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2.0578469066340004</v>
      </c>
      <c r="AW117" s="23">
        <f>EXP(-LN(2)/2)*AW116+(1-EXP(-LN(2)/2))/(LN(2)/2)*AQ117*AT117*VLOOKUP('Données projet'!$B$10,Paramètres!$A$1:$I$89,3,0)*0.475*44/12</f>
        <v>4.3951092742426885E-12</v>
      </c>
      <c r="AX117" s="23">
        <f t="shared" si="60"/>
        <v>2.0578469066383955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2.8</v>
      </c>
      <c r="BD117" s="13">
        <f>IF('Données projet'!$A$88&gt;35,BD116+BC117-BL116,IF(A117&lt;'Données projet'!$A$88,$BA$205^A117,IF(A117='Données projet'!$A$88,'Données projet'!$B$88,BD116+BC117-BL116)))</f>
        <v>318.19999999999993</v>
      </c>
      <c r="BE117" s="14">
        <f>BD117*VLOOKUP('Données projet'!$B$11,Paramètres!$A$1:$I$89,3,0)*VLOOKUP('Données projet'!$B$11,Paramètres!$A$1:$I$89,5,0)</f>
        <v>287.90735999999993</v>
      </c>
      <c r="BF117" s="14">
        <f t="shared" si="91"/>
        <v>68.635343255147305</v>
      </c>
      <c r="BG117" s="22">
        <f t="shared" si="61"/>
        <v>620.97854150271473</v>
      </c>
      <c r="BH117" s="62">
        <f t="shared" si="62"/>
        <v>914.31187483604799</v>
      </c>
      <c r="BI117" s="62">
        <f ca="1">AVERAGE(OFFSET($BH$3,0,0,'Données projet'!$E$11+1,1))-AVERAGE(OFFSET($H$3,0,0,'Données projet'!$E$11+1,1))</f>
        <v>438.70522838726322</v>
      </c>
      <c r="BJ117" s="62">
        <f t="shared" si="92"/>
        <v>278.21741231699929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2.8</v>
      </c>
      <c r="BY117" s="13">
        <f>IF('Données projet'!$A$114&gt;35,BY116+BX117-CG116,IF(A117&lt;'Données projet'!$A$114,$BV$205^A117,IF(A117='Données projet'!$A$114,'Données projet'!$B$114,BY116+BX117-CG116)))</f>
        <v>318.19999999999993</v>
      </c>
      <c r="BZ117" s="14">
        <f>BY117*VLOOKUP('Données projet'!$B$12,Paramètres!$A$1:$I$89,3,0)*VLOOKUP('Données projet'!$B$12,Paramètres!$A$1:$I$89,5,0)</f>
        <v>307.76303999999993</v>
      </c>
      <c r="CA117" s="14">
        <f t="shared" si="93"/>
        <v>72.801467165067521</v>
      </c>
      <c r="CB117" s="22">
        <f t="shared" si="64"/>
        <v>662.81651664582569</v>
      </c>
      <c r="CC117" s="62">
        <f t="shared" si="65"/>
        <v>956.14984997915894</v>
      </c>
      <c r="CD117" s="62">
        <f ca="1">AVERAGE(OFFSET($CC$3,0,0,'Données projet'!$E$12+1,1))-AVERAGE(OFFSET($H$3,0,0,'Données projet'!$E$12+1,1))</f>
        <v>466.10838191274445</v>
      </c>
      <c r="CE117" s="62">
        <f t="shared" si="94"/>
        <v>294.45557293177131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-3.4106051316484809E-13</v>
      </c>
      <c r="CU117" s="18">
        <f>CT117*VLOOKUP('Données projet'!$B$13,Paramètres!$A$1:$I$89,3,0)*VLOOKUP('Données projet'!$B$13,Paramètres!$A$1:$I$89,5,0)</f>
        <v>-2.5006556825246659E-13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376.5422416541544</v>
      </c>
      <c r="CZ117" s="62">
        <f t="shared" si="96"/>
        <v>365.76175372075869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-2.8421709430404007E-13</v>
      </c>
      <c r="DP117" s="18">
        <f>DO117*VLOOKUP('Données projet'!$B$14,Paramètres!$A$1:$I$89,3,0)*VLOOKUP('Données projet'!$B$14,Paramètres!$A$1:$I$89,5,0)</f>
        <v>-2.2612312022829427E-13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352.5736659365665</v>
      </c>
      <c r="DU117" s="62">
        <f t="shared" si="98"/>
        <v>343.77208530767069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2.2737367544323206E-13</v>
      </c>
      <c r="EK117" s="18">
        <f>EJ117*VLOOKUP('Données projet'!$B$15,Paramètres!$A$1:$I$89,3,0)*VLOOKUP('Données projet'!$B$15,Paramètres!$A$1:$I$89,5,0)</f>
        <v>2.0572770154103635E-13</v>
      </c>
      <c r="EL117" s="14">
        <f t="shared" si="99"/>
        <v>2.8416956338469711E-12</v>
      </c>
      <c r="EM117" s="22">
        <f t="shared" si="73"/>
        <v>5.3075956424674458E-12</v>
      </c>
      <c r="EN117" s="62">
        <f t="shared" si="74"/>
        <v>293.3333333333386</v>
      </c>
      <c r="EO117" s="62">
        <f ca="1">AVERAGE(OFFSET($EN$3,0,0,'Données projet'!$E$15+1,1))-AVERAGE(OFFSET($H$3,0,0,'Données projet'!$E$15+1,1))</f>
        <v>436.23918637269577</v>
      </c>
      <c r="EP117" s="62">
        <f t="shared" si="100"/>
        <v>611.43967996341894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0.89056193857471888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0.89056193857471888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1.9895196601282805E-13</v>
      </c>
      <c r="FF117" s="18">
        <f>FE117*VLOOKUP('Données projet'!$B$16,Paramètres!$A$1:$I$89,3,0)*VLOOKUP('Données projet'!$B$16,Paramètres!$A$1:$I$89,5,0)</f>
        <v>1.738044375088066E-13</v>
      </c>
      <c r="FG117" s="14">
        <f t="shared" si="101"/>
        <v>2.4483293633950478E-12</v>
      </c>
      <c r="FH117" s="22">
        <f t="shared" si="76"/>
        <v>4.566883036574213E-12</v>
      </c>
      <c r="FI117" s="62">
        <f t="shared" si="77"/>
        <v>293.33333333333786</v>
      </c>
      <c r="FJ117" s="62">
        <f ca="1">AVERAGE(OFFSET($FI$3,0,0,'Données projet'!$E$16+1,1))-AVERAGE(OFFSET($H$3,0,0,'Données projet'!$E$16+1,1))</f>
        <v>321.23599968992932</v>
      </c>
      <c r="FK117" s="62">
        <f t="shared" si="102"/>
        <v>388.05195847800502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6.3550942286383367E-14</v>
      </c>
      <c r="P118" s="14">
        <f t="shared" si="87"/>
        <v>1.0064464192543978E-12</v>
      </c>
      <c r="Q118" s="22">
        <f t="shared" si="107"/>
        <v>1.8635787380168604E-12</v>
      </c>
      <c r="R118" s="62">
        <f t="shared" si="55"/>
        <v>293.33333333333519</v>
      </c>
      <c r="S118" s="62">
        <f ca="1">AVERAGE(OFFSET($R$3,0,0,'Données projet'!$E$9+1,1))-AVERAGE(OFFSET($H$3,0,0,'Données projet'!$E$9+1,1))</f>
        <v>389.06620927245814</v>
      </c>
      <c r="T118" s="62">
        <f t="shared" si="88"/>
        <v>356.08144160383193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2.9375173580512248</v>
      </c>
      <c r="AB118" s="23">
        <f>EXP(-LN(2)/2)*AB117+(1-EXP(-LN(2)/2))/(LN(2)/2)*V118*Y118*VLOOKUP('Données projet'!$B$9,Paramètres!$A$1:$I$89,3,0)*0.475*44/12</f>
        <v>8.3320515803237164E-13</v>
      </c>
      <c r="AC118" s="24">
        <f t="shared" si="57"/>
        <v>2.9375173580520579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-3.1036506698001178E-14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293.73480285950245</v>
      </c>
      <c r="AO118" s="62">
        <f t="shared" si="90"/>
        <v>425.99823184414191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2.0015749747546283</v>
      </c>
      <c r="AW118" s="23">
        <f>EXP(-LN(2)/2)*AW117+(1-EXP(-LN(2)/2))/(LN(2)/2)*AQ118*AT118*VLOOKUP('Données projet'!$B$10,Paramètres!$A$1:$I$89,3,0)*0.475*44/12</f>
        <v>3.1078115718728905E-12</v>
      </c>
      <c r="AX118" s="23">
        <f t="shared" si="60"/>
        <v>2.001574974757736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321</v>
      </c>
      <c r="BB118" s="13">
        <f>VLOOKUP(A118,'Données projet'!$A$87:$I$107,9,0)</f>
        <v>2.8</v>
      </c>
      <c r="BC118" s="13">
        <f t="array" ref="BC118">INDEX(BB:BB,MIN(IF(ISNUMBER(BB118:BB314),ROW(BB118:BB314),"")))</f>
        <v>2.8</v>
      </c>
      <c r="BD118" s="13">
        <f>IF('Données projet'!$A$88&gt;35,BD117+BC118-BL117,IF(A118&lt;'Données projet'!$A$88,$BA$205^A118,IF(A118='Données projet'!$A$88,'Données projet'!$B$88,BD117+BC118-BL117)))</f>
        <v>320.99999999999994</v>
      </c>
      <c r="BE118" s="14">
        <f>BD118*VLOOKUP('Données projet'!$B$11,Paramètres!$A$1:$I$89,3,0)*VLOOKUP('Données projet'!$B$11,Paramètres!$A$1:$I$89,5,0)</f>
        <v>290.44079999999991</v>
      </c>
      <c r="BF118" s="14">
        <f t="shared" si="91"/>
        <v>69.168726815543309</v>
      </c>
      <c r="BG118" s="22">
        <f t="shared" si="61"/>
        <v>626.31992587040452</v>
      </c>
      <c r="BH118" s="62">
        <f t="shared" si="62"/>
        <v>919.65325920373789</v>
      </c>
      <c r="BI118" s="62">
        <f ca="1">AVERAGE(OFFSET($BH$3,0,0,'Données projet'!$E$11+1,1))-AVERAGE(OFFSET($H$3,0,0,'Données projet'!$E$11+1,1))</f>
        <v>438.70522838726322</v>
      </c>
      <c r="BJ118" s="62">
        <f t="shared" si="92"/>
        <v>278.21741231699929</v>
      </c>
      <c r="BK118" s="16">
        <f>IF(ISNA(VLOOKUP(A118,'Données projet'!$A$87:$I$107,3,0)),0,VLOOKUP(A118,'Données projet'!$A$87:$I$107,3,0))</f>
        <v>20</v>
      </c>
      <c r="BL118" s="16">
        <f>IF(ISNA(VLOOKUP(A118,'Données projet'!$A$87:$I$107,4,0)),0,VLOOKUP(A118,'Données projet'!$A$87:$I$107,4,0))</f>
        <v>321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321</v>
      </c>
      <c r="BW118" s="13">
        <f>VLOOKUP(A118,'Données projet'!$A$113:$I$133,9,0)</f>
        <v>2.8</v>
      </c>
      <c r="BX118" s="13">
        <f t="array" ref="BX118">INDEX(BW:BW,MIN(IF(ISNUMBER(BW118:BW314),ROW(BW118:BW314),"")))</f>
        <v>2.8</v>
      </c>
      <c r="BY118" s="13">
        <f>IF('Données projet'!$A$114&gt;35,BY117+BX118-CG117,IF(A118&lt;'Données projet'!$A$114,$BV$205^A118,IF(A118='Données projet'!$A$114,'Données projet'!$B$114,BY117+BX118-CG117)))</f>
        <v>320.99999999999994</v>
      </c>
      <c r="BZ118" s="14">
        <f>BY118*VLOOKUP('Données projet'!$B$12,Paramètres!$A$1:$I$89,3,0)*VLOOKUP('Données projet'!$B$12,Paramètres!$A$1:$I$89,5,0)</f>
        <v>310.47119999999995</v>
      </c>
      <c r="CA118" s="14">
        <f t="shared" si="93"/>
        <v>73.367226785649649</v>
      </c>
      <c r="CB118" s="22">
        <f t="shared" si="64"/>
        <v>668.51859331833975</v>
      </c>
      <c r="CC118" s="62">
        <f t="shared" si="65"/>
        <v>961.85192665167301</v>
      </c>
      <c r="CD118" s="62">
        <f ca="1">AVERAGE(OFFSET($CC$3,0,0,'Données projet'!$E$12+1,1))-AVERAGE(OFFSET($H$3,0,0,'Données projet'!$E$12+1,1))</f>
        <v>466.10838191274445</v>
      </c>
      <c r="CE118" s="62">
        <f t="shared" si="94"/>
        <v>294.45557293177131</v>
      </c>
      <c r="CF118" s="16">
        <f>IF(ISNA(VLOOKUP(A118,'Données projet'!$A$113:$I$133,3,0)),0,VLOOKUP(A118,'Données projet'!$A$113:$I$133,3,0))</f>
        <v>20</v>
      </c>
      <c r="CG118" s="16">
        <f>IF(ISNA(VLOOKUP(A118,'Données projet'!$A$113:$I$133,4,0)),0,VLOOKUP(A118,'Données projet'!$A$113:$I$133,4,0))</f>
        <v>321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-3.4106051316484809E-13</v>
      </c>
      <c r="CU118" s="18">
        <f>CT118*VLOOKUP('Données projet'!$B$13,Paramètres!$A$1:$I$89,3,0)*VLOOKUP('Données projet'!$B$13,Paramètres!$A$1:$I$89,5,0)</f>
        <v>-2.5006556825246659E-13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376.5422416541544</v>
      </c>
      <c r="CZ118" s="62">
        <f t="shared" si="96"/>
        <v>365.76175372075869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-2.8421709430404007E-13</v>
      </c>
      <c r="DP118" s="18">
        <f>DO118*VLOOKUP('Données projet'!$B$14,Paramètres!$A$1:$I$89,3,0)*VLOOKUP('Données projet'!$B$14,Paramètres!$A$1:$I$89,5,0)</f>
        <v>-2.2612312022829427E-13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352.5736659365665</v>
      </c>
      <c r="DU118" s="62">
        <f t="shared" si="98"/>
        <v>343.77208530767069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2.2737367544323206E-13</v>
      </c>
      <c r="EK118" s="18">
        <f>EJ118*VLOOKUP('Données projet'!$B$15,Paramètres!$A$1:$I$89,3,0)*VLOOKUP('Données projet'!$B$15,Paramètres!$A$1:$I$89,5,0)</f>
        <v>2.0572770154103635E-13</v>
      </c>
      <c r="EL118" s="14">
        <f t="shared" si="99"/>
        <v>2.8416956338469711E-12</v>
      </c>
      <c r="EM118" s="22">
        <f t="shared" si="73"/>
        <v>5.3075956424674458E-12</v>
      </c>
      <c r="EN118" s="62">
        <f t="shared" si="74"/>
        <v>293.3333333333386</v>
      </c>
      <c r="EO118" s="62">
        <f ca="1">AVERAGE(OFFSET($EN$3,0,0,'Données projet'!$E$15+1,1))-AVERAGE(OFFSET($H$3,0,0,'Données projet'!$E$15+1,1))</f>
        <v>436.23918637269577</v>
      </c>
      <c r="EP118" s="62">
        <f t="shared" si="100"/>
        <v>611.43967996341894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0.87309856214841575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0.87309856214841575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1.9895196601282805E-13</v>
      </c>
      <c r="FF118" s="18">
        <f>FE118*VLOOKUP('Données projet'!$B$16,Paramètres!$A$1:$I$89,3,0)*VLOOKUP('Données projet'!$B$16,Paramètres!$A$1:$I$89,5,0)</f>
        <v>1.738044375088066E-13</v>
      </c>
      <c r="FG118" s="14">
        <f t="shared" si="101"/>
        <v>2.4483293633950478E-12</v>
      </c>
      <c r="FH118" s="22">
        <f t="shared" si="76"/>
        <v>4.566883036574213E-12</v>
      </c>
      <c r="FI118" s="62">
        <f t="shared" si="77"/>
        <v>293.33333333333786</v>
      </c>
      <c r="FJ118" s="62">
        <f ca="1">AVERAGE(OFFSET($FI$3,0,0,'Données projet'!$E$16+1,1))-AVERAGE(OFFSET($H$3,0,0,'Données projet'!$E$16+1,1))</f>
        <v>321.23599968992932</v>
      </c>
      <c r="FK118" s="62">
        <f t="shared" si="102"/>
        <v>388.05195847800502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6.3550942286383367E-14</v>
      </c>
      <c r="P119" s="14">
        <f t="shared" si="87"/>
        <v>1.0064464192543978E-12</v>
      </c>
      <c r="Q119" s="22">
        <f t="shared" si="107"/>
        <v>1.8635787380168604E-12</v>
      </c>
      <c r="R119" s="62">
        <f t="shared" si="55"/>
        <v>293.33333333333519</v>
      </c>
      <c r="S119" s="62">
        <f ca="1">AVERAGE(OFFSET($R$3,0,0,'Données projet'!$E$9+1,1))-AVERAGE(OFFSET($H$3,0,0,'Données projet'!$E$9+1,1))</f>
        <v>389.06620927245814</v>
      </c>
      <c r="T119" s="62">
        <f t="shared" si="88"/>
        <v>356.08144160383193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2.8571907914179899</v>
      </c>
      <c r="AB119" s="23">
        <f>EXP(-LN(2)/2)*AB118+(1-EXP(-LN(2)/2))/(LN(2)/2)*V119*Y119*VLOOKUP('Données projet'!$B$9,Paramètres!$A$1:$I$89,3,0)*0.475*44/12</f>
        <v>5.8916501736429895E-13</v>
      </c>
      <c r="AC119" s="24">
        <f t="shared" si="57"/>
        <v>2.8571907914185792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-3.1036506698001178E-14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293.73480285950245</v>
      </c>
      <c r="AO119" s="62">
        <f t="shared" si="90"/>
        <v>425.99823184414191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1.9468418018117097</v>
      </c>
      <c r="AW119" s="23">
        <f>EXP(-LN(2)/2)*AW118+(1-EXP(-LN(2)/2))/(LN(2)/2)*AQ119*AT119*VLOOKUP('Données projet'!$B$10,Paramètres!$A$1:$I$89,3,0)*0.475*44/12</f>
        <v>2.1975546371213443E-12</v>
      </c>
      <c r="AX119" s="23">
        <f t="shared" si="60"/>
        <v>1.9468418018139073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-5.1431925385259088E-14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438.70522838726322</v>
      </c>
      <c r="BJ119" s="62">
        <f t="shared" si="92"/>
        <v>278.21741231699929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-5.6843418860808015E-14</v>
      </c>
      <c r="BZ119" s="14">
        <f>BY119*VLOOKUP('Données projet'!$B$12,Paramètres!$A$1:$I$89,3,0)*VLOOKUP('Données projet'!$B$12,Paramètres!$A$1:$I$89,5,0)</f>
        <v>-5.4978954722173515E-14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466.10838191274445</v>
      </c>
      <c r="CE119" s="62">
        <f t="shared" si="94"/>
        <v>294.45557293177131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-3.4106051316484809E-13</v>
      </c>
      <c r="CU119" s="18">
        <f>CT119*VLOOKUP('Données projet'!$B$13,Paramètres!$A$1:$I$89,3,0)*VLOOKUP('Données projet'!$B$13,Paramètres!$A$1:$I$89,5,0)</f>
        <v>-2.5006556825246659E-13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376.5422416541544</v>
      </c>
      <c r="CZ119" s="62">
        <f t="shared" si="96"/>
        <v>365.76175372075869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-2.8421709430404007E-13</v>
      </c>
      <c r="DP119" s="18">
        <f>DO119*VLOOKUP('Données projet'!$B$14,Paramètres!$A$1:$I$89,3,0)*VLOOKUP('Données projet'!$B$14,Paramètres!$A$1:$I$89,5,0)</f>
        <v>-2.2612312022829427E-13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352.5736659365665</v>
      </c>
      <c r="DU119" s="62">
        <f t="shared" si="98"/>
        <v>343.77208530767069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2.2737367544323206E-13</v>
      </c>
      <c r="EK119" s="18">
        <f>EJ119*VLOOKUP('Données projet'!$B$15,Paramètres!$A$1:$I$89,3,0)*VLOOKUP('Données projet'!$B$15,Paramètres!$A$1:$I$89,5,0)</f>
        <v>2.0572770154103635E-13</v>
      </c>
      <c r="EL119" s="14">
        <f t="shared" si="99"/>
        <v>2.8416956338469711E-12</v>
      </c>
      <c r="EM119" s="22">
        <f t="shared" si="73"/>
        <v>5.3075956424674458E-12</v>
      </c>
      <c r="EN119" s="62">
        <f t="shared" si="74"/>
        <v>293.3333333333386</v>
      </c>
      <c r="EO119" s="62">
        <f ca="1">AVERAGE(OFFSET($EN$3,0,0,'Données projet'!$E$15+1,1))-AVERAGE(OFFSET($H$3,0,0,'Données projet'!$E$15+1,1))</f>
        <v>436.23918637269577</v>
      </c>
      <c r="EP119" s="62">
        <f t="shared" si="100"/>
        <v>611.43967996341894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0.85597763188222453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0.85597763188222453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1.9895196601282805E-13</v>
      </c>
      <c r="FF119" s="18">
        <f>FE119*VLOOKUP('Données projet'!$B$16,Paramètres!$A$1:$I$89,3,0)*VLOOKUP('Données projet'!$B$16,Paramètres!$A$1:$I$89,5,0)</f>
        <v>1.738044375088066E-13</v>
      </c>
      <c r="FG119" s="14">
        <f t="shared" si="101"/>
        <v>2.4483293633950478E-12</v>
      </c>
      <c r="FH119" s="22">
        <f t="shared" si="76"/>
        <v>4.566883036574213E-12</v>
      </c>
      <c r="FI119" s="62">
        <f t="shared" si="77"/>
        <v>293.33333333333786</v>
      </c>
      <c r="FJ119" s="62">
        <f ca="1">AVERAGE(OFFSET($FI$3,0,0,'Données projet'!$E$16+1,1))-AVERAGE(OFFSET($H$3,0,0,'Données projet'!$E$16+1,1))</f>
        <v>321.23599968992932</v>
      </c>
      <c r="FK119" s="62">
        <f t="shared" si="102"/>
        <v>388.05195847800502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6.3550942286383367E-14</v>
      </c>
      <c r="P120" s="14">
        <f t="shared" si="87"/>
        <v>1.0064464192543978E-12</v>
      </c>
      <c r="Q120" s="22">
        <f t="shared" si="107"/>
        <v>1.8635787380168604E-12</v>
      </c>
      <c r="R120" s="62">
        <f t="shared" si="55"/>
        <v>293.33333333333519</v>
      </c>
      <c r="S120" s="62">
        <f ca="1">AVERAGE(OFFSET($R$3,0,0,'Données projet'!$E$9+1,1))-AVERAGE(OFFSET($H$3,0,0,'Données projet'!$E$9+1,1))</f>
        <v>389.06620927245814</v>
      </c>
      <c r="T120" s="62">
        <f t="shared" si="88"/>
        <v>356.08144160383193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2.7790607589735314</v>
      </c>
      <c r="AB120" s="23">
        <f>EXP(-LN(2)/2)*AB119+(1-EXP(-LN(2)/2))/(LN(2)/2)*V120*Y120*VLOOKUP('Données projet'!$B$9,Paramètres!$A$1:$I$89,3,0)*0.475*44/12</f>
        <v>4.1660257901618582E-13</v>
      </c>
      <c r="AC120" s="24">
        <f t="shared" si="57"/>
        <v>2.779060758973948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-3.1036506698001178E-14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293.73480285950245</v>
      </c>
      <c r="AO120" s="62">
        <f t="shared" si="90"/>
        <v>425.99823184414191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1.8936053103612078</v>
      </c>
      <c r="AW120" s="23">
        <f>EXP(-LN(2)/2)*AW119+(1-EXP(-LN(2)/2))/(LN(2)/2)*AQ120*AT120*VLOOKUP('Données projet'!$B$10,Paramètres!$A$1:$I$89,3,0)*0.475*44/12</f>
        <v>1.5539057859364453E-12</v>
      </c>
      <c r="AX120" s="23">
        <f t="shared" si="60"/>
        <v>1.8936053103627617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-5.1431925385259088E-14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438.70522838726322</v>
      </c>
      <c r="BJ120" s="62">
        <f t="shared" si="92"/>
        <v>278.21741231699929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-5.6843418860808015E-14</v>
      </c>
      <c r="BZ120" s="14">
        <f>BY120*VLOOKUP('Données projet'!$B$12,Paramètres!$A$1:$I$89,3,0)*VLOOKUP('Données projet'!$B$12,Paramètres!$A$1:$I$89,5,0)</f>
        <v>-5.4978954722173515E-14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466.10838191274445</v>
      </c>
      <c r="CE120" s="62">
        <f t="shared" si="94"/>
        <v>294.45557293177131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-3.4106051316484809E-13</v>
      </c>
      <c r="CU120" s="18">
        <f>CT120*VLOOKUP('Données projet'!$B$13,Paramètres!$A$1:$I$89,3,0)*VLOOKUP('Données projet'!$B$13,Paramètres!$A$1:$I$89,5,0)</f>
        <v>-2.5006556825246659E-13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376.5422416541544</v>
      </c>
      <c r="CZ120" s="62">
        <f t="shared" si="96"/>
        <v>365.76175372075869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-2.8421709430404007E-13</v>
      </c>
      <c r="DP120" s="18">
        <f>DO120*VLOOKUP('Données projet'!$B$14,Paramètres!$A$1:$I$89,3,0)*VLOOKUP('Données projet'!$B$14,Paramètres!$A$1:$I$89,5,0)</f>
        <v>-2.2612312022829427E-13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352.5736659365665</v>
      </c>
      <c r="DU120" s="62">
        <f t="shared" si="98"/>
        <v>343.77208530767069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2.2737367544323206E-13</v>
      </c>
      <c r="EK120" s="18">
        <f>EJ120*VLOOKUP('Données projet'!$B$15,Paramètres!$A$1:$I$89,3,0)*VLOOKUP('Données projet'!$B$15,Paramètres!$A$1:$I$89,5,0)</f>
        <v>2.0572770154103635E-13</v>
      </c>
      <c r="EL120" s="14">
        <f t="shared" si="99"/>
        <v>2.8416956338469711E-12</v>
      </c>
      <c r="EM120" s="22">
        <f t="shared" si="73"/>
        <v>5.3075956424674458E-12</v>
      </c>
      <c r="EN120" s="62">
        <f t="shared" si="74"/>
        <v>293.3333333333386</v>
      </c>
      <c r="EO120" s="62">
        <f ca="1">AVERAGE(OFFSET($EN$3,0,0,'Données projet'!$E$15+1,1))-AVERAGE(OFFSET($H$3,0,0,'Données projet'!$E$15+1,1))</f>
        <v>436.23918637269577</v>
      </c>
      <c r="EP120" s="62">
        <f t="shared" si="100"/>
        <v>611.43967996341894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0.839192432615817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0.839192432615817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1.9895196601282805E-13</v>
      </c>
      <c r="FF120" s="18">
        <f>FE120*VLOOKUP('Données projet'!$B$16,Paramètres!$A$1:$I$89,3,0)*VLOOKUP('Données projet'!$B$16,Paramètres!$A$1:$I$89,5,0)</f>
        <v>1.738044375088066E-13</v>
      </c>
      <c r="FG120" s="14">
        <f t="shared" si="101"/>
        <v>2.4483293633950478E-12</v>
      </c>
      <c r="FH120" s="22">
        <f t="shared" si="76"/>
        <v>4.566883036574213E-12</v>
      </c>
      <c r="FI120" s="62">
        <f t="shared" si="77"/>
        <v>293.33333333333786</v>
      </c>
      <c r="FJ120" s="62">
        <f ca="1">AVERAGE(OFFSET($FI$3,0,0,'Données projet'!$E$16+1,1))-AVERAGE(OFFSET($H$3,0,0,'Données projet'!$E$16+1,1))</f>
        <v>321.23599968992932</v>
      </c>
      <c r="FK120" s="62">
        <f t="shared" si="102"/>
        <v>388.05195847800502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6.3550942286383367E-14</v>
      </c>
      <c r="P121" s="14">
        <f t="shared" si="87"/>
        <v>1.0064464192543978E-12</v>
      </c>
      <c r="Q121" s="22">
        <f t="shared" si="107"/>
        <v>1.8635787380168604E-12</v>
      </c>
      <c r="R121" s="62">
        <f t="shared" si="55"/>
        <v>293.33333333333519</v>
      </c>
      <c r="S121" s="62">
        <f ca="1">AVERAGE(OFFSET($R$3,0,0,'Données projet'!$E$9+1,1))-AVERAGE(OFFSET($H$3,0,0,'Données projet'!$E$9+1,1))</f>
        <v>389.06620927245814</v>
      </c>
      <c r="T121" s="62">
        <f t="shared" si="88"/>
        <v>356.08144160383193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2.7030671963749464</v>
      </c>
      <c r="AB121" s="23">
        <f>EXP(-LN(2)/2)*AB120+(1-EXP(-LN(2)/2))/(LN(2)/2)*V121*Y121*VLOOKUP('Données projet'!$B$9,Paramètres!$A$1:$I$89,3,0)*0.475*44/12</f>
        <v>2.9458250868214948E-13</v>
      </c>
      <c r="AC121" s="24">
        <f t="shared" si="57"/>
        <v>2.7030671963752408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-3.1036506698001178E-14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293.73480285950245</v>
      </c>
      <c r="AO121" s="62">
        <f t="shared" si="90"/>
        <v>425.99823184414191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1.8418245735690053</v>
      </c>
      <c r="AW121" s="23">
        <f>EXP(-LN(2)/2)*AW120+(1-EXP(-LN(2)/2))/(LN(2)/2)*AQ121*AT121*VLOOKUP('Données projet'!$B$10,Paramètres!$A$1:$I$89,3,0)*0.475*44/12</f>
        <v>1.0987773185606721E-12</v>
      </c>
      <c r="AX121" s="23">
        <f t="shared" si="60"/>
        <v>1.841824573570104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-5.1431925385259088E-14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438.70522838726322</v>
      </c>
      <c r="BJ121" s="62">
        <f t="shared" si="92"/>
        <v>278.21741231699929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-5.6843418860808015E-14</v>
      </c>
      <c r="BZ121" s="14">
        <f>BY121*VLOOKUP('Données projet'!$B$12,Paramètres!$A$1:$I$89,3,0)*VLOOKUP('Données projet'!$B$12,Paramètres!$A$1:$I$89,5,0)</f>
        <v>-5.4978954722173515E-14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466.10838191274445</v>
      </c>
      <c r="CE121" s="62">
        <f t="shared" si="94"/>
        <v>294.45557293177131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-3.4106051316484809E-13</v>
      </c>
      <c r="CU121" s="18">
        <f>CT121*VLOOKUP('Données projet'!$B$13,Paramètres!$A$1:$I$89,3,0)*VLOOKUP('Données projet'!$B$13,Paramètres!$A$1:$I$89,5,0)</f>
        <v>-2.5006556825246659E-13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376.5422416541544</v>
      </c>
      <c r="CZ121" s="62">
        <f t="shared" si="96"/>
        <v>365.76175372075869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-2.8421709430404007E-13</v>
      </c>
      <c r="DP121" s="18">
        <f>DO121*VLOOKUP('Données projet'!$B$14,Paramètres!$A$1:$I$89,3,0)*VLOOKUP('Données projet'!$B$14,Paramètres!$A$1:$I$89,5,0)</f>
        <v>-2.2612312022829427E-13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352.5736659365665</v>
      </c>
      <c r="DU121" s="62">
        <f t="shared" si="98"/>
        <v>343.77208530767069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2.2737367544323206E-13</v>
      </c>
      <c r="EK121" s="18">
        <f>EJ121*VLOOKUP('Données projet'!$B$15,Paramètres!$A$1:$I$89,3,0)*VLOOKUP('Données projet'!$B$15,Paramètres!$A$1:$I$89,5,0)</f>
        <v>2.0572770154103635E-13</v>
      </c>
      <c r="EL121" s="14">
        <f t="shared" si="99"/>
        <v>2.8416956338469711E-12</v>
      </c>
      <c r="EM121" s="22">
        <f t="shared" si="73"/>
        <v>5.3075956424674458E-12</v>
      </c>
      <c r="EN121" s="62">
        <f t="shared" si="74"/>
        <v>293.3333333333386</v>
      </c>
      <c r="EO121" s="62">
        <f ca="1">AVERAGE(OFFSET($EN$3,0,0,'Données projet'!$E$15+1,1))-AVERAGE(OFFSET($H$3,0,0,'Données projet'!$E$15+1,1))</f>
        <v>436.23918637269577</v>
      </c>
      <c r="EP121" s="62">
        <f t="shared" si="100"/>
        <v>611.43967996341894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0.82273638086906309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0.82273638086906309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1.9895196601282805E-13</v>
      </c>
      <c r="FF121" s="18">
        <f>FE121*VLOOKUP('Données projet'!$B$16,Paramètres!$A$1:$I$89,3,0)*VLOOKUP('Données projet'!$B$16,Paramètres!$A$1:$I$89,5,0)</f>
        <v>1.738044375088066E-13</v>
      </c>
      <c r="FG121" s="14">
        <f t="shared" si="101"/>
        <v>2.4483293633950478E-12</v>
      </c>
      <c r="FH121" s="22">
        <f t="shared" si="76"/>
        <v>4.566883036574213E-12</v>
      </c>
      <c r="FI121" s="62">
        <f t="shared" si="77"/>
        <v>293.33333333333786</v>
      </c>
      <c r="FJ121" s="62">
        <f ca="1">AVERAGE(OFFSET($FI$3,0,0,'Données projet'!$E$16+1,1))-AVERAGE(OFFSET($H$3,0,0,'Données projet'!$E$16+1,1))</f>
        <v>321.23599968992932</v>
      </c>
      <c r="FK121" s="62">
        <f t="shared" si="102"/>
        <v>388.05195847800502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6.3550942286383367E-14</v>
      </c>
      <c r="P122" s="14">
        <f t="shared" si="87"/>
        <v>1.0064464192543978E-12</v>
      </c>
      <c r="Q122" s="22">
        <f t="shared" si="107"/>
        <v>1.8635787380168604E-12</v>
      </c>
      <c r="R122" s="62">
        <f t="shared" si="55"/>
        <v>293.33333333333519</v>
      </c>
      <c r="S122" s="62">
        <f ca="1">AVERAGE(OFFSET($R$3,0,0,'Données projet'!$E$9+1,1))-AVERAGE(OFFSET($H$3,0,0,'Données projet'!$E$9+1,1))</f>
        <v>389.06620927245814</v>
      </c>
      <c r="T122" s="62">
        <f t="shared" si="88"/>
        <v>356.08144160383193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2.6291516817419476</v>
      </c>
      <c r="AB122" s="23">
        <f>EXP(-LN(2)/2)*AB121+(1-EXP(-LN(2)/2))/(LN(2)/2)*V122*Y122*VLOOKUP('Données projet'!$B$9,Paramètres!$A$1:$I$89,3,0)*0.475*44/12</f>
        <v>2.0830128950809291E-13</v>
      </c>
      <c r="AC122" s="24">
        <f t="shared" si="57"/>
        <v>2.6291516817421559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-3.1036506698001178E-14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293.73480285950245</v>
      </c>
      <c r="AO122" s="62">
        <f t="shared" si="90"/>
        <v>425.99823184414191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1.791459783747416</v>
      </c>
      <c r="AW122" s="23">
        <f>EXP(-LN(2)/2)*AW121+(1-EXP(-LN(2)/2))/(LN(2)/2)*AQ122*AT122*VLOOKUP('Données projet'!$B$10,Paramètres!$A$1:$I$89,3,0)*0.475*44/12</f>
        <v>7.7695289296822263E-13</v>
      </c>
      <c r="AX122" s="23">
        <f t="shared" si="60"/>
        <v>1.7914597837481929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-5.1431925385259088E-14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438.70522838726322</v>
      </c>
      <c r="BJ122" s="62">
        <f t="shared" si="92"/>
        <v>278.21741231699929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-5.6843418860808015E-14</v>
      </c>
      <c r="BZ122" s="14">
        <f>BY122*VLOOKUP('Données projet'!$B$12,Paramètres!$A$1:$I$89,3,0)*VLOOKUP('Données projet'!$B$12,Paramètres!$A$1:$I$89,5,0)</f>
        <v>-5.4978954722173515E-14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466.10838191274445</v>
      </c>
      <c r="CE122" s="62">
        <f t="shared" si="94"/>
        <v>294.45557293177131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-3.4106051316484809E-13</v>
      </c>
      <c r="CU122" s="18">
        <f>CT122*VLOOKUP('Données projet'!$B$13,Paramètres!$A$1:$I$89,3,0)*VLOOKUP('Données projet'!$B$13,Paramètres!$A$1:$I$89,5,0)</f>
        <v>-2.5006556825246659E-13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376.5422416541544</v>
      </c>
      <c r="CZ122" s="62">
        <f t="shared" si="96"/>
        <v>365.76175372075869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-2.8421709430404007E-13</v>
      </c>
      <c r="DP122" s="18">
        <f>DO122*VLOOKUP('Données projet'!$B$14,Paramètres!$A$1:$I$89,3,0)*VLOOKUP('Données projet'!$B$14,Paramètres!$A$1:$I$89,5,0)</f>
        <v>-2.2612312022829427E-13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352.5736659365665</v>
      </c>
      <c r="DU122" s="62">
        <f t="shared" si="98"/>
        <v>343.77208530767069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2.2737367544323206E-13</v>
      </c>
      <c r="EK122" s="18">
        <f>EJ122*VLOOKUP('Données projet'!$B$15,Paramètres!$A$1:$I$89,3,0)*VLOOKUP('Données projet'!$B$15,Paramètres!$A$1:$I$89,5,0)</f>
        <v>2.0572770154103635E-13</v>
      </c>
      <c r="EL122" s="14">
        <f t="shared" si="99"/>
        <v>2.8416956338469711E-12</v>
      </c>
      <c r="EM122" s="22">
        <f t="shared" si="73"/>
        <v>5.3075956424674458E-12</v>
      </c>
      <c r="EN122" s="62">
        <f t="shared" si="74"/>
        <v>293.3333333333386</v>
      </c>
      <c r="EO122" s="62">
        <f ca="1">AVERAGE(OFFSET($EN$3,0,0,'Données projet'!$E$15+1,1))-AVERAGE(OFFSET($H$3,0,0,'Données projet'!$E$15+1,1))</f>
        <v>436.23918637269577</v>
      </c>
      <c r="EP122" s="62">
        <f t="shared" si="100"/>
        <v>611.43967996341894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0.80660302225986247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0.80660302225986247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1.9895196601282805E-13</v>
      </c>
      <c r="FF122" s="18">
        <f>FE122*VLOOKUP('Données projet'!$B$16,Paramètres!$A$1:$I$89,3,0)*VLOOKUP('Données projet'!$B$16,Paramètres!$A$1:$I$89,5,0)</f>
        <v>1.738044375088066E-13</v>
      </c>
      <c r="FG122" s="14">
        <f t="shared" si="101"/>
        <v>2.4483293633950478E-12</v>
      </c>
      <c r="FH122" s="22">
        <f t="shared" si="76"/>
        <v>4.566883036574213E-12</v>
      </c>
      <c r="FI122" s="62">
        <f t="shared" si="77"/>
        <v>293.33333333333786</v>
      </c>
      <c r="FJ122" s="62">
        <f ca="1">AVERAGE(OFFSET($FI$3,0,0,'Données projet'!$E$16+1,1))-AVERAGE(OFFSET($H$3,0,0,'Données projet'!$E$16+1,1))</f>
        <v>321.23599968992932</v>
      </c>
      <c r="FK122" s="62">
        <f t="shared" si="102"/>
        <v>388.05195847800502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6.3550942286383367E-14</v>
      </c>
      <c r="P123" s="14">
        <f t="shared" si="87"/>
        <v>1.0064464192543978E-12</v>
      </c>
      <c r="Q123" s="22">
        <f t="shared" si="107"/>
        <v>1.8635787380168604E-12</v>
      </c>
      <c r="R123" s="62">
        <f t="shared" si="55"/>
        <v>293.33333333333519</v>
      </c>
      <c r="S123" s="62">
        <f ca="1">AVERAGE(OFFSET($R$3,0,0,'Données projet'!$E$9+1,1))-AVERAGE(OFFSET($H$3,0,0,'Données projet'!$E$9+1,1))</f>
        <v>389.06620927245814</v>
      </c>
      <c r="T123" s="62">
        <f t="shared" si="88"/>
        <v>356.08144160383193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2.557257390743636</v>
      </c>
      <c r="AB123" s="23">
        <f>EXP(-LN(2)/2)*AB122+(1-EXP(-LN(2)/2))/(LN(2)/2)*V123*Y123*VLOOKUP('Données projet'!$B$9,Paramètres!$A$1:$I$89,3,0)*0.475*44/12</f>
        <v>1.4729125434107474E-13</v>
      </c>
      <c r="AC123" s="24">
        <f t="shared" si="57"/>
        <v>2.5572573907437834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-3.1036506698001178E-14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293.73480285950245</v>
      </c>
      <c r="AO123" s="62">
        <f t="shared" si="90"/>
        <v>425.99823184414191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1.7424722217520674</v>
      </c>
      <c r="AW123" s="23">
        <f>EXP(-LN(2)/2)*AW122+(1-EXP(-LN(2)/2))/(LN(2)/2)*AQ123*AT123*VLOOKUP('Données projet'!$B$10,Paramètres!$A$1:$I$89,3,0)*0.475*44/12</f>
        <v>5.4938865928033606E-13</v>
      </c>
      <c r="AX123" s="23">
        <f t="shared" si="60"/>
        <v>1.7424722217526167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-5.1431925385259088E-14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438.70522838726322</v>
      </c>
      <c r="BJ123" s="62">
        <f t="shared" si="92"/>
        <v>278.21741231699929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-5.6843418860808015E-14</v>
      </c>
      <c r="BZ123" s="14">
        <f>BY123*VLOOKUP('Données projet'!$B$12,Paramètres!$A$1:$I$89,3,0)*VLOOKUP('Données projet'!$B$12,Paramètres!$A$1:$I$89,5,0)</f>
        <v>-5.4978954722173515E-14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466.10838191274445</v>
      </c>
      <c r="CE123" s="62">
        <f t="shared" si="94"/>
        <v>294.45557293177131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-3.4106051316484809E-13</v>
      </c>
      <c r="CU123" s="18">
        <f>CT123*VLOOKUP('Données projet'!$B$13,Paramètres!$A$1:$I$89,3,0)*VLOOKUP('Données projet'!$B$13,Paramètres!$A$1:$I$89,5,0)</f>
        <v>-2.5006556825246659E-13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376.5422416541544</v>
      </c>
      <c r="CZ123" s="62">
        <f t="shared" si="96"/>
        <v>365.76175372075869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-2.8421709430404007E-13</v>
      </c>
      <c r="DP123" s="18">
        <f>DO123*VLOOKUP('Données projet'!$B$14,Paramètres!$A$1:$I$89,3,0)*VLOOKUP('Données projet'!$B$14,Paramètres!$A$1:$I$89,5,0)</f>
        <v>-2.2612312022829427E-13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352.5736659365665</v>
      </c>
      <c r="DU123" s="62">
        <f t="shared" si="98"/>
        <v>343.77208530767069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2.2737367544323206E-13</v>
      </c>
      <c r="EK123" s="18">
        <f>EJ123*VLOOKUP('Données projet'!$B$15,Paramètres!$A$1:$I$89,3,0)*VLOOKUP('Données projet'!$B$15,Paramètres!$A$1:$I$89,5,0)</f>
        <v>2.0572770154103635E-13</v>
      </c>
      <c r="EL123" s="14">
        <f t="shared" si="99"/>
        <v>2.8416956338469711E-12</v>
      </c>
      <c r="EM123" s="22">
        <f t="shared" si="73"/>
        <v>5.3075956424674458E-12</v>
      </c>
      <c r="EN123" s="62">
        <f t="shared" si="74"/>
        <v>293.3333333333386</v>
      </c>
      <c r="EO123" s="62">
        <f ca="1">AVERAGE(OFFSET($EN$3,0,0,'Données projet'!$E$15+1,1))-AVERAGE(OFFSET($H$3,0,0,'Données projet'!$E$15+1,1))</f>
        <v>436.23918637269577</v>
      </c>
      <c r="EP123" s="62">
        <f t="shared" si="100"/>
        <v>611.43967996341894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0.79078602897261119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0.79078602897261119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1.9895196601282805E-13</v>
      </c>
      <c r="FF123" s="18">
        <f>FE123*VLOOKUP('Données projet'!$B$16,Paramètres!$A$1:$I$89,3,0)*VLOOKUP('Données projet'!$B$16,Paramètres!$A$1:$I$89,5,0)</f>
        <v>1.738044375088066E-13</v>
      </c>
      <c r="FG123" s="14">
        <f t="shared" si="101"/>
        <v>2.4483293633950478E-12</v>
      </c>
      <c r="FH123" s="22">
        <f t="shared" si="76"/>
        <v>4.566883036574213E-12</v>
      </c>
      <c r="FI123" s="62">
        <f t="shared" si="77"/>
        <v>293.33333333333786</v>
      </c>
      <c r="FJ123" s="62">
        <f ca="1">AVERAGE(OFFSET($FI$3,0,0,'Données projet'!$E$16+1,1))-AVERAGE(OFFSET($H$3,0,0,'Données projet'!$E$16+1,1))</f>
        <v>321.23599968992932</v>
      </c>
      <c r="FK123" s="62">
        <f t="shared" si="102"/>
        <v>388.05195847800502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6.3550942286383367E-14</v>
      </c>
      <c r="P124" s="14">
        <f t="shared" si="87"/>
        <v>1.0064464192543978E-12</v>
      </c>
      <c r="Q124" s="22">
        <f t="shared" si="107"/>
        <v>1.8635787380168604E-12</v>
      </c>
      <c r="R124" s="62">
        <f t="shared" si="55"/>
        <v>293.33333333333519</v>
      </c>
      <c r="S124" s="62">
        <f ca="1">AVERAGE(OFFSET($R$3,0,0,'Données projet'!$E$9+1,1))-AVERAGE(OFFSET($H$3,0,0,'Données projet'!$E$9+1,1))</f>
        <v>389.06620927245814</v>
      </c>
      <c r="T124" s="62">
        <f t="shared" si="88"/>
        <v>356.08144160383193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2.48732905291343</v>
      </c>
      <c r="AB124" s="23">
        <f>EXP(-LN(2)/2)*AB123+(1-EXP(-LN(2)/2))/(LN(2)/2)*V124*Y124*VLOOKUP('Données projet'!$B$9,Paramètres!$A$1:$I$89,3,0)*0.475*44/12</f>
        <v>1.0415064475404645E-13</v>
      </c>
      <c r="AC124" s="24">
        <f t="shared" si="57"/>
        <v>2.4873290529135343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-3.1036506698001178E-14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293.73480285950245</v>
      </c>
      <c r="AO124" s="62">
        <f t="shared" si="90"/>
        <v>425.99823184414191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1.6948242272156255</v>
      </c>
      <c r="AW124" s="23">
        <f>EXP(-LN(2)/2)*AW123+(1-EXP(-LN(2)/2))/(LN(2)/2)*AQ124*AT124*VLOOKUP('Données projet'!$B$10,Paramètres!$A$1:$I$89,3,0)*0.475*44/12</f>
        <v>3.8847644648411131E-13</v>
      </c>
      <c r="AX124" s="23">
        <f t="shared" si="60"/>
        <v>1.6948242272160141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-5.1431925385259088E-14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438.70522838726322</v>
      </c>
      <c r="BJ124" s="62">
        <f t="shared" si="92"/>
        <v>278.21741231699929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-5.4978954722173515E-14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466.10838191274445</v>
      </c>
      <c r="CE124" s="62">
        <f t="shared" si="94"/>
        <v>294.45557293177131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-3.4106051316484809E-13</v>
      </c>
      <c r="CU124" s="18">
        <f>CT124*VLOOKUP('Données projet'!$B$13,Paramètres!$A$1:$I$89,3,0)*VLOOKUP('Données projet'!$B$13,Paramètres!$A$1:$I$89,5,0)</f>
        <v>-2.5006556825246659E-13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376.5422416541544</v>
      </c>
      <c r="CZ124" s="62">
        <f t="shared" si="96"/>
        <v>365.76175372075869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-2.8421709430404007E-13</v>
      </c>
      <c r="DP124" s="18">
        <f>DO124*VLOOKUP('Données projet'!$B$14,Paramètres!$A$1:$I$89,3,0)*VLOOKUP('Données projet'!$B$14,Paramètres!$A$1:$I$89,5,0)</f>
        <v>-2.2612312022829427E-13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352.5736659365665</v>
      </c>
      <c r="DU124" s="62">
        <f t="shared" si="98"/>
        <v>343.77208530767069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2.2737367544323206E-13</v>
      </c>
      <c r="EK124" s="18">
        <f>EJ124*VLOOKUP('Données projet'!$B$15,Paramètres!$A$1:$I$89,3,0)*VLOOKUP('Données projet'!$B$15,Paramètres!$A$1:$I$89,5,0)</f>
        <v>2.0572770154103635E-13</v>
      </c>
      <c r="EL124" s="14">
        <f t="shared" si="99"/>
        <v>2.8416956338469711E-12</v>
      </c>
      <c r="EM124" s="22">
        <f t="shared" si="73"/>
        <v>5.3075956424674458E-12</v>
      </c>
      <c r="EN124" s="62">
        <f t="shared" si="74"/>
        <v>293.3333333333386</v>
      </c>
      <c r="EO124" s="62">
        <f ca="1">AVERAGE(OFFSET($EN$3,0,0,'Données projet'!$E$15+1,1))-AVERAGE(OFFSET($H$3,0,0,'Données projet'!$E$15+1,1))</f>
        <v>436.23918637269577</v>
      </c>
      <c r="EP124" s="62">
        <f t="shared" si="100"/>
        <v>611.43967996341894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0.77527919727630967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0.77527919727630967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1.9895196601282805E-13</v>
      </c>
      <c r="FF124" s="18">
        <f>FE124*VLOOKUP('Données projet'!$B$16,Paramètres!$A$1:$I$89,3,0)*VLOOKUP('Données projet'!$B$16,Paramètres!$A$1:$I$89,5,0)</f>
        <v>1.738044375088066E-13</v>
      </c>
      <c r="FG124" s="14">
        <f t="shared" si="101"/>
        <v>2.4483293633950478E-12</v>
      </c>
      <c r="FH124" s="22">
        <f t="shared" si="76"/>
        <v>4.566883036574213E-12</v>
      </c>
      <c r="FI124" s="62">
        <f t="shared" si="77"/>
        <v>293.33333333333786</v>
      </c>
      <c r="FJ124" s="62">
        <f ca="1">AVERAGE(OFFSET($FI$3,0,0,'Données projet'!$E$16+1,1))-AVERAGE(OFFSET($H$3,0,0,'Données projet'!$E$16+1,1))</f>
        <v>321.23599968992932</v>
      </c>
      <c r="FK124" s="62">
        <f t="shared" si="102"/>
        <v>388.05195847800502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6.3550942286383367E-14</v>
      </c>
      <c r="P125" s="14">
        <f t="shared" si="87"/>
        <v>1.0064464192543978E-12</v>
      </c>
      <c r="Q125" s="22">
        <f t="shared" si="107"/>
        <v>1.8635787380168604E-12</v>
      </c>
      <c r="R125" s="62">
        <f t="shared" si="55"/>
        <v>293.33333333333519</v>
      </c>
      <c r="S125" s="62">
        <f ca="1">AVERAGE(OFFSET($R$3,0,0,'Données projet'!$E$9+1,1))-AVERAGE(OFFSET($H$3,0,0,'Données projet'!$E$9+1,1))</f>
        <v>389.06620927245814</v>
      </c>
      <c r="T125" s="62">
        <f t="shared" si="88"/>
        <v>356.08144160383193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2.4193129091585623</v>
      </c>
      <c r="AB125" s="23">
        <f>EXP(-LN(2)/2)*AB124+(1-EXP(-LN(2)/2))/(LN(2)/2)*V125*Y125*VLOOKUP('Données projet'!$B$9,Paramètres!$A$1:$I$89,3,0)*0.475*44/12</f>
        <v>7.3645627170537369E-14</v>
      </c>
      <c r="AC125" s="24">
        <f t="shared" si="57"/>
        <v>2.4193129091586361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-3.1036506698001178E-14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293.73480285950245</v>
      </c>
      <c r="AO125" s="62">
        <f t="shared" si="90"/>
        <v>425.99823184414191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1.6484791695954817</v>
      </c>
      <c r="AW125" s="23">
        <f>EXP(-LN(2)/2)*AW124+(1-EXP(-LN(2)/2))/(LN(2)/2)*AQ125*AT125*VLOOKUP('Données projet'!$B$10,Paramètres!$A$1:$I$89,3,0)*0.475*44/12</f>
        <v>2.7469432964016803E-13</v>
      </c>
      <c r="AX125" s="23">
        <f t="shared" si="60"/>
        <v>1.6484791695957564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-5.1431925385259088E-14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438.70522838726322</v>
      </c>
      <c r="BJ125" s="62">
        <f t="shared" si="92"/>
        <v>278.21741231699929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-5.4978954722173515E-14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466.10838191274445</v>
      </c>
      <c r="CE125" s="62">
        <f t="shared" si="94"/>
        <v>294.45557293177131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-3.4106051316484809E-13</v>
      </c>
      <c r="CU125" s="18">
        <f>CT125*VLOOKUP('Données projet'!$B$13,Paramètres!$A$1:$I$89,3,0)*VLOOKUP('Données projet'!$B$13,Paramètres!$A$1:$I$89,5,0)</f>
        <v>-2.5006556825246659E-13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376.5422416541544</v>
      </c>
      <c r="CZ125" s="62">
        <f t="shared" si="96"/>
        <v>365.76175372075869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-2.8421709430404007E-13</v>
      </c>
      <c r="DP125" s="18">
        <f>DO125*VLOOKUP('Données projet'!$B$14,Paramètres!$A$1:$I$89,3,0)*VLOOKUP('Données projet'!$B$14,Paramètres!$A$1:$I$89,5,0)</f>
        <v>-2.2612312022829427E-13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352.5736659365665</v>
      </c>
      <c r="DU125" s="62">
        <f t="shared" si="98"/>
        <v>343.77208530767069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2.2737367544323206E-13</v>
      </c>
      <c r="EK125" s="18">
        <f>EJ125*VLOOKUP('Données projet'!$B$15,Paramètres!$A$1:$I$89,3,0)*VLOOKUP('Données projet'!$B$15,Paramètres!$A$1:$I$89,5,0)</f>
        <v>2.0572770154103635E-13</v>
      </c>
      <c r="EL125" s="14">
        <f t="shared" si="99"/>
        <v>2.8416956338469711E-12</v>
      </c>
      <c r="EM125" s="22">
        <f t="shared" si="73"/>
        <v>5.3075956424674458E-12</v>
      </c>
      <c r="EN125" s="62">
        <f t="shared" si="74"/>
        <v>293.3333333333386</v>
      </c>
      <c r="EO125" s="62">
        <f ca="1">AVERAGE(OFFSET($EN$3,0,0,'Données projet'!$E$15+1,1))-AVERAGE(OFFSET($H$3,0,0,'Données projet'!$E$15+1,1))</f>
        <v>436.23918637269577</v>
      </c>
      <c r="EP125" s="62">
        <f t="shared" si="100"/>
        <v>611.43967996341894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0.7600764450913392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0.7600764450913392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1.9895196601282805E-13</v>
      </c>
      <c r="FF125" s="18">
        <f>FE125*VLOOKUP('Données projet'!$B$16,Paramètres!$A$1:$I$89,3,0)*VLOOKUP('Données projet'!$B$16,Paramètres!$A$1:$I$89,5,0)</f>
        <v>1.738044375088066E-13</v>
      </c>
      <c r="FG125" s="14">
        <f t="shared" si="101"/>
        <v>2.4483293633950478E-12</v>
      </c>
      <c r="FH125" s="22">
        <f t="shared" si="76"/>
        <v>4.566883036574213E-12</v>
      </c>
      <c r="FI125" s="62">
        <f t="shared" si="77"/>
        <v>293.33333333333786</v>
      </c>
      <c r="FJ125" s="62">
        <f ca="1">AVERAGE(OFFSET($FI$3,0,0,'Données projet'!$E$16+1,1))-AVERAGE(OFFSET($H$3,0,0,'Données projet'!$E$16+1,1))</f>
        <v>321.23599968992932</v>
      </c>
      <c r="FK125" s="62">
        <f t="shared" si="102"/>
        <v>388.05195847800502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6.3550942286383367E-14</v>
      </c>
      <c r="P126" s="14">
        <f t="shared" si="87"/>
        <v>1.0064464192543978E-12</v>
      </c>
      <c r="Q126" s="22">
        <f t="shared" si="107"/>
        <v>1.8635787380168604E-12</v>
      </c>
      <c r="R126" s="62">
        <f t="shared" si="55"/>
        <v>293.33333333333519</v>
      </c>
      <c r="S126" s="62">
        <f ca="1">AVERAGE(OFFSET($R$3,0,0,'Données projet'!$E$9+1,1))-AVERAGE(OFFSET($H$3,0,0,'Données projet'!$E$9+1,1))</f>
        <v>389.06620927245814</v>
      </c>
      <c r="T126" s="62">
        <f t="shared" si="88"/>
        <v>356.08144160383193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2.3531566704314848</v>
      </c>
      <c r="AB126" s="23">
        <f>EXP(-LN(2)/2)*AB125+(1-EXP(-LN(2)/2))/(LN(2)/2)*V126*Y126*VLOOKUP('Données projet'!$B$9,Paramètres!$A$1:$I$89,3,0)*0.475*44/12</f>
        <v>5.2075322377023227E-14</v>
      </c>
      <c r="AC126" s="24">
        <f t="shared" si="57"/>
        <v>2.3531566704315368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-3.1036506698001178E-14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293.73480285950245</v>
      </c>
      <c r="AO126" s="62">
        <f t="shared" si="90"/>
        <v>425.99823184414191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1.6034014200131415</v>
      </c>
      <c r="AW126" s="23">
        <f>EXP(-LN(2)/2)*AW125+(1-EXP(-LN(2)/2))/(LN(2)/2)*AQ126*AT126*VLOOKUP('Données projet'!$B$10,Paramètres!$A$1:$I$89,3,0)*0.475*44/12</f>
        <v>1.9423822324205566E-13</v>
      </c>
      <c r="AX126" s="23">
        <f t="shared" si="60"/>
        <v>1.6034014200133357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-5.1431925385259088E-14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438.70522838726322</v>
      </c>
      <c r="BJ126" s="62">
        <f t="shared" si="92"/>
        <v>278.21741231699929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-5.4978954722173515E-14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466.10838191274445</v>
      </c>
      <c r="CE126" s="62">
        <f t="shared" si="94"/>
        <v>294.45557293177131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-3.4106051316484809E-13</v>
      </c>
      <c r="CU126" s="18">
        <f>CT126*VLOOKUP('Données projet'!$B$13,Paramètres!$A$1:$I$89,3,0)*VLOOKUP('Données projet'!$B$13,Paramètres!$A$1:$I$89,5,0)</f>
        <v>-2.5006556825246659E-13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376.5422416541544</v>
      </c>
      <c r="CZ126" s="62">
        <f t="shared" si="96"/>
        <v>365.76175372075869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-2.8421709430404007E-13</v>
      </c>
      <c r="DP126" s="18">
        <f>DO126*VLOOKUP('Données projet'!$B$14,Paramètres!$A$1:$I$89,3,0)*VLOOKUP('Données projet'!$B$14,Paramètres!$A$1:$I$89,5,0)</f>
        <v>-2.2612312022829427E-13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352.5736659365665</v>
      </c>
      <c r="DU126" s="62">
        <f t="shared" si="98"/>
        <v>343.77208530767069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2.2737367544323206E-13</v>
      </c>
      <c r="EK126" s="18">
        <f>EJ126*VLOOKUP('Données projet'!$B$15,Paramètres!$A$1:$I$89,3,0)*VLOOKUP('Données projet'!$B$15,Paramètres!$A$1:$I$89,5,0)</f>
        <v>2.0572770154103635E-13</v>
      </c>
      <c r="EL126" s="14">
        <f t="shared" si="99"/>
        <v>2.8416956338469711E-12</v>
      </c>
      <c r="EM126" s="22">
        <f t="shared" si="73"/>
        <v>5.3075956424674458E-12</v>
      </c>
      <c r="EN126" s="62">
        <f t="shared" si="74"/>
        <v>293.3333333333386</v>
      </c>
      <c r="EO126" s="62">
        <f ca="1">AVERAGE(OFFSET($EN$3,0,0,'Données projet'!$E$15+1,1))-AVERAGE(OFFSET($H$3,0,0,'Données projet'!$E$15+1,1))</f>
        <v>436.23918637269577</v>
      </c>
      <c r="EP126" s="62">
        <f t="shared" si="100"/>
        <v>611.43967996341894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0.74517180960395279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0.74517180960395279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1.9895196601282805E-13</v>
      </c>
      <c r="FF126" s="18">
        <f>FE126*VLOOKUP('Données projet'!$B$16,Paramètres!$A$1:$I$89,3,0)*VLOOKUP('Données projet'!$B$16,Paramètres!$A$1:$I$89,5,0)</f>
        <v>1.738044375088066E-13</v>
      </c>
      <c r="FG126" s="14">
        <f t="shared" si="101"/>
        <v>2.4483293633950478E-12</v>
      </c>
      <c r="FH126" s="22">
        <f t="shared" si="76"/>
        <v>4.566883036574213E-12</v>
      </c>
      <c r="FI126" s="62">
        <f t="shared" si="77"/>
        <v>293.33333333333786</v>
      </c>
      <c r="FJ126" s="62">
        <f ca="1">AVERAGE(OFFSET($FI$3,0,0,'Données projet'!$E$16+1,1))-AVERAGE(OFFSET($H$3,0,0,'Données projet'!$E$16+1,1))</f>
        <v>321.23599968992932</v>
      </c>
      <c r="FK126" s="62">
        <f t="shared" si="102"/>
        <v>388.05195847800502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6.3550942286383367E-14</v>
      </c>
      <c r="P127" s="14">
        <f t="shared" si="87"/>
        <v>1.0064464192543978E-12</v>
      </c>
      <c r="Q127" s="22">
        <f t="shared" si="107"/>
        <v>1.8635787380168604E-12</v>
      </c>
      <c r="R127" s="62">
        <f t="shared" si="55"/>
        <v>293.33333333333519</v>
      </c>
      <c r="S127" s="62">
        <f ca="1">AVERAGE(OFFSET($R$3,0,0,'Données projet'!$E$9+1,1))-AVERAGE(OFFSET($H$3,0,0,'Données projet'!$E$9+1,1))</f>
        <v>389.06620927245814</v>
      </c>
      <c r="T127" s="62">
        <f t="shared" si="88"/>
        <v>356.08144160383193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2.2888094775314047</v>
      </c>
      <c r="AB127" s="23">
        <f>EXP(-LN(2)/2)*AB126+(1-EXP(-LN(2)/2))/(LN(2)/2)*V127*Y127*VLOOKUP('Données projet'!$B$9,Paramètres!$A$1:$I$89,3,0)*0.475*44/12</f>
        <v>3.6822813585268685E-14</v>
      </c>
      <c r="AC127" s="24">
        <f t="shared" si="57"/>
        <v>2.2888094775314416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-3.1036506698001178E-14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293.73480285950245</v>
      </c>
      <c r="AO127" s="62">
        <f t="shared" si="90"/>
        <v>425.99823184414191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1.559556323863666</v>
      </c>
      <c r="AW127" s="23">
        <f>EXP(-LN(2)/2)*AW126+(1-EXP(-LN(2)/2))/(LN(2)/2)*AQ127*AT127*VLOOKUP('Données projet'!$B$10,Paramètres!$A$1:$I$89,3,0)*0.475*44/12</f>
        <v>1.3734716482008402E-13</v>
      </c>
      <c r="AX127" s="23">
        <f t="shared" si="60"/>
        <v>1.5595563238638035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-5.1431925385259088E-14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438.70522838726322</v>
      </c>
      <c r="BJ127" s="62">
        <f t="shared" si="92"/>
        <v>278.21741231699929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-5.4978954722173515E-14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466.10838191274445</v>
      </c>
      <c r="CE127" s="62">
        <f t="shared" si="94"/>
        <v>294.45557293177131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-3.4106051316484809E-13</v>
      </c>
      <c r="CU127" s="18">
        <f>CT127*VLOOKUP('Données projet'!$B$13,Paramètres!$A$1:$I$89,3,0)*VLOOKUP('Données projet'!$B$13,Paramètres!$A$1:$I$89,5,0)</f>
        <v>-2.5006556825246659E-13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376.5422416541544</v>
      </c>
      <c r="CZ127" s="62">
        <f t="shared" si="96"/>
        <v>365.76175372075869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-2.8421709430404007E-13</v>
      </c>
      <c r="DP127" s="18">
        <f>DO127*VLOOKUP('Données projet'!$B$14,Paramètres!$A$1:$I$89,3,0)*VLOOKUP('Données projet'!$B$14,Paramètres!$A$1:$I$89,5,0)</f>
        <v>-2.2612312022829427E-13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352.5736659365665</v>
      </c>
      <c r="DU127" s="62">
        <f t="shared" si="98"/>
        <v>343.77208530767069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2.2737367544323206E-13</v>
      </c>
      <c r="EK127" s="18">
        <f>EJ127*VLOOKUP('Données projet'!$B$15,Paramètres!$A$1:$I$89,3,0)*VLOOKUP('Données projet'!$B$15,Paramètres!$A$1:$I$89,5,0)</f>
        <v>2.0572770154103635E-13</v>
      </c>
      <c r="EL127" s="14">
        <f t="shared" si="99"/>
        <v>2.8416956338469711E-12</v>
      </c>
      <c r="EM127" s="22">
        <f t="shared" si="73"/>
        <v>5.3075956424674458E-12</v>
      </c>
      <c r="EN127" s="62">
        <f t="shared" si="74"/>
        <v>293.3333333333386</v>
      </c>
      <c r="EO127" s="62">
        <f ca="1">AVERAGE(OFFSET($EN$3,0,0,'Données projet'!$E$15+1,1))-AVERAGE(OFFSET($H$3,0,0,'Données projet'!$E$15+1,1))</f>
        <v>436.23918637269577</v>
      </c>
      <c r="EP127" s="62">
        <f t="shared" si="100"/>
        <v>611.43967996341894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0.73055944492754399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0.73055944492754399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1.9895196601282805E-13</v>
      </c>
      <c r="FF127" s="18">
        <f>FE127*VLOOKUP('Données projet'!$B$16,Paramètres!$A$1:$I$89,3,0)*VLOOKUP('Données projet'!$B$16,Paramètres!$A$1:$I$89,5,0)</f>
        <v>1.738044375088066E-13</v>
      </c>
      <c r="FG127" s="14">
        <f t="shared" si="101"/>
        <v>2.4483293633950478E-12</v>
      </c>
      <c r="FH127" s="22">
        <f t="shared" si="76"/>
        <v>4.566883036574213E-12</v>
      </c>
      <c r="FI127" s="62">
        <f t="shared" si="77"/>
        <v>293.33333333333786</v>
      </c>
      <c r="FJ127" s="62">
        <f ca="1">AVERAGE(OFFSET($FI$3,0,0,'Données projet'!$E$16+1,1))-AVERAGE(OFFSET($H$3,0,0,'Données projet'!$E$16+1,1))</f>
        <v>321.23599968992932</v>
      </c>
      <c r="FK127" s="62">
        <f t="shared" si="102"/>
        <v>388.05195847800502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6.3550942286383367E-14</v>
      </c>
      <c r="P128" s="14">
        <f t="shared" si="87"/>
        <v>1.0064464192543978E-12</v>
      </c>
      <c r="Q128" s="22">
        <f t="shared" si="107"/>
        <v>1.8635787380168604E-12</v>
      </c>
      <c r="R128" s="62">
        <f t="shared" si="55"/>
        <v>293.33333333333519</v>
      </c>
      <c r="S128" s="62">
        <f ca="1">AVERAGE(OFFSET($R$3,0,0,'Données projet'!$E$9+1,1))-AVERAGE(OFFSET($H$3,0,0,'Données projet'!$E$9+1,1))</f>
        <v>389.06620927245814</v>
      </c>
      <c r="T128" s="62">
        <f t="shared" si="88"/>
        <v>356.08144160383193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2.2262218620050493</v>
      </c>
      <c r="AB128" s="23">
        <f>EXP(-LN(2)/2)*AB127+(1-EXP(-LN(2)/2))/(LN(2)/2)*V128*Y128*VLOOKUP('Données projet'!$B$9,Paramètres!$A$1:$I$89,3,0)*0.475*44/12</f>
        <v>2.6037661188511614E-14</v>
      </c>
      <c r="AC128" s="24">
        <f t="shared" si="57"/>
        <v>2.2262218620050755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-3.1036506698001178E-14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293.73480285950245</v>
      </c>
      <c r="AO128" s="62">
        <f t="shared" si="90"/>
        <v>425.99823184414191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1.5169101741741113</v>
      </c>
      <c r="AW128" s="23">
        <f>EXP(-LN(2)/2)*AW127+(1-EXP(-LN(2)/2))/(LN(2)/2)*AQ128*AT128*VLOOKUP('Données projet'!$B$10,Paramètres!$A$1:$I$89,3,0)*0.475*44/12</f>
        <v>9.7119111621027828E-14</v>
      </c>
      <c r="AX128" s="23">
        <f t="shared" si="60"/>
        <v>1.5169101741742084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-5.1431925385259088E-14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438.70522838726322</v>
      </c>
      <c r="BJ128" s="62">
        <f t="shared" si="92"/>
        <v>278.21741231699929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-5.4978954722173515E-14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466.10838191274445</v>
      </c>
      <c r="CE128" s="62">
        <f t="shared" si="94"/>
        <v>294.45557293177131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-3.4106051316484809E-13</v>
      </c>
      <c r="CU128" s="18">
        <f>CT128*VLOOKUP('Données projet'!$B$13,Paramètres!$A$1:$I$89,3,0)*VLOOKUP('Données projet'!$B$13,Paramètres!$A$1:$I$89,5,0)</f>
        <v>-2.5006556825246659E-13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376.5422416541544</v>
      </c>
      <c r="CZ128" s="62">
        <f t="shared" si="96"/>
        <v>365.76175372075869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-2.8421709430404007E-13</v>
      </c>
      <c r="DP128" s="18">
        <f>DO128*VLOOKUP('Données projet'!$B$14,Paramètres!$A$1:$I$89,3,0)*VLOOKUP('Données projet'!$B$14,Paramètres!$A$1:$I$89,5,0)</f>
        <v>-2.2612312022829427E-13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352.5736659365665</v>
      </c>
      <c r="DU128" s="62">
        <f t="shared" si="98"/>
        <v>343.77208530767069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2.2737367544323206E-13</v>
      </c>
      <c r="EK128" s="18">
        <f>EJ128*VLOOKUP('Données projet'!$B$15,Paramètres!$A$1:$I$89,3,0)*VLOOKUP('Données projet'!$B$15,Paramètres!$A$1:$I$89,5,0)</f>
        <v>2.0572770154103635E-13</v>
      </c>
      <c r="EL128" s="14">
        <f t="shared" si="99"/>
        <v>2.8416956338469711E-12</v>
      </c>
      <c r="EM128" s="22">
        <f t="shared" si="73"/>
        <v>5.3075956424674458E-12</v>
      </c>
      <c r="EN128" s="62">
        <f t="shared" si="74"/>
        <v>293.3333333333386</v>
      </c>
      <c r="EO128" s="62">
        <f ca="1">AVERAGE(OFFSET($EN$3,0,0,'Données projet'!$E$15+1,1))-AVERAGE(OFFSET($H$3,0,0,'Données projet'!$E$15+1,1))</f>
        <v>436.23918637269577</v>
      </c>
      <c r="EP128" s="62">
        <f t="shared" si="100"/>
        <v>611.43967996341894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0.71623361980977718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0.71623361980977718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1.9895196601282805E-13</v>
      </c>
      <c r="FF128" s="18">
        <f>FE128*VLOOKUP('Données projet'!$B$16,Paramètres!$A$1:$I$89,3,0)*VLOOKUP('Données projet'!$B$16,Paramètres!$A$1:$I$89,5,0)</f>
        <v>1.738044375088066E-13</v>
      </c>
      <c r="FG128" s="14">
        <f t="shared" si="101"/>
        <v>2.4483293633950478E-12</v>
      </c>
      <c r="FH128" s="22">
        <f t="shared" si="76"/>
        <v>4.566883036574213E-12</v>
      </c>
      <c r="FI128" s="62">
        <f t="shared" si="77"/>
        <v>293.33333333333786</v>
      </c>
      <c r="FJ128" s="62">
        <f ca="1">AVERAGE(OFFSET($FI$3,0,0,'Données projet'!$E$16+1,1))-AVERAGE(OFFSET($H$3,0,0,'Données projet'!$E$16+1,1))</f>
        <v>321.23599968992932</v>
      </c>
      <c r="FK128" s="62">
        <f t="shared" si="102"/>
        <v>388.05195847800502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6.3550942286383367E-14</v>
      </c>
      <c r="P129" s="14">
        <f t="shared" si="87"/>
        <v>1.0064464192543978E-12</v>
      </c>
      <c r="Q129" s="22">
        <f t="shared" si="107"/>
        <v>1.8635787380168604E-12</v>
      </c>
      <c r="R129" s="62">
        <f t="shared" si="55"/>
        <v>293.33333333333519</v>
      </c>
      <c r="S129" s="62">
        <f ca="1">AVERAGE(OFFSET($R$3,0,0,'Données projet'!$E$9+1,1))-AVERAGE(OFFSET($H$3,0,0,'Données projet'!$E$9+1,1))</f>
        <v>389.06620927245814</v>
      </c>
      <c r="T129" s="62">
        <f t="shared" si="88"/>
        <v>356.08144160383193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2.1653457081166017</v>
      </c>
      <c r="AB129" s="23">
        <f>EXP(-LN(2)/2)*AB128+(1-EXP(-LN(2)/2))/(LN(2)/2)*V129*Y129*VLOOKUP('Données projet'!$B$9,Paramètres!$A$1:$I$89,3,0)*0.475*44/12</f>
        <v>1.8411406792634342E-14</v>
      </c>
      <c r="AC129" s="24">
        <f t="shared" si="57"/>
        <v>2.1653457081166199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-3.1036506698001178E-14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293.73480285950245</v>
      </c>
      <c r="AO129" s="62">
        <f t="shared" si="90"/>
        <v>425.99823184414191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1.4754301856904812</v>
      </c>
      <c r="AW129" s="23">
        <f>EXP(-LN(2)/2)*AW128+(1-EXP(-LN(2)/2))/(LN(2)/2)*AQ129*AT129*VLOOKUP('Données projet'!$B$10,Paramètres!$A$1:$I$89,3,0)*0.475*44/12</f>
        <v>6.8673582410042008E-14</v>
      </c>
      <c r="AX129" s="23">
        <f t="shared" si="60"/>
        <v>1.4754301856905498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-5.1431925385259088E-14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438.70522838726322</v>
      </c>
      <c r="BJ129" s="62">
        <f t="shared" si="92"/>
        <v>278.21741231699929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-5.4978954722173515E-14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466.10838191274445</v>
      </c>
      <c r="CE129" s="62">
        <f t="shared" si="94"/>
        <v>294.45557293177131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-3.4106051316484809E-13</v>
      </c>
      <c r="CU129" s="18">
        <f>CT129*VLOOKUP('Données projet'!$B$13,Paramètres!$A$1:$I$89,3,0)*VLOOKUP('Données projet'!$B$13,Paramètres!$A$1:$I$89,5,0)</f>
        <v>-2.5006556825246659E-13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376.5422416541544</v>
      </c>
      <c r="CZ129" s="62">
        <f t="shared" si="96"/>
        <v>365.76175372075869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-2.8421709430404007E-13</v>
      </c>
      <c r="DP129" s="18">
        <f>DO129*VLOOKUP('Données projet'!$B$14,Paramètres!$A$1:$I$89,3,0)*VLOOKUP('Données projet'!$B$14,Paramètres!$A$1:$I$89,5,0)</f>
        <v>-2.2612312022829427E-13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352.5736659365665</v>
      </c>
      <c r="DU129" s="62">
        <f t="shared" si="98"/>
        <v>343.77208530767069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2.2737367544323206E-13</v>
      </c>
      <c r="EK129" s="18">
        <f>EJ129*VLOOKUP('Données projet'!$B$15,Paramètres!$A$1:$I$89,3,0)*VLOOKUP('Données projet'!$B$15,Paramètres!$A$1:$I$89,5,0)</f>
        <v>2.0572770154103635E-13</v>
      </c>
      <c r="EL129" s="14">
        <f t="shared" si="99"/>
        <v>2.8416956338469711E-12</v>
      </c>
      <c r="EM129" s="22">
        <f t="shared" si="73"/>
        <v>5.3075956424674458E-12</v>
      </c>
      <c r="EN129" s="62">
        <f t="shared" si="74"/>
        <v>293.3333333333386</v>
      </c>
      <c r="EO129" s="62">
        <f ca="1">AVERAGE(OFFSET($EN$3,0,0,'Données projet'!$E$15+1,1))-AVERAGE(OFFSET($H$3,0,0,'Données projet'!$E$15+1,1))</f>
        <v>436.23918637269577</v>
      </c>
      <c r="EP129" s="62">
        <f t="shared" si="100"/>
        <v>611.43967996341894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0.7021887153846792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0.7021887153846792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1.9895196601282805E-13</v>
      </c>
      <c r="FF129" s="18">
        <f>FE129*VLOOKUP('Données projet'!$B$16,Paramètres!$A$1:$I$89,3,0)*VLOOKUP('Données projet'!$B$16,Paramètres!$A$1:$I$89,5,0)</f>
        <v>1.738044375088066E-13</v>
      </c>
      <c r="FG129" s="14">
        <f t="shared" si="101"/>
        <v>2.4483293633950478E-12</v>
      </c>
      <c r="FH129" s="22">
        <f t="shared" si="76"/>
        <v>4.566883036574213E-12</v>
      </c>
      <c r="FI129" s="62">
        <f t="shared" si="77"/>
        <v>293.33333333333786</v>
      </c>
      <c r="FJ129" s="62">
        <f ca="1">AVERAGE(OFFSET($FI$3,0,0,'Données projet'!$E$16+1,1))-AVERAGE(OFFSET($H$3,0,0,'Données projet'!$E$16+1,1))</f>
        <v>321.23599968992932</v>
      </c>
      <c r="FK129" s="62">
        <f t="shared" si="102"/>
        <v>388.05195847800502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6.3550942286383367E-14</v>
      </c>
      <c r="P130" s="14">
        <f t="shared" si="87"/>
        <v>1.0064464192543978E-12</v>
      </c>
      <c r="Q130" s="22">
        <f t="shared" si="107"/>
        <v>1.8635787380168604E-12</v>
      </c>
      <c r="R130" s="62">
        <f t="shared" si="55"/>
        <v>293.33333333333519</v>
      </c>
      <c r="S130" s="62">
        <f ca="1">AVERAGE(OFFSET($R$3,0,0,'Données projet'!$E$9+1,1))-AVERAGE(OFFSET($H$3,0,0,'Données projet'!$E$9+1,1))</f>
        <v>389.06620927245814</v>
      </c>
      <c r="T130" s="62">
        <f t="shared" si="88"/>
        <v>356.08144160383193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2.1061342158575713</v>
      </c>
      <c r="AB130" s="23">
        <f>EXP(-LN(2)/2)*AB129+(1-EXP(-LN(2)/2))/(LN(2)/2)*V130*Y130*VLOOKUP('Données projet'!$B$9,Paramètres!$A$1:$I$89,3,0)*0.475*44/12</f>
        <v>1.3018830594255807E-14</v>
      </c>
      <c r="AC130" s="24">
        <f t="shared" si="57"/>
        <v>2.1061342158575842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-3.1036506698001178E-14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293.73480285950245</v>
      </c>
      <c r="AO130" s="62">
        <f t="shared" si="90"/>
        <v>425.99823184414191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1.4350844696732736</v>
      </c>
      <c r="AW130" s="23">
        <f>EXP(-LN(2)/2)*AW129+(1-EXP(-LN(2)/2))/(LN(2)/2)*AQ130*AT130*VLOOKUP('Données projet'!$B$10,Paramètres!$A$1:$I$89,3,0)*0.475*44/12</f>
        <v>4.8559555810513914E-14</v>
      </c>
      <c r="AX130" s="23">
        <f t="shared" si="60"/>
        <v>1.4350844696733223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-5.1431925385259088E-14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438.70522838726322</v>
      </c>
      <c r="BJ130" s="62">
        <f t="shared" si="92"/>
        <v>278.21741231699929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-5.4978954722173515E-14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466.10838191274445</v>
      </c>
      <c r="CE130" s="62">
        <f t="shared" si="94"/>
        <v>294.45557293177131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-3.4106051316484809E-13</v>
      </c>
      <c r="CU130" s="18">
        <f>CT130*VLOOKUP('Données projet'!$B$13,Paramètres!$A$1:$I$89,3,0)*VLOOKUP('Données projet'!$B$13,Paramètres!$A$1:$I$89,5,0)</f>
        <v>-2.5006556825246659E-13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376.5422416541544</v>
      </c>
      <c r="CZ130" s="62">
        <f t="shared" si="96"/>
        <v>365.76175372075869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-2.8421709430404007E-13</v>
      </c>
      <c r="DP130" s="18">
        <f>DO130*VLOOKUP('Données projet'!$B$14,Paramètres!$A$1:$I$89,3,0)*VLOOKUP('Données projet'!$B$14,Paramètres!$A$1:$I$89,5,0)</f>
        <v>-2.2612312022829427E-13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352.5736659365665</v>
      </c>
      <c r="DU130" s="62">
        <f t="shared" si="98"/>
        <v>343.77208530767069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2.2737367544323206E-13</v>
      </c>
      <c r="EK130" s="18">
        <f>EJ130*VLOOKUP('Données projet'!$B$15,Paramètres!$A$1:$I$89,3,0)*VLOOKUP('Données projet'!$B$15,Paramètres!$A$1:$I$89,5,0)</f>
        <v>2.0572770154103635E-13</v>
      </c>
      <c r="EL130" s="14">
        <f t="shared" si="99"/>
        <v>2.8416956338469711E-12</v>
      </c>
      <c r="EM130" s="22">
        <f t="shared" si="73"/>
        <v>5.3075956424674458E-12</v>
      </c>
      <c r="EN130" s="62">
        <f t="shared" si="74"/>
        <v>293.3333333333386</v>
      </c>
      <c r="EO130" s="62">
        <f ca="1">AVERAGE(OFFSET($EN$3,0,0,'Données projet'!$E$15+1,1))-AVERAGE(OFFSET($H$3,0,0,'Données projet'!$E$15+1,1))</f>
        <v>436.23918637269577</v>
      </c>
      <c r="EP130" s="62">
        <f t="shared" si="100"/>
        <v>611.43967996341894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0.68841922296881164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0.68841922296881164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1.9895196601282805E-13</v>
      </c>
      <c r="FF130" s="18">
        <f>FE130*VLOOKUP('Données projet'!$B$16,Paramètres!$A$1:$I$89,3,0)*VLOOKUP('Données projet'!$B$16,Paramètres!$A$1:$I$89,5,0)</f>
        <v>1.738044375088066E-13</v>
      </c>
      <c r="FG130" s="14">
        <f t="shared" si="101"/>
        <v>2.4483293633950478E-12</v>
      </c>
      <c r="FH130" s="22">
        <f t="shared" si="76"/>
        <v>4.566883036574213E-12</v>
      </c>
      <c r="FI130" s="62">
        <f t="shared" si="77"/>
        <v>293.33333333333786</v>
      </c>
      <c r="FJ130" s="62">
        <f ca="1">AVERAGE(OFFSET($FI$3,0,0,'Données projet'!$E$16+1,1))-AVERAGE(OFFSET($H$3,0,0,'Données projet'!$E$16+1,1))</f>
        <v>321.23599968992932</v>
      </c>
      <c r="FK130" s="62">
        <f t="shared" si="102"/>
        <v>388.05195847800502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6.3550942286383367E-14</v>
      </c>
      <c r="P131" s="14">
        <f t="shared" si="87"/>
        <v>1.0064464192543978E-12</v>
      </c>
      <c r="Q131" s="22">
        <f t="shared" ref="Q131:Q153" si="108">(O131+P131)*0.475*44/12</f>
        <v>1.8635787380168604E-12</v>
      </c>
      <c r="R131" s="62">
        <f t="shared" ref="R131:R194" si="109">Q131+(I131+J131)*44/12</f>
        <v>293.33333333333519</v>
      </c>
      <c r="S131" s="62">
        <f ca="1">AVERAGE(OFFSET($R$3,0,0,'Données projet'!$E$9+1,1))-AVERAGE(OFFSET($H$3,0,0,'Données projet'!$E$9+1,1))</f>
        <v>389.06620927245814</v>
      </c>
      <c r="T131" s="62">
        <f t="shared" si="88"/>
        <v>356.08144160383193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2.0485418649681613</v>
      </c>
      <c r="AB131" s="23">
        <f>EXP(-LN(2)/2)*AB130+(1-EXP(-LN(2)/2))/(LN(2)/2)*V131*Y131*VLOOKUP('Données projet'!$B$9,Paramètres!$A$1:$I$89,3,0)*0.475*44/12</f>
        <v>9.2057033963171712E-15</v>
      </c>
      <c r="AC131" s="24">
        <f t="shared" si="57"/>
        <v>2.0485418649681706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-3.1036506698001178E-14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293.73480285950245</v>
      </c>
      <c r="AO131" s="62">
        <f t="shared" si="90"/>
        <v>425.99823184414191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1.3958420093822457</v>
      </c>
      <c r="AW131" s="23">
        <f>EXP(-LN(2)/2)*AW130+(1-EXP(-LN(2)/2))/(LN(2)/2)*AQ131*AT131*VLOOKUP('Données projet'!$B$10,Paramètres!$A$1:$I$89,3,0)*0.475*44/12</f>
        <v>3.4336791205021004E-14</v>
      </c>
      <c r="AX131" s="23">
        <f t="shared" si="60"/>
        <v>1.3958420093822801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-5.1431925385259088E-14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438.70522838726322</v>
      </c>
      <c r="BJ131" s="62">
        <f t="shared" si="92"/>
        <v>278.21741231699929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-5.4978954722173515E-14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466.10838191274445</v>
      </c>
      <c r="CE131" s="62">
        <f t="shared" si="94"/>
        <v>294.45557293177131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-3.4106051316484809E-13</v>
      </c>
      <c r="CU131" s="18">
        <f>CT131*VLOOKUP('Données projet'!$B$13,Paramètres!$A$1:$I$89,3,0)*VLOOKUP('Données projet'!$B$13,Paramètres!$A$1:$I$89,5,0)</f>
        <v>-2.5006556825246659E-13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376.5422416541544</v>
      </c>
      <c r="CZ131" s="62">
        <f t="shared" si="96"/>
        <v>365.76175372075869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-2.8421709430404007E-13</v>
      </c>
      <c r="DP131" s="18">
        <f>DO131*VLOOKUP('Données projet'!$B$14,Paramètres!$A$1:$I$89,3,0)*VLOOKUP('Données projet'!$B$14,Paramètres!$A$1:$I$89,5,0)</f>
        <v>-2.2612312022829427E-13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352.5736659365665</v>
      </c>
      <c r="DU131" s="62">
        <f t="shared" si="98"/>
        <v>343.77208530767069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2.2737367544323206E-13</v>
      </c>
      <c r="EK131" s="18">
        <f>EJ131*VLOOKUP('Données projet'!$B$15,Paramètres!$A$1:$I$89,3,0)*VLOOKUP('Données projet'!$B$15,Paramètres!$A$1:$I$89,5,0)</f>
        <v>2.0572770154103635E-13</v>
      </c>
      <c r="EL131" s="14">
        <f t="shared" si="99"/>
        <v>2.8416956338469711E-12</v>
      </c>
      <c r="EM131" s="22">
        <f t="shared" si="73"/>
        <v>5.3075956424674458E-12</v>
      </c>
      <c r="EN131" s="62">
        <f t="shared" si="74"/>
        <v>293.3333333333386</v>
      </c>
      <c r="EO131" s="62">
        <f ca="1">AVERAGE(OFFSET($EN$3,0,0,'Données projet'!$E$15+1,1))-AVERAGE(OFFSET($H$3,0,0,'Données projet'!$E$15+1,1))</f>
        <v>436.23918637269577</v>
      </c>
      <c r="EP131" s="62">
        <f t="shared" si="100"/>
        <v>611.43967996341894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0.67491974190065818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0.67491974190065818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1.9895196601282805E-13</v>
      </c>
      <c r="FF131" s="18">
        <f>FE131*VLOOKUP('Données projet'!$B$16,Paramètres!$A$1:$I$89,3,0)*VLOOKUP('Données projet'!$B$16,Paramètres!$A$1:$I$89,5,0)</f>
        <v>1.738044375088066E-13</v>
      </c>
      <c r="FG131" s="14">
        <f t="shared" si="101"/>
        <v>2.4483293633950478E-12</v>
      </c>
      <c r="FH131" s="22">
        <f t="shared" si="76"/>
        <v>4.566883036574213E-12</v>
      </c>
      <c r="FI131" s="62">
        <f t="shared" si="77"/>
        <v>293.33333333333786</v>
      </c>
      <c r="FJ131" s="62">
        <f ca="1">AVERAGE(OFFSET($FI$3,0,0,'Données projet'!$E$16+1,1))-AVERAGE(OFFSET($H$3,0,0,'Données projet'!$E$16+1,1))</f>
        <v>321.23599968992932</v>
      </c>
      <c r="FK131" s="62">
        <f t="shared" si="102"/>
        <v>388.05195847800502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6.3550942286383367E-14</v>
      </c>
      <c r="P132" s="14">
        <f t="shared" si="87"/>
        <v>1.0064464192543978E-12</v>
      </c>
      <c r="Q132" s="22">
        <f t="shared" si="108"/>
        <v>1.8635787380168604E-12</v>
      </c>
      <c r="R132" s="62">
        <f t="shared" si="109"/>
        <v>293.33333333333519</v>
      </c>
      <c r="S132" s="62">
        <f ca="1">AVERAGE(OFFSET($R$3,0,0,'Données projet'!$E$9+1,1))-AVERAGE(OFFSET($H$3,0,0,'Données projet'!$E$9+1,1))</f>
        <v>389.06620927245814</v>
      </c>
      <c r="T132" s="62">
        <f t="shared" si="88"/>
        <v>356.08144160383193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1.9925243799424721</v>
      </c>
      <c r="AB132" s="23">
        <f>EXP(-LN(2)/2)*AB131+(1-EXP(-LN(2)/2))/(LN(2)/2)*V132*Y132*VLOOKUP('Données projet'!$B$9,Paramètres!$A$1:$I$89,3,0)*0.475*44/12</f>
        <v>6.5094152971279034E-15</v>
      </c>
      <c r="AC132" s="24">
        <f t="shared" ref="AC132:AC153" si="111">SUM(Z132:AB132)</f>
        <v>1.9925243799424786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-3.1036506698001178E-14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293.73480285950245</v>
      </c>
      <c r="AO132" s="62">
        <f t="shared" si="90"/>
        <v>425.99823184414191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1.3576726362315472</v>
      </c>
      <c r="AW132" s="23">
        <f>EXP(-LN(2)/2)*AW131+(1-EXP(-LN(2)/2))/(LN(2)/2)*AQ132*AT132*VLOOKUP('Données projet'!$B$10,Paramètres!$A$1:$I$89,3,0)*0.475*44/12</f>
        <v>2.4279777905256957E-14</v>
      </c>
      <c r="AX132" s="23">
        <f t="shared" ref="AX132:AX153" si="114">SUM(AU132:AW132)</f>
        <v>1.3576726362315714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-5.1431925385259088E-14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438.70522838726322</v>
      </c>
      <c r="BJ132" s="62">
        <f t="shared" si="92"/>
        <v>278.21741231699929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-5.4978954722173515E-14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466.10838191274445</v>
      </c>
      <c r="CE132" s="62">
        <f t="shared" si="94"/>
        <v>294.45557293177131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-3.4106051316484809E-13</v>
      </c>
      <c r="CU132" s="18">
        <f>CT132*VLOOKUP('Données projet'!$B$13,Paramètres!$A$1:$I$89,3,0)*VLOOKUP('Données projet'!$B$13,Paramètres!$A$1:$I$89,5,0)</f>
        <v>-2.5006556825246659E-13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376.5422416541544</v>
      </c>
      <c r="CZ132" s="62">
        <f t="shared" si="96"/>
        <v>365.76175372075869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-2.8421709430404007E-13</v>
      </c>
      <c r="DP132" s="18">
        <f>DO132*VLOOKUP('Données projet'!$B$14,Paramètres!$A$1:$I$89,3,0)*VLOOKUP('Données projet'!$B$14,Paramètres!$A$1:$I$89,5,0)</f>
        <v>-2.2612312022829427E-13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352.5736659365665</v>
      </c>
      <c r="DU132" s="62">
        <f t="shared" si="98"/>
        <v>343.77208530767069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2.2737367544323206E-13</v>
      </c>
      <c r="EK132" s="18">
        <f>EJ132*VLOOKUP('Données projet'!$B$15,Paramètres!$A$1:$I$89,3,0)*VLOOKUP('Données projet'!$B$15,Paramètres!$A$1:$I$89,5,0)</f>
        <v>2.0572770154103635E-13</v>
      </c>
      <c r="EL132" s="14">
        <f t="shared" si="99"/>
        <v>2.8416956338469711E-12</v>
      </c>
      <c r="EM132" s="22">
        <f t="shared" ref="EM132:EM153" si="127">(EK132+EL132)*0.475*44/12</f>
        <v>5.3075956424674458E-12</v>
      </c>
      <c r="EN132" s="62">
        <f t="shared" ref="EN132:EN195" si="128">EM132+(EE132+EF132)*44/12</f>
        <v>293.3333333333386</v>
      </c>
      <c r="EO132" s="62">
        <f ca="1">AVERAGE(OFFSET($EN$3,0,0,'Données projet'!$E$15+1,1))-AVERAGE(OFFSET($H$3,0,0,'Données projet'!$E$15+1,1))</f>
        <v>436.23918637269577</v>
      </c>
      <c r="EP132" s="62">
        <f t="shared" si="100"/>
        <v>611.43967996341894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0.66168497742238075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0.66168497742238075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1.9895196601282805E-13</v>
      </c>
      <c r="FF132" s="18">
        <f>FE132*VLOOKUP('Données projet'!$B$16,Paramètres!$A$1:$I$89,3,0)*VLOOKUP('Données projet'!$B$16,Paramètres!$A$1:$I$89,5,0)</f>
        <v>1.738044375088066E-13</v>
      </c>
      <c r="FG132" s="14">
        <f t="shared" si="101"/>
        <v>2.4483293633950478E-12</v>
      </c>
      <c r="FH132" s="22">
        <f t="shared" ref="FH132:FH153" si="130">(FF132+FG132)*0.475*44/12</f>
        <v>4.566883036574213E-12</v>
      </c>
      <c r="FI132" s="62">
        <f t="shared" ref="FI132:FI195" si="131">FH132+(EZ132+FA132)*44/12</f>
        <v>293.33333333333786</v>
      </c>
      <c r="FJ132" s="62">
        <f ca="1">AVERAGE(OFFSET($FI$3,0,0,'Données projet'!$E$16+1,1))-AVERAGE(OFFSET($H$3,0,0,'Données projet'!$E$16+1,1))</f>
        <v>321.23599968992932</v>
      </c>
      <c r="FK132" s="62">
        <f t="shared" si="102"/>
        <v>388.05195847800502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6.3550942286383367E-14</v>
      </c>
      <c r="P133" s="14">
        <f t="shared" ref="P133:P196" si="141">EXP(-1.0587+0.8836*LN(O133)+0.284)</f>
        <v>1.0064464192543978E-12</v>
      </c>
      <c r="Q133" s="22">
        <f t="shared" si="108"/>
        <v>1.8635787380168604E-12</v>
      </c>
      <c r="R133" s="62">
        <f t="shared" si="109"/>
        <v>293.33333333333519</v>
      </c>
      <c r="S133" s="62">
        <f ca="1">AVERAGE(OFFSET($R$3,0,0,'Données projet'!$E$9+1,1))-AVERAGE(OFFSET($H$3,0,0,'Données projet'!$E$9+1,1))</f>
        <v>389.06620927245814</v>
      </c>
      <c r="T133" s="62">
        <f t="shared" ref="T133:T196" si="142">$T$3</f>
        <v>356.08144160383193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1.9380386959906422</v>
      </c>
      <c r="AB133" s="23">
        <f>EXP(-LN(2)/2)*AB132+(1-EXP(-LN(2)/2))/(LN(2)/2)*V133*Y133*VLOOKUP('Données projet'!$B$9,Paramètres!$A$1:$I$89,3,0)*0.475*44/12</f>
        <v>4.6028516981585856E-15</v>
      </c>
      <c r="AC133" s="24">
        <f t="shared" si="111"/>
        <v>1.9380386959906468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-3.1036506698001178E-14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293.73480285950245</v>
      </c>
      <c r="AO133" s="62">
        <f t="shared" ref="AO133:AO196" si="144">$AO$3</f>
        <v>425.99823184414191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1.3205470065968947</v>
      </c>
      <c r="AW133" s="23">
        <f>EXP(-LN(2)/2)*AW132+(1-EXP(-LN(2)/2))/(LN(2)/2)*AQ133*AT133*VLOOKUP('Données projet'!$B$10,Paramètres!$A$1:$I$89,3,0)*0.475*44/12</f>
        <v>1.7168395602510502E-14</v>
      </c>
      <c r="AX133" s="23">
        <f t="shared" si="114"/>
        <v>1.3205470065969118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-5.1431925385259088E-14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438.70522838726322</v>
      </c>
      <c r="BJ133" s="62">
        <f t="shared" ref="BJ133:BJ196" si="146">$BJ$3</f>
        <v>278.21741231699929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-5.4978954722173515E-14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466.10838191274445</v>
      </c>
      <c r="CE133" s="62">
        <f t="shared" ref="CE133:CE196" si="148">$CE$3</f>
        <v>294.45557293177131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-3.4106051316484809E-13</v>
      </c>
      <c r="CU133" s="18">
        <f>CT133*VLOOKUP('Données projet'!$B$13,Paramètres!$A$1:$I$89,3,0)*VLOOKUP('Données projet'!$B$13,Paramètres!$A$1:$I$89,5,0)</f>
        <v>-2.5006556825246659E-13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376.5422416541544</v>
      </c>
      <c r="CZ133" s="62">
        <f t="shared" ref="CZ133:CZ196" si="150">$CZ$3</f>
        <v>365.76175372075869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-2.8421709430404007E-13</v>
      </c>
      <c r="DP133" s="18">
        <f>DO133*VLOOKUP('Données projet'!$B$14,Paramètres!$A$1:$I$89,3,0)*VLOOKUP('Données projet'!$B$14,Paramètres!$A$1:$I$89,5,0)</f>
        <v>-2.2612312022829427E-13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352.5736659365665</v>
      </c>
      <c r="DU133" s="62">
        <f t="shared" ref="DU133:DU196" si="152">$DU$3</f>
        <v>343.77208530767069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2.2737367544323206E-13</v>
      </c>
      <c r="EK133" s="18">
        <f>EJ133*VLOOKUP('Données projet'!$B$15,Paramètres!$A$1:$I$89,3,0)*VLOOKUP('Données projet'!$B$15,Paramètres!$A$1:$I$89,5,0)</f>
        <v>2.0572770154103635E-13</v>
      </c>
      <c r="EL133" s="14">
        <f t="shared" ref="EL133:EL153" si="153">EXP(-1.0587+0.8836*LN(EK133)+0.284)</f>
        <v>2.8416956338469711E-12</v>
      </c>
      <c r="EM133" s="22">
        <f t="shared" si="127"/>
        <v>5.3075956424674458E-12</v>
      </c>
      <c r="EN133" s="62">
        <f t="shared" si="128"/>
        <v>293.3333333333386</v>
      </c>
      <c r="EO133" s="62">
        <f ca="1">AVERAGE(OFFSET($EN$3,0,0,'Données projet'!$E$15+1,1))-AVERAGE(OFFSET($H$3,0,0,'Données projet'!$E$15+1,1))</f>
        <v>436.23918637269577</v>
      </c>
      <c r="EP133" s="62">
        <f t="shared" ref="EP133:EP196" si="154">$EP$3</f>
        <v>611.43967996341894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0.6487097386031131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0.6487097386031131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1.9895196601282805E-13</v>
      </c>
      <c r="FF133" s="18">
        <f>FE133*VLOOKUP('Données projet'!$B$16,Paramètres!$A$1:$I$89,3,0)*VLOOKUP('Données projet'!$B$16,Paramètres!$A$1:$I$89,5,0)</f>
        <v>1.738044375088066E-13</v>
      </c>
      <c r="FG133" s="14">
        <f t="shared" ref="FG133:FG153" si="155">EXP(-1.0587+0.8836*LN(FF133)+0.284)</f>
        <v>2.4483293633950478E-12</v>
      </c>
      <c r="FH133" s="22">
        <f t="shared" si="130"/>
        <v>4.566883036574213E-12</v>
      </c>
      <c r="FI133" s="62">
        <f t="shared" si="131"/>
        <v>293.33333333333786</v>
      </c>
      <c r="FJ133" s="62">
        <f ca="1">AVERAGE(OFFSET($FI$3,0,0,'Données projet'!$E$16+1,1))-AVERAGE(OFFSET($H$3,0,0,'Données projet'!$E$16+1,1))</f>
        <v>321.23599968992932</v>
      </c>
      <c r="FK133" s="62">
        <f t="shared" ref="FK133:FK196" si="156">$FK$3</f>
        <v>388.05195847800502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6.3550942286383367E-14</v>
      </c>
      <c r="P134" s="14">
        <f t="shared" si="141"/>
        <v>1.0064464192543978E-12</v>
      </c>
      <c r="Q134" s="22">
        <f t="shared" si="108"/>
        <v>1.8635787380168604E-12</v>
      </c>
      <c r="R134" s="62">
        <f t="shared" si="109"/>
        <v>293.33333333333519</v>
      </c>
      <c r="S134" s="62">
        <f ca="1">AVERAGE(OFFSET($R$3,0,0,'Données projet'!$E$9+1,1))-AVERAGE(OFFSET($H$3,0,0,'Données projet'!$E$9+1,1))</f>
        <v>389.06620927245814</v>
      </c>
      <c r="T134" s="62">
        <f t="shared" si="142"/>
        <v>356.08144160383193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1.8850429259317525</v>
      </c>
      <c r="AB134" s="23">
        <f>EXP(-LN(2)/2)*AB133+(1-EXP(-LN(2)/2))/(LN(2)/2)*V134*Y134*VLOOKUP('Données projet'!$B$9,Paramètres!$A$1:$I$89,3,0)*0.475*44/12</f>
        <v>3.2547076485639517E-15</v>
      </c>
      <c r="AC134" s="24">
        <f t="shared" si="111"/>
        <v>1.8850429259317558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-3.1036506698001178E-14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293.73480285950245</v>
      </c>
      <c r="AO134" s="62">
        <f t="shared" si="144"/>
        <v>425.99823184414191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1.2844365792569536</v>
      </c>
      <c r="AW134" s="23">
        <f>EXP(-LN(2)/2)*AW133+(1-EXP(-LN(2)/2))/(LN(2)/2)*AQ134*AT134*VLOOKUP('Données projet'!$B$10,Paramètres!$A$1:$I$89,3,0)*0.475*44/12</f>
        <v>1.2139888952628479E-14</v>
      </c>
      <c r="AX134" s="23">
        <f t="shared" si="114"/>
        <v>1.2844365792569659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-5.1431925385259088E-14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438.70522838726322</v>
      </c>
      <c r="BJ134" s="62">
        <f t="shared" si="146"/>
        <v>278.21741231699929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-5.4978954722173515E-14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466.10838191274445</v>
      </c>
      <c r="CE134" s="62">
        <f t="shared" si="148"/>
        <v>294.45557293177131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-3.4106051316484809E-13</v>
      </c>
      <c r="CU134" s="18">
        <f>CT134*VLOOKUP('Données projet'!$B$13,Paramètres!$A$1:$I$89,3,0)*VLOOKUP('Données projet'!$B$13,Paramètres!$A$1:$I$89,5,0)</f>
        <v>-2.5006556825246659E-13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376.5422416541544</v>
      </c>
      <c r="CZ134" s="62">
        <f t="shared" si="150"/>
        <v>365.76175372075869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-2.8421709430404007E-13</v>
      </c>
      <c r="DP134" s="18">
        <f>DO134*VLOOKUP('Données projet'!$B$14,Paramètres!$A$1:$I$89,3,0)*VLOOKUP('Données projet'!$B$14,Paramètres!$A$1:$I$89,5,0)</f>
        <v>-2.2612312022829427E-13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352.5736659365665</v>
      </c>
      <c r="DU134" s="62">
        <f t="shared" si="152"/>
        <v>343.77208530767069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2.2737367544323206E-13</v>
      </c>
      <c r="EK134" s="18">
        <f>EJ134*VLOOKUP('Données projet'!$B$15,Paramètres!$A$1:$I$89,3,0)*VLOOKUP('Données projet'!$B$15,Paramètres!$A$1:$I$89,5,0)</f>
        <v>2.0572770154103635E-13</v>
      </c>
      <c r="EL134" s="14">
        <f t="shared" si="153"/>
        <v>2.8416956338469711E-12</v>
      </c>
      <c r="EM134" s="22">
        <f t="shared" si="127"/>
        <v>5.3075956424674458E-12</v>
      </c>
      <c r="EN134" s="62">
        <f t="shared" si="128"/>
        <v>293.3333333333386</v>
      </c>
      <c r="EO134" s="62">
        <f ca="1">AVERAGE(OFFSET($EN$3,0,0,'Données projet'!$E$15+1,1))-AVERAGE(OFFSET($H$3,0,0,'Données projet'!$E$15+1,1))</f>
        <v>436.23918637269577</v>
      </c>
      <c r="EP134" s="62">
        <f t="shared" si="154"/>
        <v>611.43967996341894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0.63598893630297704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0.63598893630297704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1.9895196601282805E-13</v>
      </c>
      <c r="FF134" s="18">
        <f>FE134*VLOOKUP('Données projet'!$B$16,Paramètres!$A$1:$I$89,3,0)*VLOOKUP('Données projet'!$B$16,Paramètres!$A$1:$I$89,5,0)</f>
        <v>1.738044375088066E-13</v>
      </c>
      <c r="FG134" s="14">
        <f t="shared" si="155"/>
        <v>2.4483293633950478E-12</v>
      </c>
      <c r="FH134" s="22">
        <f t="shared" si="130"/>
        <v>4.566883036574213E-12</v>
      </c>
      <c r="FI134" s="62">
        <f t="shared" si="131"/>
        <v>293.33333333333786</v>
      </c>
      <c r="FJ134" s="62">
        <f ca="1">AVERAGE(OFFSET($FI$3,0,0,'Données projet'!$E$16+1,1))-AVERAGE(OFFSET($H$3,0,0,'Données projet'!$E$16+1,1))</f>
        <v>321.23599968992932</v>
      </c>
      <c r="FK134" s="62">
        <f t="shared" si="156"/>
        <v>388.05195847800502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6.3550942286383367E-14</v>
      </c>
      <c r="P135" s="14">
        <f t="shared" si="141"/>
        <v>1.0064464192543978E-12</v>
      </c>
      <c r="Q135" s="22">
        <f t="shared" si="108"/>
        <v>1.8635787380168604E-12</v>
      </c>
      <c r="R135" s="62">
        <f t="shared" si="109"/>
        <v>293.33333333333519</v>
      </c>
      <c r="S135" s="62">
        <f ca="1">AVERAGE(OFFSET($R$3,0,0,'Données projet'!$E$9+1,1))-AVERAGE(OFFSET($H$3,0,0,'Données projet'!$E$9+1,1))</f>
        <v>389.06620927245814</v>
      </c>
      <c r="T135" s="62">
        <f t="shared" si="142"/>
        <v>356.08144160383193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1.8334963279920495</v>
      </c>
      <c r="AB135" s="23">
        <f>EXP(-LN(2)/2)*AB134+(1-EXP(-LN(2)/2))/(LN(2)/2)*V135*Y135*VLOOKUP('Données projet'!$B$9,Paramètres!$A$1:$I$89,3,0)*0.475*44/12</f>
        <v>2.3014258490792928E-15</v>
      </c>
      <c r="AC135" s="24">
        <f t="shared" si="111"/>
        <v>1.8334963279920518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-3.1036506698001178E-14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293.73480285950245</v>
      </c>
      <c r="AO135" s="62">
        <f t="shared" si="144"/>
        <v>425.99823184414191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1.2493135934515882</v>
      </c>
      <c r="AW135" s="23">
        <f>EXP(-LN(2)/2)*AW134+(1-EXP(-LN(2)/2))/(LN(2)/2)*AQ135*AT135*VLOOKUP('Données projet'!$B$10,Paramètres!$A$1:$I$89,3,0)*0.475*44/12</f>
        <v>8.584197801255251E-15</v>
      </c>
      <c r="AX135" s="23">
        <f t="shared" si="114"/>
        <v>1.2493135934515969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-5.1431925385259088E-14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438.70522838726322</v>
      </c>
      <c r="BJ135" s="62">
        <f t="shared" si="146"/>
        <v>278.21741231699929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-5.4978954722173515E-14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466.10838191274445</v>
      </c>
      <c r="CE135" s="62">
        <f t="shared" si="148"/>
        <v>294.45557293177131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-3.4106051316484809E-13</v>
      </c>
      <c r="CU135" s="18">
        <f>CT135*VLOOKUP('Données projet'!$B$13,Paramètres!$A$1:$I$89,3,0)*VLOOKUP('Données projet'!$B$13,Paramètres!$A$1:$I$89,5,0)</f>
        <v>-2.5006556825246659E-13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376.5422416541544</v>
      </c>
      <c r="CZ135" s="62">
        <f t="shared" si="150"/>
        <v>365.76175372075869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-2.8421709430404007E-13</v>
      </c>
      <c r="DP135" s="18">
        <f>DO135*VLOOKUP('Données projet'!$B$14,Paramètres!$A$1:$I$89,3,0)*VLOOKUP('Données projet'!$B$14,Paramètres!$A$1:$I$89,5,0)</f>
        <v>-2.2612312022829427E-13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352.5736659365665</v>
      </c>
      <c r="DU135" s="62">
        <f t="shared" si="152"/>
        <v>343.77208530767069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2.2737367544323206E-13</v>
      </c>
      <c r="EK135" s="18">
        <f>EJ135*VLOOKUP('Données projet'!$B$15,Paramètres!$A$1:$I$89,3,0)*VLOOKUP('Données projet'!$B$15,Paramètres!$A$1:$I$89,5,0)</f>
        <v>2.0572770154103635E-13</v>
      </c>
      <c r="EL135" s="14">
        <f t="shared" si="153"/>
        <v>2.8416956338469711E-12</v>
      </c>
      <c r="EM135" s="22">
        <f t="shared" si="127"/>
        <v>5.3075956424674458E-12</v>
      </c>
      <c r="EN135" s="62">
        <f t="shared" si="128"/>
        <v>293.3333333333386</v>
      </c>
      <c r="EO135" s="62">
        <f ca="1">AVERAGE(OFFSET($EN$3,0,0,'Données projet'!$E$15+1,1))-AVERAGE(OFFSET($H$3,0,0,'Données projet'!$E$15+1,1))</f>
        <v>436.23918637269577</v>
      </c>
      <c r="EP135" s="62">
        <f t="shared" si="154"/>
        <v>611.43967996341894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0.62351758117702338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0.62351758117702338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1.9895196601282805E-13</v>
      </c>
      <c r="FF135" s="18">
        <f>FE135*VLOOKUP('Données projet'!$B$16,Paramètres!$A$1:$I$89,3,0)*VLOOKUP('Données projet'!$B$16,Paramètres!$A$1:$I$89,5,0)</f>
        <v>1.738044375088066E-13</v>
      </c>
      <c r="FG135" s="14">
        <f t="shared" si="155"/>
        <v>2.4483293633950478E-12</v>
      </c>
      <c r="FH135" s="22">
        <f t="shared" si="130"/>
        <v>4.566883036574213E-12</v>
      </c>
      <c r="FI135" s="62">
        <f t="shared" si="131"/>
        <v>293.33333333333786</v>
      </c>
      <c r="FJ135" s="62">
        <f ca="1">AVERAGE(OFFSET($FI$3,0,0,'Données projet'!$E$16+1,1))-AVERAGE(OFFSET($H$3,0,0,'Données projet'!$E$16+1,1))</f>
        <v>321.23599968992932</v>
      </c>
      <c r="FK135" s="62">
        <f t="shared" si="156"/>
        <v>388.05195847800502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6.3550942286383367E-14</v>
      </c>
      <c r="P136" s="14">
        <f t="shared" si="141"/>
        <v>1.0064464192543978E-12</v>
      </c>
      <c r="Q136" s="22">
        <f t="shared" si="108"/>
        <v>1.8635787380168604E-12</v>
      </c>
      <c r="R136" s="62">
        <f t="shared" si="109"/>
        <v>293.33333333333519</v>
      </c>
      <c r="S136" s="62">
        <f ca="1">AVERAGE(OFFSET($R$3,0,0,'Données projet'!$E$9+1,1))-AVERAGE(OFFSET($H$3,0,0,'Données projet'!$E$9+1,1))</f>
        <v>389.06620927245814</v>
      </c>
      <c r="T136" s="62">
        <f t="shared" si="142"/>
        <v>356.08144160383193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1.7833592744837257</v>
      </c>
      <c r="AB136" s="23">
        <f>EXP(-LN(2)/2)*AB135+(1-EXP(-LN(2)/2))/(LN(2)/2)*V136*Y136*VLOOKUP('Données projet'!$B$9,Paramètres!$A$1:$I$89,3,0)*0.475*44/12</f>
        <v>1.6273538242819759E-15</v>
      </c>
      <c r="AC136" s="24">
        <f t="shared" si="111"/>
        <v>1.7833592744837272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-3.1036506698001178E-14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293.73480285950245</v>
      </c>
      <c r="AO136" s="62">
        <f t="shared" si="144"/>
        <v>425.99823184414191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1.2151510475401079</v>
      </c>
      <c r="AW136" s="23">
        <f>EXP(-LN(2)/2)*AW135+(1-EXP(-LN(2)/2))/(LN(2)/2)*AQ136*AT136*VLOOKUP('Données projet'!$B$10,Paramètres!$A$1:$I$89,3,0)*0.475*44/12</f>
        <v>6.0699444763142393E-15</v>
      </c>
      <c r="AX136" s="23">
        <f t="shared" si="114"/>
        <v>1.2151510475401139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-5.1431925385259088E-14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438.70522838726322</v>
      </c>
      <c r="BJ136" s="62">
        <f t="shared" si="146"/>
        <v>278.21741231699929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-5.4978954722173515E-14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466.10838191274445</v>
      </c>
      <c r="CE136" s="62">
        <f t="shared" si="148"/>
        <v>294.45557293177131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-3.4106051316484809E-13</v>
      </c>
      <c r="CU136" s="18">
        <f>CT136*VLOOKUP('Données projet'!$B$13,Paramètres!$A$1:$I$89,3,0)*VLOOKUP('Données projet'!$B$13,Paramètres!$A$1:$I$89,5,0)</f>
        <v>-2.5006556825246659E-13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376.5422416541544</v>
      </c>
      <c r="CZ136" s="62">
        <f t="shared" si="150"/>
        <v>365.76175372075869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-2.8421709430404007E-13</v>
      </c>
      <c r="DP136" s="18">
        <f>DO136*VLOOKUP('Données projet'!$B$14,Paramètres!$A$1:$I$89,3,0)*VLOOKUP('Données projet'!$B$14,Paramètres!$A$1:$I$89,5,0)</f>
        <v>-2.2612312022829427E-13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352.5736659365665</v>
      </c>
      <c r="DU136" s="62">
        <f t="shared" si="152"/>
        <v>343.77208530767069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2.2737367544323206E-13</v>
      </c>
      <c r="EK136" s="18">
        <f>EJ136*VLOOKUP('Données projet'!$B$15,Paramètres!$A$1:$I$89,3,0)*VLOOKUP('Données projet'!$B$15,Paramètres!$A$1:$I$89,5,0)</f>
        <v>2.0572770154103635E-13</v>
      </c>
      <c r="EL136" s="14">
        <f t="shared" si="153"/>
        <v>2.8416956338469711E-12</v>
      </c>
      <c r="EM136" s="22">
        <f t="shared" si="127"/>
        <v>5.3075956424674458E-12</v>
      </c>
      <c r="EN136" s="62">
        <f t="shared" si="128"/>
        <v>293.3333333333386</v>
      </c>
      <c r="EO136" s="62">
        <f ca="1">AVERAGE(OFFSET($EN$3,0,0,'Données projet'!$E$15+1,1))-AVERAGE(OFFSET($H$3,0,0,'Données projet'!$E$15+1,1))</f>
        <v>436.23918637269577</v>
      </c>
      <c r="EP136" s="62">
        <f t="shared" si="154"/>
        <v>611.43967996341894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0.61129078171831419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0.61129078171831419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1.9895196601282805E-13</v>
      </c>
      <c r="FF136" s="18">
        <f>FE136*VLOOKUP('Données projet'!$B$16,Paramètres!$A$1:$I$89,3,0)*VLOOKUP('Données projet'!$B$16,Paramètres!$A$1:$I$89,5,0)</f>
        <v>1.738044375088066E-13</v>
      </c>
      <c r="FG136" s="14">
        <f t="shared" si="155"/>
        <v>2.4483293633950478E-12</v>
      </c>
      <c r="FH136" s="22">
        <f t="shared" si="130"/>
        <v>4.566883036574213E-12</v>
      </c>
      <c r="FI136" s="62">
        <f t="shared" si="131"/>
        <v>293.33333333333786</v>
      </c>
      <c r="FJ136" s="62">
        <f ca="1">AVERAGE(OFFSET($FI$3,0,0,'Données projet'!$E$16+1,1))-AVERAGE(OFFSET($H$3,0,0,'Données projet'!$E$16+1,1))</f>
        <v>321.23599968992932</v>
      </c>
      <c r="FK136" s="62">
        <f t="shared" si="156"/>
        <v>388.05195847800502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6.3550942286383367E-14</v>
      </c>
      <c r="P137" s="14">
        <f t="shared" si="141"/>
        <v>1.0064464192543978E-12</v>
      </c>
      <c r="Q137" s="22">
        <f t="shared" si="108"/>
        <v>1.8635787380168604E-12</v>
      </c>
      <c r="R137" s="62">
        <f t="shared" si="109"/>
        <v>293.33333333333519</v>
      </c>
      <c r="S137" s="62">
        <f ca="1">AVERAGE(OFFSET($R$3,0,0,'Données projet'!$E$9+1,1))-AVERAGE(OFFSET($H$3,0,0,'Données projet'!$E$9+1,1))</f>
        <v>389.06620927245814</v>
      </c>
      <c r="T137" s="62">
        <f t="shared" si="142"/>
        <v>356.08144160383193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1.7345932213401798</v>
      </c>
      <c r="AB137" s="23">
        <f>EXP(-LN(2)/2)*AB136+(1-EXP(-LN(2)/2))/(LN(2)/2)*V137*Y137*VLOOKUP('Données projet'!$B$9,Paramètres!$A$1:$I$89,3,0)*0.475*44/12</f>
        <v>1.1507129245396464E-15</v>
      </c>
      <c r="AC137" s="24">
        <f t="shared" si="111"/>
        <v>1.7345932213401809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-3.1036506698001178E-14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293.73480285950245</v>
      </c>
      <c r="AO137" s="62">
        <f t="shared" si="144"/>
        <v>425.99823184414191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1.1819226782431074</v>
      </c>
      <c r="AW137" s="23">
        <f>EXP(-LN(2)/2)*AW136+(1-EXP(-LN(2)/2))/(LN(2)/2)*AQ137*AT137*VLOOKUP('Données projet'!$B$10,Paramètres!$A$1:$I$89,3,0)*0.475*44/12</f>
        <v>4.2920989006276255E-15</v>
      </c>
      <c r="AX137" s="23">
        <f t="shared" si="114"/>
        <v>1.1819226782431116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-5.1431925385259088E-14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438.70522838726322</v>
      </c>
      <c r="BJ137" s="62">
        <f t="shared" si="146"/>
        <v>278.21741231699929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-5.4978954722173515E-14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466.10838191274445</v>
      </c>
      <c r="CE137" s="62">
        <f t="shared" si="148"/>
        <v>294.45557293177131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-3.4106051316484809E-13</v>
      </c>
      <c r="CU137" s="18">
        <f>CT137*VLOOKUP('Données projet'!$B$13,Paramètres!$A$1:$I$89,3,0)*VLOOKUP('Données projet'!$B$13,Paramètres!$A$1:$I$89,5,0)</f>
        <v>-2.5006556825246659E-13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376.5422416541544</v>
      </c>
      <c r="CZ137" s="62">
        <f t="shared" si="150"/>
        <v>365.76175372075869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-2.8421709430404007E-13</v>
      </c>
      <c r="DP137" s="18">
        <f>DO137*VLOOKUP('Données projet'!$B$14,Paramètres!$A$1:$I$89,3,0)*VLOOKUP('Données projet'!$B$14,Paramètres!$A$1:$I$89,5,0)</f>
        <v>-2.2612312022829427E-13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352.5736659365665</v>
      </c>
      <c r="DU137" s="62">
        <f t="shared" si="152"/>
        <v>343.77208530767069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2.2737367544323206E-13</v>
      </c>
      <c r="EK137" s="18">
        <f>EJ137*VLOOKUP('Données projet'!$B$15,Paramètres!$A$1:$I$89,3,0)*VLOOKUP('Données projet'!$B$15,Paramètres!$A$1:$I$89,5,0)</f>
        <v>2.0572770154103635E-13</v>
      </c>
      <c r="EL137" s="14">
        <f t="shared" si="153"/>
        <v>2.8416956338469711E-12</v>
      </c>
      <c r="EM137" s="22">
        <f t="shared" si="127"/>
        <v>5.3075956424674458E-12</v>
      </c>
      <c r="EN137" s="62">
        <f t="shared" si="128"/>
        <v>293.3333333333386</v>
      </c>
      <c r="EO137" s="62">
        <f ca="1">AVERAGE(OFFSET($EN$3,0,0,'Données projet'!$E$15+1,1))-AVERAGE(OFFSET($H$3,0,0,'Données projet'!$E$15+1,1))</f>
        <v>436.23918637269577</v>
      </c>
      <c r="EP137" s="62">
        <f t="shared" si="154"/>
        <v>611.43967996341894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0.599303742339379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0.599303742339379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1.9895196601282805E-13</v>
      </c>
      <c r="FF137" s="18">
        <f>FE137*VLOOKUP('Données projet'!$B$16,Paramètres!$A$1:$I$89,3,0)*VLOOKUP('Données projet'!$B$16,Paramètres!$A$1:$I$89,5,0)</f>
        <v>1.738044375088066E-13</v>
      </c>
      <c r="FG137" s="14">
        <f t="shared" si="155"/>
        <v>2.4483293633950478E-12</v>
      </c>
      <c r="FH137" s="22">
        <f t="shared" si="130"/>
        <v>4.566883036574213E-12</v>
      </c>
      <c r="FI137" s="62">
        <f t="shared" si="131"/>
        <v>293.33333333333786</v>
      </c>
      <c r="FJ137" s="62">
        <f ca="1">AVERAGE(OFFSET($FI$3,0,0,'Données projet'!$E$16+1,1))-AVERAGE(OFFSET($H$3,0,0,'Données projet'!$E$16+1,1))</f>
        <v>321.23599968992932</v>
      </c>
      <c r="FK137" s="62">
        <f t="shared" si="156"/>
        <v>388.05195847800502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6.3550942286383367E-14</v>
      </c>
      <c r="P138" s="14">
        <f t="shared" si="141"/>
        <v>1.0064464192543978E-12</v>
      </c>
      <c r="Q138" s="22">
        <f t="shared" si="108"/>
        <v>1.8635787380168604E-12</v>
      </c>
      <c r="R138" s="62">
        <f t="shared" si="109"/>
        <v>293.33333333333519</v>
      </c>
      <c r="S138" s="62">
        <f ca="1">AVERAGE(OFFSET($R$3,0,0,'Données projet'!$E$9+1,1))-AVERAGE(OFFSET($H$3,0,0,'Données projet'!$E$9+1,1))</f>
        <v>389.06620927245814</v>
      </c>
      <c r="T138" s="62">
        <f t="shared" si="142"/>
        <v>356.08144160383193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1.6871606784843396</v>
      </c>
      <c r="AB138" s="23">
        <f>EXP(-LN(2)/2)*AB137+(1-EXP(-LN(2)/2))/(LN(2)/2)*V138*Y138*VLOOKUP('Données projet'!$B$9,Paramètres!$A$1:$I$89,3,0)*0.475*44/12</f>
        <v>8.1367691214098793E-16</v>
      </c>
      <c r="AC138" s="24">
        <f t="shared" si="111"/>
        <v>1.6871606784843405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-3.1036506698001178E-14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293.73480285950245</v>
      </c>
      <c r="AO138" s="62">
        <f t="shared" si="144"/>
        <v>425.99823184414191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1.1496029404519372</v>
      </c>
      <c r="AW138" s="23">
        <f>EXP(-LN(2)/2)*AW137+(1-EXP(-LN(2)/2))/(LN(2)/2)*AQ138*AT138*VLOOKUP('Données projet'!$B$10,Paramètres!$A$1:$I$89,3,0)*0.475*44/12</f>
        <v>3.0349722381571196E-15</v>
      </c>
      <c r="AX138" s="23">
        <f t="shared" si="114"/>
        <v>1.1496029404519403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-5.1431925385259088E-14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438.70522838726322</v>
      </c>
      <c r="BJ138" s="62">
        <f t="shared" si="146"/>
        <v>278.21741231699929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-5.4978954722173515E-14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466.10838191274445</v>
      </c>
      <c r="CE138" s="62">
        <f t="shared" si="148"/>
        <v>294.45557293177131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-3.4106051316484809E-13</v>
      </c>
      <c r="CU138" s="18">
        <f>CT138*VLOOKUP('Données projet'!$B$13,Paramètres!$A$1:$I$89,3,0)*VLOOKUP('Données projet'!$B$13,Paramètres!$A$1:$I$89,5,0)</f>
        <v>-2.5006556825246659E-13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376.5422416541544</v>
      </c>
      <c r="CZ138" s="62">
        <f t="shared" si="150"/>
        <v>365.76175372075869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-2.8421709430404007E-13</v>
      </c>
      <c r="DP138" s="18">
        <f>DO138*VLOOKUP('Données projet'!$B$14,Paramètres!$A$1:$I$89,3,0)*VLOOKUP('Données projet'!$B$14,Paramètres!$A$1:$I$89,5,0)</f>
        <v>-2.2612312022829427E-13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352.5736659365665</v>
      </c>
      <c r="DU138" s="62">
        <f t="shared" si="152"/>
        <v>343.77208530767069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2.2737367544323206E-13</v>
      </c>
      <c r="EK138" s="18">
        <f>EJ138*VLOOKUP('Données projet'!$B$15,Paramètres!$A$1:$I$89,3,0)*VLOOKUP('Données projet'!$B$15,Paramètres!$A$1:$I$89,5,0)</f>
        <v>2.0572770154103635E-13</v>
      </c>
      <c r="EL138" s="14">
        <f t="shared" si="153"/>
        <v>2.8416956338469711E-12</v>
      </c>
      <c r="EM138" s="22">
        <f t="shared" si="127"/>
        <v>5.3075956424674458E-12</v>
      </c>
      <c r="EN138" s="62">
        <f t="shared" si="128"/>
        <v>293.3333333333386</v>
      </c>
      <c r="EO138" s="62">
        <f ca="1">AVERAGE(OFFSET($EN$3,0,0,'Données projet'!$E$15+1,1))-AVERAGE(OFFSET($H$3,0,0,'Données projet'!$E$15+1,1))</f>
        <v>436.23918637269577</v>
      </c>
      <c r="EP138" s="62">
        <f t="shared" si="154"/>
        <v>611.43967996341894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0.58755176149129262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0.58755176149129262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1.9895196601282805E-13</v>
      </c>
      <c r="FF138" s="18">
        <f>FE138*VLOOKUP('Données projet'!$B$16,Paramètres!$A$1:$I$89,3,0)*VLOOKUP('Données projet'!$B$16,Paramètres!$A$1:$I$89,5,0)</f>
        <v>1.738044375088066E-13</v>
      </c>
      <c r="FG138" s="14">
        <f t="shared" si="155"/>
        <v>2.4483293633950478E-12</v>
      </c>
      <c r="FH138" s="22">
        <f t="shared" si="130"/>
        <v>4.566883036574213E-12</v>
      </c>
      <c r="FI138" s="62">
        <f t="shared" si="131"/>
        <v>293.33333333333786</v>
      </c>
      <c r="FJ138" s="62">
        <f ca="1">AVERAGE(OFFSET($FI$3,0,0,'Données projet'!$E$16+1,1))-AVERAGE(OFFSET($H$3,0,0,'Données projet'!$E$16+1,1))</f>
        <v>321.23599968992932</v>
      </c>
      <c r="FK138" s="62">
        <f t="shared" si="156"/>
        <v>388.05195847800502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6.3550942286383367E-14</v>
      </c>
      <c r="P139" s="14">
        <f t="shared" si="141"/>
        <v>1.0064464192543978E-12</v>
      </c>
      <c r="Q139" s="22">
        <f t="shared" si="108"/>
        <v>1.8635787380168604E-12</v>
      </c>
      <c r="R139" s="62">
        <f t="shared" si="109"/>
        <v>293.33333333333519</v>
      </c>
      <c r="S139" s="62">
        <f ca="1">AVERAGE(OFFSET($R$3,0,0,'Données projet'!$E$9+1,1))-AVERAGE(OFFSET($H$3,0,0,'Données projet'!$E$9+1,1))</f>
        <v>389.06620927245814</v>
      </c>
      <c r="T139" s="62">
        <f t="shared" si="142"/>
        <v>356.08144160383193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1.6410251810072614</v>
      </c>
      <c r="AB139" s="23">
        <f>EXP(-LN(2)/2)*AB138+(1-EXP(-LN(2)/2))/(LN(2)/2)*V139*Y139*VLOOKUP('Données projet'!$B$9,Paramètres!$A$1:$I$89,3,0)*0.475*44/12</f>
        <v>5.753564622698232E-16</v>
      </c>
      <c r="AC139" s="24">
        <f t="shared" si="111"/>
        <v>1.641025181007262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-3.1036506698001178E-14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293.73480285950245</v>
      </c>
      <c r="AO139" s="62">
        <f t="shared" si="144"/>
        <v>425.99823184414191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1.1181669875902878</v>
      </c>
      <c r="AW139" s="23">
        <f>EXP(-LN(2)/2)*AW138+(1-EXP(-LN(2)/2))/(LN(2)/2)*AQ139*AT139*VLOOKUP('Données projet'!$B$10,Paramètres!$A$1:$I$89,3,0)*0.475*44/12</f>
        <v>2.1460494503138127E-15</v>
      </c>
      <c r="AX139" s="23">
        <f t="shared" si="114"/>
        <v>1.11816698759029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-5.1431925385259088E-14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438.70522838726322</v>
      </c>
      <c r="BJ139" s="62">
        <f t="shared" si="146"/>
        <v>278.21741231699929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-5.4978954722173515E-14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466.10838191274445</v>
      </c>
      <c r="CE139" s="62">
        <f t="shared" si="148"/>
        <v>294.45557293177131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-3.4106051316484809E-13</v>
      </c>
      <c r="CU139" s="18">
        <f>CT139*VLOOKUP('Données projet'!$B$13,Paramètres!$A$1:$I$89,3,0)*VLOOKUP('Données projet'!$B$13,Paramètres!$A$1:$I$89,5,0)</f>
        <v>-2.5006556825246659E-13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376.5422416541544</v>
      </c>
      <c r="CZ139" s="62">
        <f t="shared" si="150"/>
        <v>365.76175372075869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-2.8421709430404007E-13</v>
      </c>
      <c r="DP139" s="18">
        <f>DO139*VLOOKUP('Données projet'!$B$14,Paramètres!$A$1:$I$89,3,0)*VLOOKUP('Données projet'!$B$14,Paramètres!$A$1:$I$89,5,0)</f>
        <v>-2.2612312022829427E-13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352.5736659365665</v>
      </c>
      <c r="DU139" s="62">
        <f t="shared" si="152"/>
        <v>343.77208530767069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2.2737367544323206E-13</v>
      </c>
      <c r="EK139" s="18">
        <f>EJ139*VLOOKUP('Données projet'!$B$15,Paramètres!$A$1:$I$89,3,0)*VLOOKUP('Données projet'!$B$15,Paramètres!$A$1:$I$89,5,0)</f>
        <v>2.0572770154103635E-13</v>
      </c>
      <c r="EL139" s="14">
        <f t="shared" si="153"/>
        <v>2.8416956338469711E-12</v>
      </c>
      <c r="EM139" s="22">
        <f t="shared" si="127"/>
        <v>5.3075956424674458E-12</v>
      </c>
      <c r="EN139" s="62">
        <f t="shared" si="128"/>
        <v>293.3333333333386</v>
      </c>
      <c r="EO139" s="62">
        <f ca="1">AVERAGE(OFFSET($EN$3,0,0,'Données projet'!$E$15+1,1))-AVERAGE(OFFSET($H$3,0,0,'Données projet'!$E$15+1,1))</f>
        <v>436.23918637269577</v>
      </c>
      <c r="EP139" s="62">
        <f t="shared" si="154"/>
        <v>611.43967996341894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0.5760302298196367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0.5760302298196367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1.9895196601282805E-13</v>
      </c>
      <c r="FF139" s="18">
        <f>FE139*VLOOKUP('Données projet'!$B$16,Paramètres!$A$1:$I$89,3,0)*VLOOKUP('Données projet'!$B$16,Paramètres!$A$1:$I$89,5,0)</f>
        <v>1.738044375088066E-13</v>
      </c>
      <c r="FG139" s="14">
        <f t="shared" si="155"/>
        <v>2.4483293633950478E-12</v>
      </c>
      <c r="FH139" s="22">
        <f t="shared" si="130"/>
        <v>4.566883036574213E-12</v>
      </c>
      <c r="FI139" s="62">
        <f t="shared" si="131"/>
        <v>293.33333333333786</v>
      </c>
      <c r="FJ139" s="62">
        <f ca="1">AVERAGE(OFFSET($FI$3,0,0,'Données projet'!$E$16+1,1))-AVERAGE(OFFSET($H$3,0,0,'Données projet'!$E$16+1,1))</f>
        <v>321.23599968992932</v>
      </c>
      <c r="FK139" s="62">
        <f t="shared" si="156"/>
        <v>388.05195847800502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6.3550942286383367E-14</v>
      </c>
      <c r="P140" s="14">
        <f t="shared" si="141"/>
        <v>1.0064464192543978E-12</v>
      </c>
      <c r="Q140" s="22">
        <f t="shared" si="108"/>
        <v>1.8635787380168604E-12</v>
      </c>
      <c r="R140" s="62">
        <f t="shared" si="109"/>
        <v>293.33333333333519</v>
      </c>
      <c r="S140" s="62">
        <f ca="1">AVERAGE(OFFSET($R$3,0,0,'Données projet'!$E$9+1,1))-AVERAGE(OFFSET($H$3,0,0,'Données projet'!$E$9+1,1))</f>
        <v>389.06620927245814</v>
      </c>
      <c r="T140" s="62">
        <f t="shared" si="142"/>
        <v>356.08144160383193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1.5961512611348541</v>
      </c>
      <c r="AB140" s="23">
        <f>EXP(-LN(2)/2)*AB139+(1-EXP(-LN(2)/2))/(LN(2)/2)*V140*Y140*VLOOKUP('Données projet'!$B$9,Paramètres!$A$1:$I$89,3,0)*0.475*44/12</f>
        <v>4.0683845607049396E-16</v>
      </c>
      <c r="AC140" s="24">
        <f t="shared" si="111"/>
        <v>1.5961512611348545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-3.1036506698001178E-14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293.73480285950245</v>
      </c>
      <c r="AO140" s="62">
        <f t="shared" si="144"/>
        <v>425.99823184414191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1.087590652512785</v>
      </c>
      <c r="AW140" s="23">
        <f>EXP(-LN(2)/2)*AW139+(1-EXP(-LN(2)/2))/(LN(2)/2)*AQ140*AT140*VLOOKUP('Données projet'!$B$10,Paramètres!$A$1:$I$89,3,0)*0.475*44/12</f>
        <v>1.5174861190785598E-15</v>
      </c>
      <c r="AX140" s="23">
        <f t="shared" si="114"/>
        <v>1.0875906525127865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-5.1431925385259088E-14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438.70522838726322</v>
      </c>
      <c r="BJ140" s="62">
        <f t="shared" si="146"/>
        <v>278.21741231699929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-5.4978954722173515E-14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466.10838191274445</v>
      </c>
      <c r="CE140" s="62">
        <f t="shared" si="148"/>
        <v>294.45557293177131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-3.4106051316484809E-13</v>
      </c>
      <c r="CU140" s="18">
        <f>CT140*VLOOKUP('Données projet'!$B$13,Paramètres!$A$1:$I$89,3,0)*VLOOKUP('Données projet'!$B$13,Paramètres!$A$1:$I$89,5,0)</f>
        <v>-2.5006556825246659E-13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376.5422416541544</v>
      </c>
      <c r="CZ140" s="62">
        <f t="shared" si="150"/>
        <v>365.76175372075869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-2.8421709430404007E-13</v>
      </c>
      <c r="DP140" s="18">
        <f>DO140*VLOOKUP('Données projet'!$B$14,Paramètres!$A$1:$I$89,3,0)*VLOOKUP('Données projet'!$B$14,Paramètres!$A$1:$I$89,5,0)</f>
        <v>-2.2612312022829427E-13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352.5736659365665</v>
      </c>
      <c r="DU140" s="62">
        <f t="shared" si="152"/>
        <v>343.77208530767069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2.2737367544323206E-13</v>
      </c>
      <c r="EK140" s="18">
        <f>EJ140*VLOOKUP('Données projet'!$B$15,Paramètres!$A$1:$I$89,3,0)*VLOOKUP('Données projet'!$B$15,Paramètres!$A$1:$I$89,5,0)</f>
        <v>2.0572770154103635E-13</v>
      </c>
      <c r="EL140" s="14">
        <f t="shared" si="153"/>
        <v>2.8416956338469711E-12</v>
      </c>
      <c r="EM140" s="22">
        <f t="shared" si="127"/>
        <v>5.3075956424674458E-12</v>
      </c>
      <c r="EN140" s="62">
        <f t="shared" si="128"/>
        <v>293.3333333333386</v>
      </c>
      <c r="EO140" s="62">
        <f ca="1">AVERAGE(OFFSET($EN$3,0,0,'Données projet'!$E$15+1,1))-AVERAGE(OFFSET($H$3,0,0,'Données projet'!$E$15+1,1))</f>
        <v>436.23918637269577</v>
      </c>
      <c r="EP140" s="62">
        <f t="shared" si="154"/>
        <v>611.43967996341894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0.56473462835662147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0.56473462835662147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1.9895196601282805E-13</v>
      </c>
      <c r="FF140" s="18">
        <f>FE140*VLOOKUP('Données projet'!$B$16,Paramètres!$A$1:$I$89,3,0)*VLOOKUP('Données projet'!$B$16,Paramètres!$A$1:$I$89,5,0)</f>
        <v>1.738044375088066E-13</v>
      </c>
      <c r="FG140" s="14">
        <f t="shared" si="155"/>
        <v>2.4483293633950478E-12</v>
      </c>
      <c r="FH140" s="22">
        <f t="shared" si="130"/>
        <v>4.566883036574213E-12</v>
      </c>
      <c r="FI140" s="62">
        <f t="shared" si="131"/>
        <v>293.33333333333786</v>
      </c>
      <c r="FJ140" s="62">
        <f ca="1">AVERAGE(OFFSET($FI$3,0,0,'Données projet'!$E$16+1,1))-AVERAGE(OFFSET($H$3,0,0,'Données projet'!$E$16+1,1))</f>
        <v>321.23599968992932</v>
      </c>
      <c r="FK140" s="62">
        <f t="shared" si="156"/>
        <v>388.05195847800502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6.3550942286383367E-14</v>
      </c>
      <c r="P141" s="14">
        <f t="shared" si="141"/>
        <v>1.0064464192543978E-12</v>
      </c>
      <c r="Q141" s="22">
        <f t="shared" si="108"/>
        <v>1.8635787380168604E-12</v>
      </c>
      <c r="R141" s="62">
        <f t="shared" si="109"/>
        <v>293.33333333333519</v>
      </c>
      <c r="S141" s="62">
        <f ca="1">AVERAGE(OFFSET($R$3,0,0,'Données projet'!$E$9+1,1))-AVERAGE(OFFSET($H$3,0,0,'Données projet'!$E$9+1,1))</f>
        <v>389.06620927245814</v>
      </c>
      <c r="T141" s="62">
        <f t="shared" si="142"/>
        <v>356.08144160383193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1.5525044209611747</v>
      </c>
      <c r="AB141" s="23">
        <f>EXP(-LN(2)/2)*AB140+(1-EXP(-LN(2)/2))/(LN(2)/2)*V141*Y141*VLOOKUP('Données projet'!$B$9,Paramètres!$A$1:$I$89,3,0)*0.475*44/12</f>
        <v>2.876782311349116E-16</v>
      </c>
      <c r="AC141" s="24">
        <f t="shared" si="111"/>
        <v>1.5525044209611749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-3.1036506698001178E-14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293.73480285950245</v>
      </c>
      <c r="AO141" s="62">
        <f t="shared" si="144"/>
        <v>425.99823184414191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1.0578504289259161</v>
      </c>
      <c r="AW141" s="23">
        <f>EXP(-LN(2)/2)*AW140+(1-EXP(-LN(2)/2))/(LN(2)/2)*AQ141*AT141*VLOOKUP('Données projet'!$B$10,Paramètres!$A$1:$I$89,3,0)*0.475*44/12</f>
        <v>1.0730247251569064E-15</v>
      </c>
      <c r="AX141" s="23">
        <f t="shared" si="114"/>
        <v>1.0578504289259172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-5.1431925385259088E-14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438.70522838726322</v>
      </c>
      <c r="BJ141" s="62">
        <f t="shared" si="146"/>
        <v>278.21741231699929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-5.4978954722173515E-14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466.10838191274445</v>
      </c>
      <c r="CE141" s="62">
        <f t="shared" si="148"/>
        <v>294.45557293177131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-3.4106051316484809E-13</v>
      </c>
      <c r="CU141" s="18">
        <f>CT141*VLOOKUP('Données projet'!$B$13,Paramètres!$A$1:$I$89,3,0)*VLOOKUP('Données projet'!$B$13,Paramètres!$A$1:$I$89,5,0)</f>
        <v>-2.5006556825246659E-13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376.5422416541544</v>
      </c>
      <c r="CZ141" s="62">
        <f t="shared" si="150"/>
        <v>365.76175372075869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-2.8421709430404007E-13</v>
      </c>
      <c r="DP141" s="18">
        <f>DO141*VLOOKUP('Données projet'!$B$14,Paramètres!$A$1:$I$89,3,0)*VLOOKUP('Données projet'!$B$14,Paramètres!$A$1:$I$89,5,0)</f>
        <v>-2.2612312022829427E-13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352.5736659365665</v>
      </c>
      <c r="DU141" s="62">
        <f t="shared" si="152"/>
        <v>343.77208530767069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2.2737367544323206E-13</v>
      </c>
      <c r="EK141" s="18">
        <f>EJ141*VLOOKUP('Données projet'!$B$15,Paramètres!$A$1:$I$89,3,0)*VLOOKUP('Données projet'!$B$15,Paramètres!$A$1:$I$89,5,0)</f>
        <v>2.0572770154103635E-13</v>
      </c>
      <c r="EL141" s="14">
        <f t="shared" si="153"/>
        <v>2.8416956338469711E-12</v>
      </c>
      <c r="EM141" s="22">
        <f t="shared" si="127"/>
        <v>5.3075956424674458E-12</v>
      </c>
      <c r="EN141" s="62">
        <f t="shared" si="128"/>
        <v>293.3333333333386</v>
      </c>
      <c r="EO141" s="62">
        <f ca="1">AVERAGE(OFFSET($EN$3,0,0,'Données projet'!$E$15+1,1))-AVERAGE(OFFSET($H$3,0,0,'Données projet'!$E$15+1,1))</f>
        <v>436.23918637269577</v>
      </c>
      <c r="EP141" s="62">
        <f t="shared" si="154"/>
        <v>611.43967996341894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0.5536605267486594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0.5536605267486594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1.9895196601282805E-13</v>
      </c>
      <c r="FF141" s="18">
        <f>FE141*VLOOKUP('Données projet'!$B$16,Paramètres!$A$1:$I$89,3,0)*VLOOKUP('Données projet'!$B$16,Paramètres!$A$1:$I$89,5,0)</f>
        <v>1.738044375088066E-13</v>
      </c>
      <c r="FG141" s="14">
        <f t="shared" si="155"/>
        <v>2.4483293633950478E-12</v>
      </c>
      <c r="FH141" s="22">
        <f t="shared" si="130"/>
        <v>4.566883036574213E-12</v>
      </c>
      <c r="FI141" s="62">
        <f t="shared" si="131"/>
        <v>293.33333333333786</v>
      </c>
      <c r="FJ141" s="62">
        <f ca="1">AVERAGE(OFFSET($FI$3,0,0,'Données projet'!$E$16+1,1))-AVERAGE(OFFSET($H$3,0,0,'Données projet'!$E$16+1,1))</f>
        <v>321.23599968992932</v>
      </c>
      <c r="FK141" s="62">
        <f t="shared" si="156"/>
        <v>388.05195847800502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6.3550942286383367E-14</v>
      </c>
      <c r="P142" s="14">
        <f t="shared" si="141"/>
        <v>1.0064464192543978E-12</v>
      </c>
      <c r="Q142" s="22">
        <f t="shared" si="108"/>
        <v>1.8635787380168604E-12</v>
      </c>
      <c r="R142" s="62">
        <f t="shared" si="109"/>
        <v>293.33333333333519</v>
      </c>
      <c r="S142" s="62">
        <f ca="1">AVERAGE(OFFSET($R$3,0,0,'Données projet'!$E$9+1,1))-AVERAGE(OFFSET($H$3,0,0,'Données projet'!$E$9+1,1))</f>
        <v>389.06620927245814</v>
      </c>
      <c r="T142" s="62">
        <f t="shared" si="142"/>
        <v>356.08144160383193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1.5100511059273323</v>
      </c>
      <c r="AB142" s="23">
        <f>EXP(-LN(2)/2)*AB141+(1-EXP(-LN(2)/2))/(LN(2)/2)*V142*Y142*VLOOKUP('Données projet'!$B$9,Paramètres!$A$1:$I$89,3,0)*0.475*44/12</f>
        <v>2.0341922803524698E-16</v>
      </c>
      <c r="AC142" s="24">
        <f t="shared" si="111"/>
        <v>1.5100511059273325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-3.1036506698001178E-14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293.73480285950245</v>
      </c>
      <c r="AO142" s="62">
        <f t="shared" si="144"/>
        <v>425.99823184414191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1.0289234533170006</v>
      </c>
      <c r="AW142" s="23">
        <f>EXP(-LN(2)/2)*AW141+(1-EXP(-LN(2)/2))/(LN(2)/2)*AQ142*AT142*VLOOKUP('Données projet'!$B$10,Paramètres!$A$1:$I$89,3,0)*0.475*44/12</f>
        <v>7.5874305953927991E-16</v>
      </c>
      <c r="AX142" s="23">
        <f t="shared" si="114"/>
        <v>1.0289234533170013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-5.1431925385259088E-14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438.70522838726322</v>
      </c>
      <c r="BJ142" s="62">
        <f t="shared" si="146"/>
        <v>278.21741231699929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-5.4978954722173515E-14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466.10838191274445</v>
      </c>
      <c r="CE142" s="62">
        <f t="shared" si="148"/>
        <v>294.45557293177131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-3.4106051316484809E-13</v>
      </c>
      <c r="CU142" s="18">
        <f>CT142*VLOOKUP('Données projet'!$B$13,Paramètres!$A$1:$I$89,3,0)*VLOOKUP('Données projet'!$B$13,Paramètres!$A$1:$I$89,5,0)</f>
        <v>-2.5006556825246659E-13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376.5422416541544</v>
      </c>
      <c r="CZ142" s="62">
        <f t="shared" si="150"/>
        <v>365.76175372075869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-2.8421709430404007E-13</v>
      </c>
      <c r="DP142" s="18">
        <f>DO142*VLOOKUP('Données projet'!$B$14,Paramètres!$A$1:$I$89,3,0)*VLOOKUP('Données projet'!$B$14,Paramètres!$A$1:$I$89,5,0)</f>
        <v>-2.2612312022829427E-13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352.5736659365665</v>
      </c>
      <c r="DU142" s="62">
        <f t="shared" si="152"/>
        <v>343.77208530767069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2.2737367544323206E-13</v>
      </c>
      <c r="EK142" s="18">
        <f>EJ142*VLOOKUP('Données projet'!$B$15,Paramètres!$A$1:$I$89,3,0)*VLOOKUP('Données projet'!$B$15,Paramètres!$A$1:$I$89,5,0)</f>
        <v>2.0572770154103635E-13</v>
      </c>
      <c r="EL142" s="14">
        <f t="shared" si="153"/>
        <v>2.8416956338469711E-12</v>
      </c>
      <c r="EM142" s="22">
        <f t="shared" si="127"/>
        <v>5.3075956424674458E-12</v>
      </c>
      <c r="EN142" s="62">
        <f t="shared" si="128"/>
        <v>293.3333333333386</v>
      </c>
      <c r="EO142" s="62">
        <f ca="1">AVERAGE(OFFSET($EN$3,0,0,'Données projet'!$E$15+1,1))-AVERAGE(OFFSET($H$3,0,0,'Données projet'!$E$15+1,1))</f>
        <v>436.23918637269577</v>
      </c>
      <c r="EP142" s="62">
        <f t="shared" si="154"/>
        <v>611.43967996341894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0.54280358151869446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0.54280358151869446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1.9895196601282805E-13</v>
      </c>
      <c r="FF142" s="18">
        <f>FE142*VLOOKUP('Données projet'!$B$16,Paramètres!$A$1:$I$89,3,0)*VLOOKUP('Données projet'!$B$16,Paramètres!$A$1:$I$89,5,0)</f>
        <v>1.738044375088066E-13</v>
      </c>
      <c r="FG142" s="14">
        <f t="shared" si="155"/>
        <v>2.4483293633950478E-12</v>
      </c>
      <c r="FH142" s="22">
        <f t="shared" si="130"/>
        <v>4.566883036574213E-12</v>
      </c>
      <c r="FI142" s="62">
        <f t="shared" si="131"/>
        <v>293.33333333333786</v>
      </c>
      <c r="FJ142" s="62">
        <f ca="1">AVERAGE(OFFSET($FI$3,0,0,'Données projet'!$E$16+1,1))-AVERAGE(OFFSET($H$3,0,0,'Données projet'!$E$16+1,1))</f>
        <v>321.23599968992932</v>
      </c>
      <c r="FK142" s="62">
        <f t="shared" si="156"/>
        <v>388.05195847800502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6.3550942286383367E-14</v>
      </c>
      <c r="P143" s="14">
        <f t="shared" si="141"/>
        <v>1.0064464192543978E-12</v>
      </c>
      <c r="Q143" s="22">
        <f t="shared" si="108"/>
        <v>1.8635787380168604E-12</v>
      </c>
      <c r="R143" s="62">
        <f t="shared" si="109"/>
        <v>293.33333333333519</v>
      </c>
      <c r="S143" s="62">
        <f ca="1">AVERAGE(OFFSET($R$3,0,0,'Données projet'!$E$9+1,1))-AVERAGE(OFFSET($H$3,0,0,'Données projet'!$E$9+1,1))</f>
        <v>389.06620927245814</v>
      </c>
      <c r="T143" s="62">
        <f t="shared" si="142"/>
        <v>356.08144160383193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1.4687586790256131</v>
      </c>
      <c r="AB143" s="23">
        <f>EXP(-LN(2)/2)*AB142+(1-EXP(-LN(2)/2))/(LN(2)/2)*V143*Y143*VLOOKUP('Données projet'!$B$9,Paramètres!$A$1:$I$89,3,0)*0.475*44/12</f>
        <v>1.438391155674558E-16</v>
      </c>
      <c r="AC143" s="24">
        <f t="shared" si="111"/>
        <v>1.4687586790256133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-3.1036506698001178E-14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293.73480285950245</v>
      </c>
      <c r="AO143" s="62">
        <f t="shared" si="144"/>
        <v>425.99823184414191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1.0007874873773144</v>
      </c>
      <c r="AW143" s="23">
        <f>EXP(-LN(2)/2)*AW142+(1-EXP(-LN(2)/2))/(LN(2)/2)*AQ143*AT143*VLOOKUP('Données projet'!$B$10,Paramètres!$A$1:$I$89,3,0)*0.475*44/12</f>
        <v>5.3651236257845319E-16</v>
      </c>
      <c r="AX143" s="23">
        <f t="shared" si="114"/>
        <v>1.0007874873773148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-5.1431925385259088E-14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438.70522838726322</v>
      </c>
      <c r="BJ143" s="62">
        <f t="shared" si="146"/>
        <v>278.21741231699929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-5.4978954722173515E-14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466.10838191274445</v>
      </c>
      <c r="CE143" s="62">
        <f t="shared" si="148"/>
        <v>294.45557293177131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-3.4106051316484809E-13</v>
      </c>
      <c r="CU143" s="18">
        <f>CT143*VLOOKUP('Données projet'!$B$13,Paramètres!$A$1:$I$89,3,0)*VLOOKUP('Données projet'!$B$13,Paramètres!$A$1:$I$89,5,0)</f>
        <v>-2.5006556825246659E-13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376.5422416541544</v>
      </c>
      <c r="CZ143" s="62">
        <f t="shared" si="150"/>
        <v>365.76175372075869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-2.8421709430404007E-13</v>
      </c>
      <c r="DP143" s="18">
        <f>DO143*VLOOKUP('Données projet'!$B$14,Paramètres!$A$1:$I$89,3,0)*VLOOKUP('Données projet'!$B$14,Paramètres!$A$1:$I$89,5,0)</f>
        <v>-2.2612312022829427E-13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352.5736659365665</v>
      </c>
      <c r="DU143" s="62">
        <f t="shared" si="152"/>
        <v>343.77208530767069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2.2737367544323206E-13</v>
      </c>
      <c r="EK143" s="18">
        <f>EJ143*VLOOKUP('Données projet'!$B$15,Paramètres!$A$1:$I$89,3,0)*VLOOKUP('Données projet'!$B$15,Paramètres!$A$1:$I$89,5,0)</f>
        <v>2.0572770154103635E-13</v>
      </c>
      <c r="EL143" s="14">
        <f t="shared" si="153"/>
        <v>2.8416956338469711E-12</v>
      </c>
      <c r="EM143" s="22">
        <f t="shared" si="127"/>
        <v>5.3075956424674458E-12</v>
      </c>
      <c r="EN143" s="62">
        <f t="shared" si="128"/>
        <v>293.3333333333386</v>
      </c>
      <c r="EO143" s="62">
        <f ca="1">AVERAGE(OFFSET($EN$3,0,0,'Données projet'!$E$15+1,1))-AVERAGE(OFFSET($H$3,0,0,'Données projet'!$E$15+1,1))</f>
        <v>436.23918637269577</v>
      </c>
      <c r="EP143" s="62">
        <f t="shared" si="154"/>
        <v>611.43967996341894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0.53215953436260643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0.53215953436260643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1.9895196601282805E-13</v>
      </c>
      <c r="FF143" s="18">
        <f>FE143*VLOOKUP('Données projet'!$B$16,Paramètres!$A$1:$I$89,3,0)*VLOOKUP('Données projet'!$B$16,Paramètres!$A$1:$I$89,5,0)</f>
        <v>1.738044375088066E-13</v>
      </c>
      <c r="FG143" s="14">
        <f t="shared" si="155"/>
        <v>2.4483293633950478E-12</v>
      </c>
      <c r="FH143" s="22">
        <f t="shared" si="130"/>
        <v>4.566883036574213E-12</v>
      </c>
      <c r="FI143" s="62">
        <f t="shared" si="131"/>
        <v>293.33333333333786</v>
      </c>
      <c r="FJ143" s="62">
        <f ca="1">AVERAGE(OFFSET($FI$3,0,0,'Données projet'!$E$16+1,1))-AVERAGE(OFFSET($H$3,0,0,'Données projet'!$E$16+1,1))</f>
        <v>321.23599968992932</v>
      </c>
      <c r="FK143" s="62">
        <f t="shared" si="156"/>
        <v>388.05195847800502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6.3550942286383367E-14</v>
      </c>
      <c r="P144" s="14">
        <f t="shared" si="141"/>
        <v>1.0064464192543978E-12</v>
      </c>
      <c r="Q144" s="22">
        <f t="shared" si="108"/>
        <v>1.8635787380168604E-12</v>
      </c>
      <c r="R144" s="62">
        <f t="shared" si="109"/>
        <v>293.33333333333519</v>
      </c>
      <c r="S144" s="62">
        <f ca="1">AVERAGE(OFFSET($R$3,0,0,'Données projet'!$E$9+1,1))-AVERAGE(OFFSET($H$3,0,0,'Données projet'!$E$9+1,1))</f>
        <v>389.06620927245814</v>
      </c>
      <c r="T144" s="62">
        <f t="shared" si="142"/>
        <v>356.08144160383193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1.4285953957089956</v>
      </c>
      <c r="AB144" s="23">
        <f>EXP(-LN(2)/2)*AB143+(1-EXP(-LN(2)/2))/(LN(2)/2)*V144*Y144*VLOOKUP('Données projet'!$B$9,Paramètres!$A$1:$I$89,3,0)*0.475*44/12</f>
        <v>1.0170961401762349E-16</v>
      </c>
      <c r="AC144" s="24">
        <f t="shared" si="111"/>
        <v>1.4285953957089956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-3.1036506698001178E-14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293.73480285950245</v>
      </c>
      <c r="AO144" s="62">
        <f t="shared" si="144"/>
        <v>425.99823184414191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0.97342090090585509</v>
      </c>
      <c r="AW144" s="23">
        <f>EXP(-LN(2)/2)*AW143+(1-EXP(-LN(2)/2))/(LN(2)/2)*AQ144*AT144*VLOOKUP('Données projet'!$B$10,Paramètres!$A$1:$I$89,3,0)*0.475*44/12</f>
        <v>3.7937152976963995E-16</v>
      </c>
      <c r="AX144" s="23">
        <f t="shared" si="114"/>
        <v>0.97342090090585542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-5.1431925385259088E-14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438.70522838726322</v>
      </c>
      <c r="BJ144" s="62">
        <f t="shared" si="146"/>
        <v>278.21741231699929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-5.4978954722173515E-14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466.10838191274445</v>
      </c>
      <c r="CE144" s="62">
        <f t="shared" si="148"/>
        <v>294.45557293177131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-3.4106051316484809E-13</v>
      </c>
      <c r="CU144" s="18">
        <f>CT144*VLOOKUP('Données projet'!$B$13,Paramètres!$A$1:$I$89,3,0)*VLOOKUP('Données projet'!$B$13,Paramètres!$A$1:$I$89,5,0)</f>
        <v>-2.5006556825246659E-13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376.5422416541544</v>
      </c>
      <c r="CZ144" s="62">
        <f t="shared" si="150"/>
        <v>365.76175372075869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-2.8421709430404007E-13</v>
      </c>
      <c r="DP144" s="18">
        <f>DO144*VLOOKUP('Données projet'!$B$14,Paramètres!$A$1:$I$89,3,0)*VLOOKUP('Données projet'!$B$14,Paramètres!$A$1:$I$89,5,0)</f>
        <v>-2.2612312022829427E-13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352.5736659365665</v>
      </c>
      <c r="DU144" s="62">
        <f t="shared" si="152"/>
        <v>343.77208530767069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2.2737367544323206E-13</v>
      </c>
      <c r="EK144" s="18">
        <f>EJ144*VLOOKUP('Données projet'!$B$15,Paramètres!$A$1:$I$89,3,0)*VLOOKUP('Données projet'!$B$15,Paramètres!$A$1:$I$89,5,0)</f>
        <v>2.0572770154103635E-13</v>
      </c>
      <c r="EL144" s="14">
        <f t="shared" si="153"/>
        <v>2.8416956338469711E-12</v>
      </c>
      <c r="EM144" s="22">
        <f t="shared" si="127"/>
        <v>5.3075956424674458E-12</v>
      </c>
      <c r="EN144" s="62">
        <f t="shared" si="128"/>
        <v>293.3333333333386</v>
      </c>
      <c r="EO144" s="62">
        <f ca="1">AVERAGE(OFFSET($EN$3,0,0,'Données projet'!$E$15+1,1))-AVERAGE(OFFSET($H$3,0,0,'Données projet'!$E$15+1,1))</f>
        <v>436.23918637269577</v>
      </c>
      <c r="EP144" s="62">
        <f t="shared" si="154"/>
        <v>611.43967996341894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0.52172421047902151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0.52172421047902151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1.9895196601282805E-13</v>
      </c>
      <c r="FF144" s="18">
        <f>FE144*VLOOKUP('Données projet'!$B$16,Paramètres!$A$1:$I$89,3,0)*VLOOKUP('Données projet'!$B$16,Paramètres!$A$1:$I$89,5,0)</f>
        <v>1.738044375088066E-13</v>
      </c>
      <c r="FG144" s="14">
        <f t="shared" si="155"/>
        <v>2.4483293633950478E-12</v>
      </c>
      <c r="FH144" s="22">
        <f t="shared" si="130"/>
        <v>4.566883036574213E-12</v>
      </c>
      <c r="FI144" s="62">
        <f t="shared" si="131"/>
        <v>293.33333333333786</v>
      </c>
      <c r="FJ144" s="62">
        <f ca="1">AVERAGE(OFFSET($FI$3,0,0,'Données projet'!$E$16+1,1))-AVERAGE(OFFSET($H$3,0,0,'Données projet'!$E$16+1,1))</f>
        <v>321.23599968992932</v>
      </c>
      <c r="FK144" s="62">
        <f t="shared" si="156"/>
        <v>388.05195847800502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6.3550942286383367E-14</v>
      </c>
      <c r="P145" s="14">
        <f t="shared" si="141"/>
        <v>1.0064464192543978E-12</v>
      </c>
      <c r="Q145" s="22">
        <f t="shared" si="108"/>
        <v>1.8635787380168604E-12</v>
      </c>
      <c r="R145" s="62">
        <f t="shared" si="109"/>
        <v>293.33333333333519</v>
      </c>
      <c r="S145" s="62">
        <f ca="1">AVERAGE(OFFSET($R$3,0,0,'Données projet'!$E$9+1,1))-AVERAGE(OFFSET($H$3,0,0,'Données projet'!$E$9+1,1))</f>
        <v>389.06620927245814</v>
      </c>
      <c r="T145" s="62">
        <f t="shared" si="142"/>
        <v>356.08144160383193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1.3895303794867664</v>
      </c>
      <c r="AB145" s="23">
        <f>EXP(-LN(2)/2)*AB144+(1-EXP(-LN(2)/2))/(LN(2)/2)*V145*Y145*VLOOKUP('Données projet'!$B$9,Paramètres!$A$1:$I$89,3,0)*0.475*44/12</f>
        <v>7.19195577837279E-17</v>
      </c>
      <c r="AC145" s="24">
        <f t="shared" si="111"/>
        <v>1.3895303794867664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-3.1036506698001178E-14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293.73480285950245</v>
      </c>
      <c r="AO145" s="62">
        <f t="shared" si="144"/>
        <v>425.99823184414191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0.94680265518060414</v>
      </c>
      <c r="AW145" s="23">
        <f>EXP(-LN(2)/2)*AW144+(1-EXP(-LN(2)/2))/(LN(2)/2)*AQ145*AT145*VLOOKUP('Données projet'!$B$10,Paramètres!$A$1:$I$89,3,0)*0.475*44/12</f>
        <v>2.6825618128922659E-16</v>
      </c>
      <c r="AX145" s="23">
        <f t="shared" si="114"/>
        <v>0.94680265518060436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-5.1431925385259088E-14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438.70522838726322</v>
      </c>
      <c r="BJ145" s="62">
        <f t="shared" si="146"/>
        <v>278.21741231699929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-5.4978954722173515E-14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466.10838191274445</v>
      </c>
      <c r="CE145" s="62">
        <f t="shared" si="148"/>
        <v>294.45557293177131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-3.4106051316484809E-13</v>
      </c>
      <c r="CU145" s="18">
        <f>CT145*VLOOKUP('Données projet'!$B$13,Paramètres!$A$1:$I$89,3,0)*VLOOKUP('Données projet'!$B$13,Paramètres!$A$1:$I$89,5,0)</f>
        <v>-2.5006556825246659E-13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376.5422416541544</v>
      </c>
      <c r="CZ145" s="62">
        <f t="shared" si="150"/>
        <v>365.76175372075869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-2.8421709430404007E-13</v>
      </c>
      <c r="DP145" s="18">
        <f>DO145*VLOOKUP('Données projet'!$B$14,Paramètres!$A$1:$I$89,3,0)*VLOOKUP('Données projet'!$B$14,Paramètres!$A$1:$I$89,5,0)</f>
        <v>-2.2612312022829427E-13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352.5736659365665</v>
      </c>
      <c r="DU145" s="62">
        <f t="shared" si="152"/>
        <v>343.77208530767069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2.2737367544323206E-13</v>
      </c>
      <c r="EK145" s="18">
        <f>EJ145*VLOOKUP('Données projet'!$B$15,Paramètres!$A$1:$I$89,3,0)*VLOOKUP('Données projet'!$B$15,Paramètres!$A$1:$I$89,5,0)</f>
        <v>2.0572770154103635E-13</v>
      </c>
      <c r="EL145" s="14">
        <f t="shared" si="153"/>
        <v>2.8416956338469711E-12</v>
      </c>
      <c r="EM145" s="22">
        <f t="shared" si="127"/>
        <v>5.3075956424674458E-12</v>
      </c>
      <c r="EN145" s="62">
        <f t="shared" si="128"/>
        <v>293.3333333333386</v>
      </c>
      <c r="EO145" s="62">
        <f ca="1">AVERAGE(OFFSET($EN$3,0,0,'Données projet'!$E$15+1,1))-AVERAGE(OFFSET($H$3,0,0,'Données projet'!$E$15+1,1))</f>
        <v>436.23918637269577</v>
      </c>
      <c r="EP145" s="62">
        <f t="shared" si="154"/>
        <v>611.43967996341894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0.51149351693187461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0.51149351693187461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1.9895196601282805E-13</v>
      </c>
      <c r="FF145" s="18">
        <f>FE145*VLOOKUP('Données projet'!$B$16,Paramètres!$A$1:$I$89,3,0)*VLOOKUP('Données projet'!$B$16,Paramètres!$A$1:$I$89,5,0)</f>
        <v>1.738044375088066E-13</v>
      </c>
      <c r="FG145" s="14">
        <f t="shared" si="155"/>
        <v>2.4483293633950478E-12</v>
      </c>
      <c r="FH145" s="22">
        <f t="shared" si="130"/>
        <v>4.566883036574213E-12</v>
      </c>
      <c r="FI145" s="62">
        <f t="shared" si="131"/>
        <v>293.33333333333786</v>
      </c>
      <c r="FJ145" s="62">
        <f ca="1">AVERAGE(OFFSET($FI$3,0,0,'Données projet'!$E$16+1,1))-AVERAGE(OFFSET($H$3,0,0,'Données projet'!$E$16+1,1))</f>
        <v>321.23599968992932</v>
      </c>
      <c r="FK145" s="62">
        <f t="shared" si="156"/>
        <v>388.05195847800502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6.3550942286383367E-14</v>
      </c>
      <c r="P146" s="14">
        <f t="shared" si="141"/>
        <v>1.0064464192543978E-12</v>
      </c>
      <c r="Q146" s="22">
        <f t="shared" si="108"/>
        <v>1.8635787380168604E-12</v>
      </c>
      <c r="R146" s="62">
        <f t="shared" si="109"/>
        <v>293.33333333333519</v>
      </c>
      <c r="S146" s="62">
        <f ca="1">AVERAGE(OFFSET($R$3,0,0,'Données projet'!$E$9+1,1))-AVERAGE(OFFSET($H$3,0,0,'Données projet'!$E$9+1,1))</f>
        <v>389.06620927245814</v>
      </c>
      <c r="T146" s="62">
        <f t="shared" si="142"/>
        <v>356.08144160383193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1.3515335981874739</v>
      </c>
      <c r="AB146" s="23">
        <f>EXP(-LN(2)/2)*AB145+(1-EXP(-LN(2)/2))/(LN(2)/2)*V146*Y146*VLOOKUP('Données projet'!$B$9,Paramètres!$A$1:$I$89,3,0)*0.475*44/12</f>
        <v>5.0854807008811745E-17</v>
      </c>
      <c r="AC146" s="24">
        <f t="shared" si="111"/>
        <v>1.3515335981874739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-3.1036506698001178E-14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293.73480285950245</v>
      </c>
      <c r="AO146" s="62">
        <f t="shared" si="144"/>
        <v>425.99823184414191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0.92091228678450288</v>
      </c>
      <c r="AW146" s="23">
        <f>EXP(-LN(2)/2)*AW145+(1-EXP(-LN(2)/2))/(LN(2)/2)*AQ146*AT146*VLOOKUP('Données projet'!$B$10,Paramètres!$A$1:$I$89,3,0)*0.475*44/12</f>
        <v>1.8968576488481998E-16</v>
      </c>
      <c r="AX146" s="23">
        <f t="shared" si="114"/>
        <v>0.9209122867845031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-5.1431925385259088E-14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438.70522838726322</v>
      </c>
      <c r="BJ146" s="62">
        <f t="shared" si="146"/>
        <v>278.21741231699929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-5.4978954722173515E-14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466.10838191274445</v>
      </c>
      <c r="CE146" s="62">
        <f t="shared" si="148"/>
        <v>294.45557293177131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-3.4106051316484809E-13</v>
      </c>
      <c r="CU146" s="18">
        <f>CT146*VLOOKUP('Données projet'!$B$13,Paramètres!$A$1:$I$89,3,0)*VLOOKUP('Données projet'!$B$13,Paramètres!$A$1:$I$89,5,0)</f>
        <v>-2.5006556825246659E-13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376.5422416541544</v>
      </c>
      <c r="CZ146" s="62">
        <f t="shared" si="150"/>
        <v>365.76175372075869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-2.8421709430404007E-13</v>
      </c>
      <c r="DP146" s="18">
        <f>DO146*VLOOKUP('Données projet'!$B$14,Paramètres!$A$1:$I$89,3,0)*VLOOKUP('Données projet'!$B$14,Paramètres!$A$1:$I$89,5,0)</f>
        <v>-2.2612312022829427E-13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352.5736659365665</v>
      </c>
      <c r="DU146" s="62">
        <f t="shared" si="152"/>
        <v>343.77208530767069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2.2737367544323206E-13</v>
      </c>
      <c r="EK146" s="18">
        <f>EJ146*VLOOKUP('Données projet'!$B$15,Paramètres!$A$1:$I$89,3,0)*VLOOKUP('Données projet'!$B$15,Paramètres!$A$1:$I$89,5,0)</f>
        <v>2.0572770154103635E-13</v>
      </c>
      <c r="EL146" s="14">
        <f t="shared" si="153"/>
        <v>2.8416956338469711E-12</v>
      </c>
      <c r="EM146" s="22">
        <f t="shared" si="127"/>
        <v>5.3075956424674458E-12</v>
      </c>
      <c r="EN146" s="62">
        <f t="shared" si="128"/>
        <v>293.3333333333386</v>
      </c>
      <c r="EO146" s="62">
        <f ca="1">AVERAGE(OFFSET($EN$3,0,0,'Données projet'!$E$15+1,1))-AVERAGE(OFFSET($H$3,0,0,'Données projet'!$E$15+1,1))</f>
        <v>436.23918637269577</v>
      </c>
      <c r="EP146" s="62">
        <f t="shared" si="154"/>
        <v>611.43967996341894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0.50146344104508034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0.50146344104508034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1.9895196601282805E-13</v>
      </c>
      <c r="FF146" s="18">
        <f>FE146*VLOOKUP('Données projet'!$B$16,Paramètres!$A$1:$I$89,3,0)*VLOOKUP('Données projet'!$B$16,Paramètres!$A$1:$I$89,5,0)</f>
        <v>1.738044375088066E-13</v>
      </c>
      <c r="FG146" s="14">
        <f t="shared" si="155"/>
        <v>2.4483293633950478E-12</v>
      </c>
      <c r="FH146" s="22">
        <f t="shared" si="130"/>
        <v>4.566883036574213E-12</v>
      </c>
      <c r="FI146" s="62">
        <f t="shared" si="131"/>
        <v>293.33333333333786</v>
      </c>
      <c r="FJ146" s="62">
        <f ca="1">AVERAGE(OFFSET($FI$3,0,0,'Données projet'!$E$16+1,1))-AVERAGE(OFFSET($H$3,0,0,'Données projet'!$E$16+1,1))</f>
        <v>321.23599968992932</v>
      </c>
      <c r="FK146" s="62">
        <f t="shared" si="156"/>
        <v>388.05195847800502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6.3550942286383367E-14</v>
      </c>
      <c r="P147" s="14">
        <f t="shared" si="141"/>
        <v>1.0064464192543978E-12</v>
      </c>
      <c r="Q147" s="22">
        <f t="shared" si="108"/>
        <v>1.8635787380168604E-12</v>
      </c>
      <c r="R147" s="62">
        <f t="shared" si="109"/>
        <v>293.33333333333519</v>
      </c>
      <c r="S147" s="62">
        <f ca="1">AVERAGE(OFFSET($R$3,0,0,'Données projet'!$E$9+1,1))-AVERAGE(OFFSET($H$3,0,0,'Données projet'!$E$9+1,1))</f>
        <v>389.06620927245814</v>
      </c>
      <c r="T147" s="62">
        <f t="shared" si="142"/>
        <v>356.08144160383193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1.3145758408709745</v>
      </c>
      <c r="AB147" s="23">
        <f>EXP(-LN(2)/2)*AB146+(1-EXP(-LN(2)/2))/(LN(2)/2)*V147*Y147*VLOOKUP('Données projet'!$B$9,Paramètres!$A$1:$I$89,3,0)*0.475*44/12</f>
        <v>3.595977889186395E-17</v>
      </c>
      <c r="AC147" s="24">
        <f t="shared" si="111"/>
        <v>1.3145758408709745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-3.1036506698001178E-14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293.73480285950245</v>
      </c>
      <c r="AO147" s="62">
        <f t="shared" si="144"/>
        <v>425.99823184414191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0.89572989187370822</v>
      </c>
      <c r="AW147" s="23">
        <f>EXP(-LN(2)/2)*AW146+(1-EXP(-LN(2)/2))/(LN(2)/2)*AQ147*AT147*VLOOKUP('Données projet'!$B$10,Paramètres!$A$1:$I$89,3,0)*0.475*44/12</f>
        <v>1.341280906446133E-16</v>
      </c>
      <c r="AX147" s="23">
        <f t="shared" si="114"/>
        <v>0.89572989187370833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-5.1431925385259088E-14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438.70522838726322</v>
      </c>
      <c r="BJ147" s="62">
        <f t="shared" si="146"/>
        <v>278.21741231699929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-5.4978954722173515E-14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466.10838191274445</v>
      </c>
      <c r="CE147" s="62">
        <f t="shared" si="148"/>
        <v>294.45557293177131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-3.4106051316484809E-13</v>
      </c>
      <c r="CU147" s="18">
        <f>CT147*VLOOKUP('Données projet'!$B$13,Paramètres!$A$1:$I$89,3,0)*VLOOKUP('Données projet'!$B$13,Paramètres!$A$1:$I$89,5,0)</f>
        <v>-2.5006556825246659E-13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376.5422416541544</v>
      </c>
      <c r="CZ147" s="62">
        <f t="shared" si="150"/>
        <v>365.76175372075869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-2.8421709430404007E-13</v>
      </c>
      <c r="DP147" s="18">
        <f>DO147*VLOOKUP('Données projet'!$B$14,Paramètres!$A$1:$I$89,3,0)*VLOOKUP('Données projet'!$B$14,Paramètres!$A$1:$I$89,5,0)</f>
        <v>-2.2612312022829427E-13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352.5736659365665</v>
      </c>
      <c r="DU147" s="62">
        <f t="shared" si="152"/>
        <v>343.77208530767069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2.2737367544323206E-13</v>
      </c>
      <c r="EK147" s="18">
        <f>EJ147*VLOOKUP('Données projet'!$B$15,Paramètres!$A$1:$I$89,3,0)*VLOOKUP('Données projet'!$B$15,Paramètres!$A$1:$I$89,5,0)</f>
        <v>2.0572770154103635E-13</v>
      </c>
      <c r="EL147" s="14">
        <f t="shared" si="153"/>
        <v>2.8416956338469711E-12</v>
      </c>
      <c r="EM147" s="22">
        <f t="shared" si="127"/>
        <v>5.3075956424674458E-12</v>
      </c>
      <c r="EN147" s="62">
        <f t="shared" si="128"/>
        <v>293.3333333333386</v>
      </c>
      <c r="EO147" s="62">
        <f ca="1">AVERAGE(OFFSET($EN$3,0,0,'Données projet'!$E$15+1,1))-AVERAGE(OFFSET($H$3,0,0,'Données projet'!$E$15+1,1))</f>
        <v>436.23918637269577</v>
      </c>
      <c r="EP147" s="62">
        <f t="shared" si="154"/>
        <v>611.43967996341894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0.49163004882868394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0.49163004882868394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1.9895196601282805E-13</v>
      </c>
      <c r="FF147" s="18">
        <f>FE147*VLOOKUP('Données projet'!$B$16,Paramètres!$A$1:$I$89,3,0)*VLOOKUP('Données projet'!$B$16,Paramètres!$A$1:$I$89,5,0)</f>
        <v>1.738044375088066E-13</v>
      </c>
      <c r="FG147" s="14">
        <f t="shared" si="155"/>
        <v>2.4483293633950478E-12</v>
      </c>
      <c r="FH147" s="22">
        <f t="shared" si="130"/>
        <v>4.566883036574213E-12</v>
      </c>
      <c r="FI147" s="62">
        <f t="shared" si="131"/>
        <v>293.33333333333786</v>
      </c>
      <c r="FJ147" s="62">
        <f ca="1">AVERAGE(OFFSET($FI$3,0,0,'Données projet'!$E$16+1,1))-AVERAGE(OFFSET($H$3,0,0,'Données projet'!$E$16+1,1))</f>
        <v>321.23599968992932</v>
      </c>
      <c r="FK147" s="62">
        <f t="shared" si="156"/>
        <v>388.05195847800502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6.3550942286383367E-14</v>
      </c>
      <c r="P148" s="14">
        <f t="shared" si="141"/>
        <v>1.0064464192543978E-12</v>
      </c>
      <c r="Q148" s="22">
        <f t="shared" si="108"/>
        <v>1.8635787380168604E-12</v>
      </c>
      <c r="R148" s="62">
        <f t="shared" si="109"/>
        <v>293.33333333333519</v>
      </c>
      <c r="S148" s="62">
        <f ca="1">AVERAGE(OFFSET($R$3,0,0,'Données projet'!$E$9+1,1))-AVERAGE(OFFSET($H$3,0,0,'Données projet'!$E$9+1,1))</f>
        <v>389.06620927245814</v>
      </c>
      <c r="T148" s="62">
        <f t="shared" si="142"/>
        <v>356.08144160383193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1.2786286953718187</v>
      </c>
      <c r="AB148" s="23">
        <f>EXP(-LN(2)/2)*AB147+(1-EXP(-LN(2)/2))/(LN(2)/2)*V148*Y148*VLOOKUP('Données projet'!$B$9,Paramètres!$A$1:$I$89,3,0)*0.475*44/12</f>
        <v>2.5427403504405873E-17</v>
      </c>
      <c r="AC148" s="24">
        <f t="shared" si="111"/>
        <v>1.2786286953718187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-3.1036506698001178E-14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293.73480285950245</v>
      </c>
      <c r="AO148" s="62">
        <f t="shared" si="144"/>
        <v>425.99823184414191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0.87123611087603392</v>
      </c>
      <c r="AW148" s="23">
        <f>EXP(-LN(2)/2)*AW147+(1-EXP(-LN(2)/2))/(LN(2)/2)*AQ148*AT148*VLOOKUP('Données projet'!$B$10,Paramètres!$A$1:$I$89,3,0)*0.475*44/12</f>
        <v>9.4842882442409989E-17</v>
      </c>
      <c r="AX148" s="23">
        <f t="shared" si="114"/>
        <v>0.87123611087603403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-5.1431925385259088E-14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438.70522838726322</v>
      </c>
      <c r="BJ148" s="62">
        <f t="shared" si="146"/>
        <v>278.21741231699929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-5.4978954722173515E-14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466.10838191274445</v>
      </c>
      <c r="CE148" s="62">
        <f t="shared" si="148"/>
        <v>294.45557293177131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-3.4106051316484809E-13</v>
      </c>
      <c r="CU148" s="18">
        <f>CT148*VLOOKUP('Données projet'!$B$13,Paramètres!$A$1:$I$89,3,0)*VLOOKUP('Données projet'!$B$13,Paramètres!$A$1:$I$89,5,0)</f>
        <v>-2.5006556825246659E-13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376.5422416541544</v>
      </c>
      <c r="CZ148" s="62">
        <f t="shared" si="150"/>
        <v>365.76175372075869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-2.8421709430404007E-13</v>
      </c>
      <c r="DP148" s="18">
        <f>DO148*VLOOKUP('Données projet'!$B$14,Paramètres!$A$1:$I$89,3,0)*VLOOKUP('Données projet'!$B$14,Paramètres!$A$1:$I$89,5,0)</f>
        <v>-2.2612312022829427E-13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352.5736659365665</v>
      </c>
      <c r="DU148" s="62">
        <f t="shared" si="152"/>
        <v>343.77208530767069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2.2737367544323206E-13</v>
      </c>
      <c r="EK148" s="18">
        <f>EJ148*VLOOKUP('Données projet'!$B$15,Paramètres!$A$1:$I$89,3,0)*VLOOKUP('Données projet'!$B$15,Paramètres!$A$1:$I$89,5,0)</f>
        <v>2.0572770154103635E-13</v>
      </c>
      <c r="EL148" s="14">
        <f t="shared" si="153"/>
        <v>2.8416956338469711E-12</v>
      </c>
      <c r="EM148" s="22">
        <f t="shared" si="127"/>
        <v>5.3075956424674458E-12</v>
      </c>
      <c r="EN148" s="62">
        <f t="shared" si="128"/>
        <v>293.3333333333386</v>
      </c>
      <c r="EO148" s="62">
        <f ca="1">AVERAGE(OFFSET($EN$3,0,0,'Données projet'!$E$15+1,1))-AVERAGE(OFFSET($H$3,0,0,'Données projet'!$E$15+1,1))</f>
        <v>436.23918637269577</v>
      </c>
      <c r="EP148" s="62">
        <f t="shared" si="154"/>
        <v>611.43967996341894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0.48198948343587406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0.48198948343587406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1.9895196601282805E-13</v>
      </c>
      <c r="FF148" s="18">
        <f>FE148*VLOOKUP('Données projet'!$B$16,Paramètres!$A$1:$I$89,3,0)*VLOOKUP('Données projet'!$B$16,Paramètres!$A$1:$I$89,5,0)</f>
        <v>1.738044375088066E-13</v>
      </c>
      <c r="FG148" s="14">
        <f t="shared" si="155"/>
        <v>2.4483293633950478E-12</v>
      </c>
      <c r="FH148" s="22">
        <f t="shared" si="130"/>
        <v>4.566883036574213E-12</v>
      </c>
      <c r="FI148" s="62">
        <f t="shared" si="131"/>
        <v>293.33333333333786</v>
      </c>
      <c r="FJ148" s="62">
        <f ca="1">AVERAGE(OFFSET($FI$3,0,0,'Données projet'!$E$16+1,1))-AVERAGE(OFFSET($H$3,0,0,'Données projet'!$E$16+1,1))</f>
        <v>321.23599968992932</v>
      </c>
      <c r="FK148" s="62">
        <f t="shared" si="156"/>
        <v>388.05195847800502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6.3550942286383367E-14</v>
      </c>
      <c r="P149" s="14">
        <f t="shared" si="141"/>
        <v>1.0064464192543978E-12</v>
      </c>
      <c r="Q149" s="22">
        <f t="shared" si="108"/>
        <v>1.8635787380168604E-12</v>
      </c>
      <c r="R149" s="62">
        <f t="shared" si="109"/>
        <v>293.33333333333519</v>
      </c>
      <c r="S149" s="62">
        <f ca="1">AVERAGE(OFFSET($R$3,0,0,'Données projet'!$E$9+1,1))-AVERAGE(OFFSET($H$3,0,0,'Données projet'!$E$9+1,1))</f>
        <v>389.06620927245814</v>
      </c>
      <c r="T149" s="62">
        <f t="shared" si="142"/>
        <v>356.08144160383193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1.2436645264567154</v>
      </c>
      <c r="AB149" s="23">
        <f>EXP(-LN(2)/2)*AB148+(1-EXP(-LN(2)/2))/(LN(2)/2)*V149*Y149*VLOOKUP('Données projet'!$B$9,Paramètres!$A$1:$I$89,3,0)*0.475*44/12</f>
        <v>1.7979889445931975E-17</v>
      </c>
      <c r="AC149" s="24">
        <f t="shared" si="111"/>
        <v>1.2436645264567154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-3.1036506698001178E-14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293.73480285950245</v>
      </c>
      <c r="AO149" s="62">
        <f t="shared" si="144"/>
        <v>425.99823184414191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0.84741211360781299</v>
      </c>
      <c r="AW149" s="23">
        <f>EXP(-LN(2)/2)*AW148+(1-EXP(-LN(2)/2))/(LN(2)/2)*AQ149*AT149*VLOOKUP('Données projet'!$B$10,Paramètres!$A$1:$I$89,3,0)*0.475*44/12</f>
        <v>6.7064045322306648E-17</v>
      </c>
      <c r="AX149" s="23">
        <f t="shared" si="114"/>
        <v>0.8474121136078131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-5.1431925385259088E-14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438.70522838726322</v>
      </c>
      <c r="BJ149" s="62">
        <f t="shared" si="146"/>
        <v>278.21741231699929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-5.4978954722173515E-14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466.10838191274445</v>
      </c>
      <c r="CE149" s="62">
        <f t="shared" si="148"/>
        <v>294.45557293177131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-3.4106051316484809E-13</v>
      </c>
      <c r="CU149" s="18">
        <f>CT149*VLOOKUP('Données projet'!$B$13,Paramètres!$A$1:$I$89,3,0)*VLOOKUP('Données projet'!$B$13,Paramètres!$A$1:$I$89,5,0)</f>
        <v>-2.5006556825246659E-13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376.5422416541544</v>
      </c>
      <c r="CZ149" s="62">
        <f t="shared" si="150"/>
        <v>365.76175372075869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-2.8421709430404007E-13</v>
      </c>
      <c r="DP149" s="18">
        <f>DO149*VLOOKUP('Données projet'!$B$14,Paramètres!$A$1:$I$89,3,0)*VLOOKUP('Données projet'!$B$14,Paramètres!$A$1:$I$89,5,0)</f>
        <v>-2.2612312022829427E-13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352.5736659365665</v>
      </c>
      <c r="DU149" s="62">
        <f t="shared" si="152"/>
        <v>343.77208530767069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2.2737367544323206E-13</v>
      </c>
      <c r="EK149" s="18">
        <f>EJ149*VLOOKUP('Données projet'!$B$15,Paramètres!$A$1:$I$89,3,0)*VLOOKUP('Données projet'!$B$15,Paramètres!$A$1:$I$89,5,0)</f>
        <v>2.0572770154103635E-13</v>
      </c>
      <c r="EL149" s="14">
        <f t="shared" si="153"/>
        <v>2.8416956338469711E-12</v>
      </c>
      <c r="EM149" s="22">
        <f t="shared" si="127"/>
        <v>5.3075956424674458E-12</v>
      </c>
      <c r="EN149" s="62">
        <f t="shared" si="128"/>
        <v>293.3333333333386</v>
      </c>
      <c r="EO149" s="62">
        <f ca="1">AVERAGE(OFFSET($EN$3,0,0,'Données projet'!$E$15+1,1))-AVERAGE(OFFSET($H$3,0,0,'Données projet'!$E$15+1,1))</f>
        <v>436.23918637269577</v>
      </c>
      <c r="EP149" s="62">
        <f t="shared" si="154"/>
        <v>611.43967996341894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0.47253796365025291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0.47253796365025291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1.9895196601282805E-13</v>
      </c>
      <c r="FF149" s="18">
        <f>FE149*VLOOKUP('Données projet'!$B$16,Paramètres!$A$1:$I$89,3,0)*VLOOKUP('Données projet'!$B$16,Paramètres!$A$1:$I$89,5,0)</f>
        <v>1.738044375088066E-13</v>
      </c>
      <c r="FG149" s="14">
        <f t="shared" si="155"/>
        <v>2.4483293633950478E-12</v>
      </c>
      <c r="FH149" s="22">
        <f t="shared" si="130"/>
        <v>4.566883036574213E-12</v>
      </c>
      <c r="FI149" s="62">
        <f t="shared" si="131"/>
        <v>293.33333333333786</v>
      </c>
      <c r="FJ149" s="62">
        <f ca="1">AVERAGE(OFFSET($FI$3,0,0,'Données projet'!$E$16+1,1))-AVERAGE(OFFSET($H$3,0,0,'Données projet'!$E$16+1,1))</f>
        <v>321.23599968992932</v>
      </c>
      <c r="FK149" s="62">
        <f t="shared" si="156"/>
        <v>388.05195847800502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6.3550942286383367E-14</v>
      </c>
      <c r="P150" s="14">
        <f t="shared" si="141"/>
        <v>1.0064464192543978E-12</v>
      </c>
      <c r="Q150" s="22">
        <f t="shared" si="108"/>
        <v>1.8635787380168604E-12</v>
      </c>
      <c r="R150" s="62">
        <f t="shared" si="109"/>
        <v>293.33333333333519</v>
      </c>
      <c r="S150" s="62">
        <f ca="1">AVERAGE(OFFSET($R$3,0,0,'Données projet'!$E$9+1,1))-AVERAGE(OFFSET($H$3,0,0,'Données projet'!$E$9+1,1))</f>
        <v>389.06620927245814</v>
      </c>
      <c r="T150" s="62">
        <f t="shared" si="142"/>
        <v>356.08144160383193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1.2096564545792816</v>
      </c>
      <c r="AB150" s="23">
        <f>EXP(-LN(2)/2)*AB149+(1-EXP(-LN(2)/2))/(LN(2)/2)*V150*Y150*VLOOKUP('Données projet'!$B$9,Paramètres!$A$1:$I$89,3,0)*0.475*44/12</f>
        <v>1.2713701752202936E-17</v>
      </c>
      <c r="AC150" s="24">
        <f t="shared" si="111"/>
        <v>1.2096564545792816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-3.1036506698001178E-14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293.73480285950245</v>
      </c>
      <c r="AO150" s="62">
        <f t="shared" si="144"/>
        <v>425.99823184414191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0.82423958479774107</v>
      </c>
      <c r="AW150" s="23">
        <f>EXP(-LN(2)/2)*AW149+(1-EXP(-LN(2)/2))/(LN(2)/2)*AQ150*AT150*VLOOKUP('Données projet'!$B$10,Paramètres!$A$1:$I$89,3,0)*0.475*44/12</f>
        <v>4.7421441221204994E-17</v>
      </c>
      <c r="AX150" s="23">
        <f t="shared" si="114"/>
        <v>0.82423958479774107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-5.1431925385259088E-14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438.70522838726322</v>
      </c>
      <c r="BJ150" s="62">
        <f t="shared" si="146"/>
        <v>278.21741231699929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-5.4978954722173515E-14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466.10838191274445</v>
      </c>
      <c r="CE150" s="62">
        <f t="shared" si="148"/>
        <v>294.45557293177131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-3.4106051316484809E-13</v>
      </c>
      <c r="CU150" s="18">
        <f>CT150*VLOOKUP('Données projet'!$B$13,Paramètres!$A$1:$I$89,3,0)*VLOOKUP('Données projet'!$B$13,Paramètres!$A$1:$I$89,5,0)</f>
        <v>-2.5006556825246659E-13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376.5422416541544</v>
      </c>
      <c r="CZ150" s="62">
        <f t="shared" si="150"/>
        <v>365.76175372075869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-2.8421709430404007E-13</v>
      </c>
      <c r="DP150" s="18">
        <f>DO150*VLOOKUP('Données projet'!$B$14,Paramètres!$A$1:$I$89,3,0)*VLOOKUP('Données projet'!$B$14,Paramètres!$A$1:$I$89,5,0)</f>
        <v>-2.2612312022829427E-13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352.5736659365665</v>
      </c>
      <c r="DU150" s="62">
        <f t="shared" si="152"/>
        <v>343.77208530767069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2.2737367544323206E-13</v>
      </c>
      <c r="EK150" s="18">
        <f>EJ150*VLOOKUP('Données projet'!$B$15,Paramètres!$A$1:$I$89,3,0)*VLOOKUP('Données projet'!$B$15,Paramètres!$A$1:$I$89,5,0)</f>
        <v>2.0572770154103635E-13</v>
      </c>
      <c r="EL150" s="14">
        <f t="shared" si="153"/>
        <v>2.8416956338469711E-12</v>
      </c>
      <c r="EM150" s="22">
        <f t="shared" si="127"/>
        <v>5.3075956424674458E-12</v>
      </c>
      <c r="EN150" s="62">
        <f t="shared" si="128"/>
        <v>293.3333333333386</v>
      </c>
      <c r="EO150" s="62">
        <f ca="1">AVERAGE(OFFSET($EN$3,0,0,'Données projet'!$E$15+1,1))-AVERAGE(OFFSET($H$3,0,0,'Données projet'!$E$15+1,1))</f>
        <v>436.23918637269577</v>
      </c>
      <c r="EP150" s="62">
        <f t="shared" si="154"/>
        <v>611.43967996341894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0.46327178240276995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0.46327178240276995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1.9895196601282805E-13</v>
      </c>
      <c r="FF150" s="18">
        <f>FE150*VLOOKUP('Données projet'!$B$16,Paramètres!$A$1:$I$89,3,0)*VLOOKUP('Données projet'!$B$16,Paramètres!$A$1:$I$89,5,0)</f>
        <v>1.738044375088066E-13</v>
      </c>
      <c r="FG150" s="14">
        <f t="shared" si="155"/>
        <v>2.4483293633950478E-12</v>
      </c>
      <c r="FH150" s="22">
        <f t="shared" si="130"/>
        <v>4.566883036574213E-12</v>
      </c>
      <c r="FI150" s="62">
        <f t="shared" si="131"/>
        <v>293.33333333333786</v>
      </c>
      <c r="FJ150" s="62">
        <f ca="1">AVERAGE(OFFSET($FI$3,0,0,'Données projet'!$E$16+1,1))-AVERAGE(OFFSET($H$3,0,0,'Données projet'!$E$16+1,1))</f>
        <v>321.23599968992932</v>
      </c>
      <c r="FK150" s="62">
        <f t="shared" si="156"/>
        <v>388.05195847800502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6.3550942286383367E-14</v>
      </c>
      <c r="P151" s="14">
        <f t="shared" si="141"/>
        <v>1.0064464192543978E-12</v>
      </c>
      <c r="Q151" s="22">
        <f t="shared" si="108"/>
        <v>1.8635787380168604E-12</v>
      </c>
      <c r="R151" s="62">
        <f t="shared" si="109"/>
        <v>293.33333333333519</v>
      </c>
      <c r="S151" s="62">
        <f ca="1">AVERAGE(OFFSET($R$3,0,0,'Données projet'!$E$9+1,1))-AVERAGE(OFFSET($H$3,0,0,'Données projet'!$E$9+1,1))</f>
        <v>389.06620927245814</v>
      </c>
      <c r="T151" s="62">
        <f t="shared" si="142"/>
        <v>356.08144160383193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1.1765783352157428</v>
      </c>
      <c r="AB151" s="23">
        <f>EXP(-LN(2)/2)*AB150+(1-EXP(-LN(2)/2))/(LN(2)/2)*V151*Y151*VLOOKUP('Données projet'!$B$9,Paramètres!$A$1:$I$89,3,0)*0.475*44/12</f>
        <v>8.9899447229659875E-18</v>
      </c>
      <c r="AC151" s="24">
        <f t="shared" si="111"/>
        <v>1.1765783352157428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-3.1036506698001178E-14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293.73480285950245</v>
      </c>
      <c r="AO151" s="62">
        <f t="shared" si="144"/>
        <v>425.99823184414191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0.80170071000657095</v>
      </c>
      <c r="AW151" s="23">
        <f>EXP(-LN(2)/2)*AW150+(1-EXP(-LN(2)/2))/(LN(2)/2)*AQ151*AT151*VLOOKUP('Données projet'!$B$10,Paramètres!$A$1:$I$89,3,0)*0.475*44/12</f>
        <v>3.3532022661153324E-17</v>
      </c>
      <c r="AX151" s="23">
        <f t="shared" si="114"/>
        <v>0.80170071000657095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-5.1431925385259088E-14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438.70522838726322</v>
      </c>
      <c r="BJ151" s="62">
        <f t="shared" si="146"/>
        <v>278.21741231699929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-5.4978954722173515E-14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466.10838191274445</v>
      </c>
      <c r="CE151" s="62">
        <f t="shared" si="148"/>
        <v>294.45557293177131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-3.4106051316484809E-13</v>
      </c>
      <c r="CU151" s="18">
        <f>CT151*VLOOKUP('Données projet'!$B$13,Paramètres!$A$1:$I$89,3,0)*VLOOKUP('Données projet'!$B$13,Paramètres!$A$1:$I$89,5,0)</f>
        <v>-2.5006556825246659E-13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376.5422416541544</v>
      </c>
      <c r="CZ151" s="62">
        <f t="shared" si="150"/>
        <v>365.76175372075869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-2.8421709430404007E-13</v>
      </c>
      <c r="DP151" s="18">
        <f>DO151*VLOOKUP('Données projet'!$B$14,Paramètres!$A$1:$I$89,3,0)*VLOOKUP('Données projet'!$B$14,Paramètres!$A$1:$I$89,5,0)</f>
        <v>-2.2612312022829427E-13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352.5736659365665</v>
      </c>
      <c r="DU151" s="62">
        <f t="shared" si="152"/>
        <v>343.77208530767069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2.2737367544323206E-13</v>
      </c>
      <c r="EK151" s="18">
        <f>EJ151*VLOOKUP('Données projet'!$B$15,Paramètres!$A$1:$I$89,3,0)*VLOOKUP('Données projet'!$B$15,Paramètres!$A$1:$I$89,5,0)</f>
        <v>2.0572770154103635E-13</v>
      </c>
      <c r="EL151" s="14">
        <f t="shared" si="153"/>
        <v>2.8416956338469711E-12</v>
      </c>
      <c r="EM151" s="22">
        <f t="shared" si="127"/>
        <v>5.3075956424674458E-12</v>
      </c>
      <c r="EN151" s="62">
        <f t="shared" si="128"/>
        <v>293.3333333333386</v>
      </c>
      <c r="EO151" s="62">
        <f ca="1">AVERAGE(OFFSET($EN$3,0,0,'Données projet'!$E$15+1,1))-AVERAGE(OFFSET($H$3,0,0,'Données projet'!$E$15+1,1))</f>
        <v>436.23918637269577</v>
      </c>
      <c r="EP151" s="62">
        <f t="shared" si="154"/>
        <v>611.43967996341894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0.45418730531773766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0.45418730531773766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1.9895196601282805E-13</v>
      </c>
      <c r="FF151" s="18">
        <f>FE151*VLOOKUP('Données projet'!$B$16,Paramètres!$A$1:$I$89,3,0)*VLOOKUP('Données projet'!$B$16,Paramètres!$A$1:$I$89,5,0)</f>
        <v>1.738044375088066E-13</v>
      </c>
      <c r="FG151" s="14">
        <f t="shared" si="155"/>
        <v>2.4483293633950478E-12</v>
      </c>
      <c r="FH151" s="22">
        <f t="shared" si="130"/>
        <v>4.566883036574213E-12</v>
      </c>
      <c r="FI151" s="62">
        <f t="shared" si="131"/>
        <v>293.33333333333786</v>
      </c>
      <c r="FJ151" s="62">
        <f ca="1">AVERAGE(OFFSET($FI$3,0,0,'Données projet'!$E$16+1,1))-AVERAGE(OFFSET($H$3,0,0,'Données projet'!$E$16+1,1))</f>
        <v>321.23599968992932</v>
      </c>
      <c r="FK151" s="62">
        <f t="shared" si="156"/>
        <v>388.05195847800502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6.3550942286383367E-14</v>
      </c>
      <c r="P152" s="14">
        <f t="shared" si="141"/>
        <v>1.0064464192543978E-12</v>
      </c>
      <c r="Q152" s="22">
        <f t="shared" si="108"/>
        <v>1.8635787380168604E-12</v>
      </c>
      <c r="R152" s="62">
        <f t="shared" si="109"/>
        <v>293.33333333333519</v>
      </c>
      <c r="S152" s="62">
        <f ca="1">AVERAGE(OFFSET($R$3,0,0,'Données projet'!$E$9+1,1))-AVERAGE(OFFSET($H$3,0,0,'Données projet'!$E$9+1,1))</f>
        <v>389.06620927245814</v>
      </c>
      <c r="T152" s="62">
        <f t="shared" si="142"/>
        <v>356.08144160383193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1.1444047387657028</v>
      </c>
      <c r="AB152" s="23">
        <f>EXP(-LN(2)/2)*AB151+(1-EXP(-LN(2)/2))/(LN(2)/2)*V152*Y152*VLOOKUP('Données projet'!$B$9,Paramètres!$A$1:$I$89,3,0)*0.475*44/12</f>
        <v>6.3568508761014682E-18</v>
      </c>
      <c r="AC152" s="24">
        <f t="shared" si="111"/>
        <v>1.1444047387657028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-3.1036506698001178E-14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293.73480285950245</v>
      </c>
      <c r="AO152" s="62">
        <f t="shared" si="144"/>
        <v>425.99823184414191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0.77977816193183325</v>
      </c>
      <c r="AW152" s="23">
        <f>EXP(-LN(2)/2)*AW151+(1-EXP(-LN(2)/2))/(LN(2)/2)*AQ152*AT152*VLOOKUP('Données projet'!$B$10,Paramètres!$A$1:$I$89,3,0)*0.475*44/12</f>
        <v>2.3710720610602497E-17</v>
      </c>
      <c r="AX152" s="23">
        <f t="shared" si="114"/>
        <v>0.77977816193183325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-5.1431925385259088E-14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438.70522838726322</v>
      </c>
      <c r="BJ152" s="62">
        <f t="shared" si="146"/>
        <v>278.21741231699929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-5.4978954722173515E-14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466.10838191274445</v>
      </c>
      <c r="CE152" s="62">
        <f t="shared" si="148"/>
        <v>294.45557293177131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-3.4106051316484809E-13</v>
      </c>
      <c r="CU152" s="18">
        <f>CT152*VLOOKUP('Données projet'!$B$13,Paramètres!$A$1:$I$89,3,0)*VLOOKUP('Données projet'!$B$13,Paramètres!$A$1:$I$89,5,0)</f>
        <v>-2.5006556825246659E-13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376.5422416541544</v>
      </c>
      <c r="CZ152" s="62">
        <f t="shared" si="150"/>
        <v>365.76175372075869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-2.8421709430404007E-13</v>
      </c>
      <c r="DP152" s="18">
        <f>DO152*VLOOKUP('Données projet'!$B$14,Paramètres!$A$1:$I$89,3,0)*VLOOKUP('Données projet'!$B$14,Paramètres!$A$1:$I$89,5,0)</f>
        <v>-2.2612312022829427E-13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352.5736659365665</v>
      </c>
      <c r="DU152" s="62">
        <f t="shared" si="152"/>
        <v>343.77208530767069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2.2737367544323206E-13</v>
      </c>
      <c r="EK152" s="18">
        <f>EJ152*VLOOKUP('Données projet'!$B$15,Paramètres!$A$1:$I$89,3,0)*VLOOKUP('Données projet'!$B$15,Paramètres!$A$1:$I$89,5,0)</f>
        <v>2.0572770154103635E-13</v>
      </c>
      <c r="EL152" s="14">
        <f t="shared" si="153"/>
        <v>2.8416956338469711E-12</v>
      </c>
      <c r="EM152" s="22">
        <f t="shared" si="127"/>
        <v>5.3075956424674458E-12</v>
      </c>
      <c r="EN152" s="62">
        <f t="shared" si="128"/>
        <v>293.3333333333386</v>
      </c>
      <c r="EO152" s="62">
        <f ca="1">AVERAGE(OFFSET($EN$3,0,0,'Données projet'!$E$15+1,1))-AVERAGE(OFFSET($H$3,0,0,'Données projet'!$E$15+1,1))</f>
        <v>436.23918637269577</v>
      </c>
      <c r="EP152" s="62">
        <f t="shared" si="154"/>
        <v>611.43967996341894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0.44528096928735894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0.44528096928735894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1.9895196601282805E-13</v>
      </c>
      <c r="FF152" s="18">
        <f>FE152*VLOOKUP('Données projet'!$B$16,Paramètres!$A$1:$I$89,3,0)*VLOOKUP('Données projet'!$B$16,Paramètres!$A$1:$I$89,5,0)</f>
        <v>1.738044375088066E-13</v>
      </c>
      <c r="FG152" s="14">
        <f t="shared" si="155"/>
        <v>2.4483293633950478E-12</v>
      </c>
      <c r="FH152" s="22">
        <f t="shared" si="130"/>
        <v>4.566883036574213E-12</v>
      </c>
      <c r="FI152" s="62">
        <f t="shared" si="131"/>
        <v>293.33333333333786</v>
      </c>
      <c r="FJ152" s="62">
        <f ca="1">AVERAGE(OFFSET($FI$3,0,0,'Données projet'!$E$16+1,1))-AVERAGE(OFFSET($H$3,0,0,'Données projet'!$E$16+1,1))</f>
        <v>321.23599968992932</v>
      </c>
      <c r="FK152" s="62">
        <f t="shared" si="156"/>
        <v>388.05195847800502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6.3550942286383367E-14</v>
      </c>
      <c r="P153" s="14">
        <f t="shared" si="141"/>
        <v>1.0064464192543978E-12</v>
      </c>
      <c r="Q153" s="22">
        <f t="shared" si="108"/>
        <v>1.8635787380168604E-12</v>
      </c>
      <c r="R153" s="62">
        <f t="shared" si="109"/>
        <v>293.33333333333519</v>
      </c>
      <c r="S153" s="62">
        <f ca="1">AVERAGE(OFFSET($R$3,0,0,'Données projet'!$E$9+1,1))-AVERAGE(OFFSET($H$3,0,0,'Données projet'!$E$9+1,1))</f>
        <v>389.06620927245814</v>
      </c>
      <c r="T153" s="62">
        <f t="shared" si="142"/>
        <v>356.08144160383193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1.1131109310025251</v>
      </c>
      <c r="AB153" s="23">
        <f>EXP(-LN(2)/2)*AB152+(1-EXP(-LN(2)/2))/(LN(2)/2)*V153*Y153*VLOOKUP('Données projet'!$B$9,Paramètres!$A$1:$I$89,3,0)*0.475*44/12</f>
        <v>4.4949723614829937E-18</v>
      </c>
      <c r="AC153" s="24">
        <f t="shared" si="111"/>
        <v>1.1131109310025251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-3.1036506698001178E-14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293.73480285950245</v>
      </c>
      <c r="AO153" s="62">
        <f t="shared" si="144"/>
        <v>425.99823184414191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0.75845508708705589</v>
      </c>
      <c r="AW153" s="23">
        <f>EXP(-LN(2)/2)*AW152+(1-EXP(-LN(2)/2))/(LN(2)/2)*AQ153*AT153*VLOOKUP('Données projet'!$B$10,Paramètres!$A$1:$I$89,3,0)*0.475*44/12</f>
        <v>1.6766011330576662E-17</v>
      </c>
      <c r="AX153" s="23">
        <f t="shared" si="114"/>
        <v>0.75845508708705589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-5.1431925385259088E-14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438.70522838726322</v>
      </c>
      <c r="BJ153" s="62">
        <f t="shared" si="146"/>
        <v>278.21741231699929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-5.4978954722173515E-14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466.10838191274445</v>
      </c>
      <c r="CE153" s="62">
        <f t="shared" si="148"/>
        <v>294.45557293177131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-3.4106051316484809E-13</v>
      </c>
      <c r="CU153" s="18">
        <f>CT153*VLOOKUP('Données projet'!$B$13,Paramètres!$A$1:$I$89,3,0)*VLOOKUP('Données projet'!$B$13,Paramètres!$A$1:$I$89,5,0)</f>
        <v>-2.5006556825246659E-13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376.5422416541544</v>
      </c>
      <c r="CZ153" s="62">
        <f t="shared" si="150"/>
        <v>365.76175372075869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-2.8421709430404007E-13</v>
      </c>
      <c r="DP153" s="18">
        <f>DO153*VLOOKUP('Données projet'!$B$14,Paramètres!$A$1:$I$89,3,0)*VLOOKUP('Données projet'!$B$14,Paramètres!$A$1:$I$89,5,0)</f>
        <v>-2.2612312022829427E-13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352.5736659365665</v>
      </c>
      <c r="DU153" s="62">
        <f t="shared" si="152"/>
        <v>343.77208530767069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2.2737367544323206E-13</v>
      </c>
      <c r="EK153" s="18">
        <f>EJ153*VLOOKUP('Données projet'!$B$15,Paramètres!$A$1:$I$89,3,0)*VLOOKUP('Données projet'!$B$15,Paramètres!$A$1:$I$89,5,0)</f>
        <v>2.0572770154103635E-13</v>
      </c>
      <c r="EL153" s="14">
        <f t="shared" si="153"/>
        <v>2.8416956338469711E-12</v>
      </c>
      <c r="EM153" s="22">
        <f t="shared" si="127"/>
        <v>5.3075956424674458E-12</v>
      </c>
      <c r="EN153" s="62">
        <f t="shared" si="128"/>
        <v>293.3333333333386</v>
      </c>
      <c r="EO153" s="62">
        <f ca="1">AVERAGE(OFFSET($EN$3,0,0,'Données projet'!$E$15+1,1))-AVERAGE(OFFSET($H$3,0,0,'Données projet'!$E$15+1,1))</f>
        <v>436.23918637269577</v>
      </c>
      <c r="EP153" s="62">
        <f t="shared" si="154"/>
        <v>611.43967996341894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0.43654928107420737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0.43654928107420737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1.9895196601282805E-13</v>
      </c>
      <c r="FF153" s="18">
        <f>FE153*VLOOKUP('Données projet'!$B$16,Paramètres!$A$1:$I$89,3,0)*VLOOKUP('Données projet'!$B$16,Paramètres!$A$1:$I$89,5,0)</f>
        <v>1.738044375088066E-13</v>
      </c>
      <c r="FG153" s="14">
        <f t="shared" si="155"/>
        <v>2.4483293633950478E-12</v>
      </c>
      <c r="FH153" s="22">
        <f t="shared" si="130"/>
        <v>4.566883036574213E-12</v>
      </c>
      <c r="FI153" s="62">
        <f t="shared" si="131"/>
        <v>293.33333333333786</v>
      </c>
      <c r="FJ153" s="62">
        <f ca="1">AVERAGE(OFFSET($FI$3,0,0,'Données projet'!$E$16+1,1))-AVERAGE(OFFSET($H$3,0,0,'Données projet'!$E$16+1,1))</f>
        <v>321.23599968992932</v>
      </c>
      <c r="FK153" s="62">
        <f t="shared" si="156"/>
        <v>388.05195847800502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6.3550942286383367E-14</v>
      </c>
      <c r="P154" s="14">
        <f t="shared" si="141"/>
        <v>1.0064464192543978E-12</v>
      </c>
      <c r="Q154" s="22">
        <f t="shared" ref="Q154:Q203" si="162">(O154+P154)*0.475*44/12</f>
        <v>1.8635787380168604E-12</v>
      </c>
      <c r="R154" s="62">
        <f t="shared" si="109"/>
        <v>293.33333333333519</v>
      </c>
      <c r="S154" s="62">
        <f ca="1">AVERAGE(OFFSET($R$3,0,0,'Données projet'!$E$9+1,1))-AVERAGE(OFFSET($H$3,0,0,'Données projet'!$E$9+1,1))</f>
        <v>389.06620927245814</v>
      </c>
      <c r="T154" s="62">
        <f t="shared" si="142"/>
        <v>356.08144160383193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1.0826728540583013</v>
      </c>
      <c r="AB154" s="23">
        <f>EXP(-LN(2)/2)*AB153+(1-EXP(-LN(2)/2))/(LN(2)/2)*V154*Y154*VLOOKUP('Données projet'!$B$9,Paramètres!$A$1:$I$89,3,0)*0.475*44/12</f>
        <v>3.1784254380507341E-18</v>
      </c>
      <c r="AC154" s="24">
        <f t="shared" ref="AC154:AC203" si="163">SUM(Z154:AB154)</f>
        <v>1.0826728540583013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-3.1036506698001178E-14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293.73480285950245</v>
      </c>
      <c r="AO154" s="62">
        <f t="shared" si="144"/>
        <v>425.99823184414191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0.73771509284524084</v>
      </c>
      <c r="AW154" s="23">
        <f>EXP(-LN(2)/2)*AW153+(1-EXP(-LN(2)/2))/(LN(2)/2)*AQ154*AT154*VLOOKUP('Données projet'!$B$10,Paramètres!$A$1:$I$89,3,0)*0.475*44/12</f>
        <v>1.1855360305301249E-17</v>
      </c>
      <c r="AX154" s="23">
        <f t="shared" ref="AX154:AX203" si="166">SUM(AU154:AW154)</f>
        <v>0.73771509284524084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-5.1431925385259088E-14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438.70522838726322</v>
      </c>
      <c r="BJ154" s="62">
        <f t="shared" si="146"/>
        <v>278.21741231699929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-5.4978954722173515E-14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466.10838191274445</v>
      </c>
      <c r="CE154" s="62">
        <f t="shared" si="148"/>
        <v>294.45557293177131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-3.4106051316484809E-13</v>
      </c>
      <c r="CU154" s="18">
        <f>CT154*VLOOKUP('Données projet'!$B$13,Paramètres!$A$1:$I$89,3,0)*VLOOKUP('Données projet'!$B$13,Paramètres!$A$1:$I$89,5,0)</f>
        <v>-2.5006556825246659E-13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376.5422416541544</v>
      </c>
      <c r="CZ154" s="62">
        <f t="shared" si="150"/>
        <v>365.76175372075869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-2.8421709430404007E-13</v>
      </c>
      <c r="DP154" s="18">
        <f>DO154*VLOOKUP('Données projet'!$B$14,Paramètres!$A$1:$I$89,3,0)*VLOOKUP('Données projet'!$B$14,Paramètres!$A$1:$I$89,5,0)</f>
        <v>-2.2612312022829427E-13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352.5736659365665</v>
      </c>
      <c r="DU154" s="62">
        <f t="shared" si="152"/>
        <v>343.77208530767069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2.2737367544323206E-13</v>
      </c>
      <c r="EK154" s="18">
        <f>EJ154*VLOOKUP('Données projet'!$B$15,Paramètres!$A$1:$I$89,3,0)*VLOOKUP('Données projet'!$B$15,Paramètres!$A$1:$I$89,5,0)</f>
        <v>2.0572770154103635E-13</v>
      </c>
      <c r="EL154" s="14">
        <f t="shared" ref="EL154:EL203" si="179">EXP(-1.0587+0.8836*LN(EK154)+0.284)</f>
        <v>2.8416956338469711E-12</v>
      </c>
      <c r="EM154" s="22">
        <f t="shared" ref="EM154:EM203" si="180">(EK154+EL154)*0.475*44/12</f>
        <v>5.3075956424674458E-12</v>
      </c>
      <c r="EN154" s="62">
        <f t="shared" si="128"/>
        <v>293.3333333333386</v>
      </c>
      <c r="EO154" s="62">
        <f ca="1">AVERAGE(OFFSET($EN$3,0,0,'Données projet'!$E$15+1,1))-AVERAGE(OFFSET($H$3,0,0,'Données projet'!$E$15+1,1))</f>
        <v>436.23918637269577</v>
      </c>
      <c r="EP154" s="62">
        <f t="shared" si="154"/>
        <v>611.43967996341894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0.42798881594111177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0.42798881594111177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1.9895196601282805E-13</v>
      </c>
      <c r="FF154" s="18">
        <f>FE154*VLOOKUP('Données projet'!$B$16,Paramètres!$A$1:$I$89,3,0)*VLOOKUP('Données projet'!$B$16,Paramètres!$A$1:$I$89,5,0)</f>
        <v>1.738044375088066E-13</v>
      </c>
      <c r="FG154" s="14">
        <f t="shared" ref="FG154:FG203" si="182">EXP(-1.0587+0.8836*LN(FF154)+0.284)</f>
        <v>2.4483293633950478E-12</v>
      </c>
      <c r="FH154" s="22">
        <f t="shared" ref="FH154:FH203" si="183">(FF154+FG154)*0.475*44/12</f>
        <v>4.566883036574213E-12</v>
      </c>
      <c r="FI154" s="62">
        <f t="shared" si="131"/>
        <v>293.33333333333786</v>
      </c>
      <c r="FJ154" s="62">
        <f ca="1">AVERAGE(OFFSET($FI$3,0,0,'Données projet'!$E$16+1,1))-AVERAGE(OFFSET($H$3,0,0,'Données projet'!$E$16+1,1))</f>
        <v>321.23599968992932</v>
      </c>
      <c r="FK154" s="62">
        <f t="shared" si="156"/>
        <v>388.05195847800502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6.3550942286383367E-14</v>
      </c>
      <c r="P155" s="14">
        <f t="shared" si="141"/>
        <v>1.0064464192543978E-12</v>
      </c>
      <c r="Q155" s="22">
        <f t="shared" si="162"/>
        <v>1.8635787380168604E-12</v>
      </c>
      <c r="R155" s="62">
        <f t="shared" si="109"/>
        <v>293.33333333333519</v>
      </c>
      <c r="S155" s="62">
        <f ca="1">AVERAGE(OFFSET($R$3,0,0,'Données projet'!$E$9+1,1))-AVERAGE(OFFSET($H$3,0,0,'Données projet'!$E$9+1,1))</f>
        <v>389.06620927245814</v>
      </c>
      <c r="T155" s="62">
        <f t="shared" si="142"/>
        <v>356.08144160383193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1.0530671079287861</v>
      </c>
      <c r="AB155" s="23">
        <f>EXP(-LN(2)/2)*AB154+(1-EXP(-LN(2)/2))/(LN(2)/2)*V155*Y155*VLOOKUP('Données projet'!$B$9,Paramètres!$A$1:$I$89,3,0)*0.475*44/12</f>
        <v>2.2474861807414969E-18</v>
      </c>
      <c r="AC155" s="24">
        <f t="shared" si="163"/>
        <v>1.0530671079287861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-3.1036506698001178E-14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293.73480285950245</v>
      </c>
      <c r="AO155" s="62">
        <f t="shared" si="144"/>
        <v>425.99823184414191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0.71754223483663704</v>
      </c>
      <c r="AW155" s="23">
        <f>EXP(-LN(2)/2)*AW154+(1-EXP(-LN(2)/2))/(LN(2)/2)*AQ155*AT155*VLOOKUP('Données projet'!$B$10,Paramètres!$A$1:$I$89,3,0)*0.475*44/12</f>
        <v>8.383005665288331E-18</v>
      </c>
      <c r="AX155" s="23">
        <f t="shared" si="166"/>
        <v>0.71754223483663704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-5.1431925385259088E-14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438.70522838726322</v>
      </c>
      <c r="BJ155" s="62">
        <f t="shared" si="146"/>
        <v>278.21741231699929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-5.4978954722173515E-14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466.10838191274445</v>
      </c>
      <c r="CE155" s="62">
        <f t="shared" si="148"/>
        <v>294.45557293177131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-3.4106051316484809E-13</v>
      </c>
      <c r="CU155" s="18">
        <f>CT155*VLOOKUP('Données projet'!$B$13,Paramètres!$A$1:$I$89,3,0)*VLOOKUP('Données projet'!$B$13,Paramètres!$A$1:$I$89,5,0)</f>
        <v>-2.5006556825246659E-13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376.5422416541544</v>
      </c>
      <c r="CZ155" s="62">
        <f t="shared" si="150"/>
        <v>365.76175372075869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-2.8421709430404007E-13</v>
      </c>
      <c r="DP155" s="18">
        <f>DO155*VLOOKUP('Données projet'!$B$14,Paramètres!$A$1:$I$89,3,0)*VLOOKUP('Données projet'!$B$14,Paramètres!$A$1:$I$89,5,0)</f>
        <v>-2.2612312022829427E-13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352.5736659365665</v>
      </c>
      <c r="DU155" s="62">
        <f t="shared" si="152"/>
        <v>343.77208530767069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2.2737367544323206E-13</v>
      </c>
      <c r="EK155" s="18">
        <f>EJ155*VLOOKUP('Données projet'!$B$15,Paramètres!$A$1:$I$89,3,0)*VLOOKUP('Données projet'!$B$15,Paramètres!$A$1:$I$89,5,0)</f>
        <v>2.0572770154103635E-13</v>
      </c>
      <c r="EL155" s="14">
        <f t="shared" si="179"/>
        <v>2.8416956338469711E-12</v>
      </c>
      <c r="EM155" s="22">
        <f t="shared" si="180"/>
        <v>5.3075956424674458E-12</v>
      </c>
      <c r="EN155" s="62">
        <f t="shared" si="128"/>
        <v>293.3333333333386</v>
      </c>
      <c r="EO155" s="62">
        <f ca="1">AVERAGE(OFFSET($EN$3,0,0,'Données projet'!$E$15+1,1))-AVERAGE(OFFSET($H$3,0,0,'Données projet'!$E$15+1,1))</f>
        <v>436.23918637269577</v>
      </c>
      <c r="EP155" s="62">
        <f t="shared" si="154"/>
        <v>611.43967996341894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0.419596216307908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0.419596216307908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1.9895196601282805E-13</v>
      </c>
      <c r="FF155" s="18">
        <f>FE155*VLOOKUP('Données projet'!$B$16,Paramètres!$A$1:$I$89,3,0)*VLOOKUP('Données projet'!$B$16,Paramètres!$A$1:$I$89,5,0)</f>
        <v>1.738044375088066E-13</v>
      </c>
      <c r="FG155" s="14">
        <f t="shared" si="182"/>
        <v>2.4483293633950478E-12</v>
      </c>
      <c r="FH155" s="22">
        <f t="shared" si="183"/>
        <v>4.566883036574213E-12</v>
      </c>
      <c r="FI155" s="62">
        <f t="shared" si="131"/>
        <v>293.33333333333786</v>
      </c>
      <c r="FJ155" s="62">
        <f ca="1">AVERAGE(OFFSET($FI$3,0,0,'Données projet'!$E$16+1,1))-AVERAGE(OFFSET($H$3,0,0,'Données projet'!$E$16+1,1))</f>
        <v>321.23599968992932</v>
      </c>
      <c r="FK155" s="62">
        <f t="shared" si="156"/>
        <v>388.05195847800502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6.3550942286383367E-14</v>
      </c>
      <c r="P156" s="14">
        <f t="shared" si="141"/>
        <v>1.0064464192543978E-12</v>
      </c>
      <c r="Q156" s="22">
        <f t="shared" si="162"/>
        <v>1.8635787380168604E-12</v>
      </c>
      <c r="R156" s="62">
        <f t="shared" si="109"/>
        <v>293.33333333333519</v>
      </c>
      <c r="S156" s="62">
        <f ca="1">AVERAGE(OFFSET($R$3,0,0,'Données projet'!$E$9+1,1))-AVERAGE(OFFSET($H$3,0,0,'Données projet'!$E$9+1,1))</f>
        <v>389.06620927245814</v>
      </c>
      <c r="T156" s="62">
        <f t="shared" si="142"/>
        <v>356.08144160383193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1.0242709324840811</v>
      </c>
      <c r="AB156" s="23">
        <f>EXP(-LN(2)/2)*AB155+(1-EXP(-LN(2)/2))/(LN(2)/2)*V156*Y156*VLOOKUP('Données projet'!$B$9,Paramètres!$A$1:$I$89,3,0)*0.475*44/12</f>
        <v>1.589212719025367E-18</v>
      </c>
      <c r="AC156" s="24">
        <f t="shared" si="163"/>
        <v>1.0242709324840811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-3.1036506698001178E-14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293.73480285950245</v>
      </c>
      <c r="AO156" s="62">
        <f t="shared" si="144"/>
        <v>425.99823184414191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0.69792100469112306</v>
      </c>
      <c r="AW156" s="23">
        <f>EXP(-LN(2)/2)*AW155+(1-EXP(-LN(2)/2))/(LN(2)/2)*AQ156*AT156*VLOOKUP('Données projet'!$B$10,Paramètres!$A$1:$I$89,3,0)*0.475*44/12</f>
        <v>5.9276801526506243E-18</v>
      </c>
      <c r="AX156" s="23">
        <f t="shared" si="166"/>
        <v>0.69792100469112306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-5.1431925385259088E-14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438.70522838726322</v>
      </c>
      <c r="BJ156" s="62">
        <f t="shared" si="146"/>
        <v>278.21741231699929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-5.4978954722173515E-14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466.10838191274445</v>
      </c>
      <c r="CE156" s="62">
        <f t="shared" si="148"/>
        <v>294.45557293177131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-3.4106051316484809E-13</v>
      </c>
      <c r="CU156" s="18">
        <f>CT156*VLOOKUP('Données projet'!$B$13,Paramètres!$A$1:$I$89,3,0)*VLOOKUP('Données projet'!$B$13,Paramètres!$A$1:$I$89,5,0)</f>
        <v>-2.5006556825246659E-13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376.5422416541544</v>
      </c>
      <c r="CZ156" s="62">
        <f t="shared" si="150"/>
        <v>365.76175372075869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-2.8421709430404007E-13</v>
      </c>
      <c r="DP156" s="18">
        <f>DO156*VLOOKUP('Données projet'!$B$14,Paramètres!$A$1:$I$89,3,0)*VLOOKUP('Données projet'!$B$14,Paramètres!$A$1:$I$89,5,0)</f>
        <v>-2.2612312022829427E-13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352.5736659365665</v>
      </c>
      <c r="DU156" s="62">
        <f t="shared" si="152"/>
        <v>343.77208530767069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2.2737367544323206E-13</v>
      </c>
      <c r="EK156" s="18">
        <f>EJ156*VLOOKUP('Données projet'!$B$15,Paramètres!$A$1:$I$89,3,0)*VLOOKUP('Données projet'!$B$15,Paramètres!$A$1:$I$89,5,0)</f>
        <v>2.0572770154103635E-13</v>
      </c>
      <c r="EL156" s="14">
        <f t="shared" si="179"/>
        <v>2.8416956338469711E-12</v>
      </c>
      <c r="EM156" s="22">
        <f t="shared" si="180"/>
        <v>5.3075956424674458E-12</v>
      </c>
      <c r="EN156" s="62">
        <f t="shared" si="128"/>
        <v>293.3333333333386</v>
      </c>
      <c r="EO156" s="62">
        <f ca="1">AVERAGE(OFFSET($EN$3,0,0,'Données projet'!$E$15+1,1))-AVERAGE(OFFSET($H$3,0,0,'Données projet'!$E$15+1,1))</f>
        <v>436.23918637269577</v>
      </c>
      <c r="EP156" s="62">
        <f t="shared" si="154"/>
        <v>611.43967996341894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0.41136819043453104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0.41136819043453104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1.9895196601282805E-13</v>
      </c>
      <c r="FF156" s="18">
        <f>FE156*VLOOKUP('Données projet'!$B$16,Paramètres!$A$1:$I$89,3,0)*VLOOKUP('Données projet'!$B$16,Paramètres!$A$1:$I$89,5,0)</f>
        <v>1.738044375088066E-13</v>
      </c>
      <c r="FG156" s="14">
        <f t="shared" si="182"/>
        <v>2.4483293633950478E-12</v>
      </c>
      <c r="FH156" s="22">
        <f t="shared" si="183"/>
        <v>4.566883036574213E-12</v>
      </c>
      <c r="FI156" s="62">
        <f t="shared" si="131"/>
        <v>293.33333333333786</v>
      </c>
      <c r="FJ156" s="62">
        <f ca="1">AVERAGE(OFFSET($FI$3,0,0,'Données projet'!$E$16+1,1))-AVERAGE(OFFSET($H$3,0,0,'Données projet'!$E$16+1,1))</f>
        <v>321.23599968992932</v>
      </c>
      <c r="FK156" s="62">
        <f t="shared" si="156"/>
        <v>388.05195847800502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6.3550942286383367E-14</v>
      </c>
      <c r="P157" s="14">
        <f t="shared" si="141"/>
        <v>1.0064464192543978E-12</v>
      </c>
      <c r="Q157" s="22">
        <f t="shared" si="162"/>
        <v>1.8635787380168604E-12</v>
      </c>
      <c r="R157" s="62">
        <f t="shared" si="109"/>
        <v>293.33333333333519</v>
      </c>
      <c r="S157" s="62">
        <f ca="1">AVERAGE(OFFSET($R$3,0,0,'Données projet'!$E$9+1,1))-AVERAGE(OFFSET($H$3,0,0,'Données projet'!$E$9+1,1))</f>
        <v>389.06620927245814</v>
      </c>
      <c r="T157" s="62">
        <f t="shared" si="142"/>
        <v>356.08144160383193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0.9962621899712365</v>
      </c>
      <c r="AB157" s="23">
        <f>EXP(-LN(2)/2)*AB156+(1-EXP(-LN(2)/2))/(LN(2)/2)*V157*Y157*VLOOKUP('Données projet'!$B$9,Paramètres!$A$1:$I$89,3,0)*0.475*44/12</f>
        <v>1.1237430903707484E-18</v>
      </c>
      <c r="AC157" s="24">
        <f t="shared" si="163"/>
        <v>0.9962621899712365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-3.1036506698001178E-14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293.73480285950245</v>
      </c>
      <c r="AO157" s="62">
        <f t="shared" si="144"/>
        <v>425.99823184414191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0.67883631811577383</v>
      </c>
      <c r="AW157" s="23">
        <f>EXP(-LN(2)/2)*AW156+(1-EXP(-LN(2)/2))/(LN(2)/2)*AQ157*AT157*VLOOKUP('Données projet'!$B$10,Paramètres!$A$1:$I$89,3,0)*0.475*44/12</f>
        <v>4.1915028326441655E-18</v>
      </c>
      <c r="AX157" s="23">
        <f t="shared" si="166"/>
        <v>0.67883631811577383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-5.1431925385259088E-14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438.70522838726322</v>
      </c>
      <c r="BJ157" s="62">
        <f t="shared" si="146"/>
        <v>278.21741231699929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-5.4978954722173515E-14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466.10838191274445</v>
      </c>
      <c r="CE157" s="62">
        <f t="shared" si="148"/>
        <v>294.45557293177131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-3.4106051316484809E-13</v>
      </c>
      <c r="CU157" s="18">
        <f>CT157*VLOOKUP('Données projet'!$B$13,Paramètres!$A$1:$I$89,3,0)*VLOOKUP('Données projet'!$B$13,Paramètres!$A$1:$I$89,5,0)</f>
        <v>-2.5006556825246659E-13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376.5422416541544</v>
      </c>
      <c r="CZ157" s="62">
        <f t="shared" si="150"/>
        <v>365.76175372075869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-2.8421709430404007E-13</v>
      </c>
      <c r="DP157" s="18">
        <f>DO157*VLOOKUP('Données projet'!$B$14,Paramètres!$A$1:$I$89,3,0)*VLOOKUP('Données projet'!$B$14,Paramètres!$A$1:$I$89,5,0)</f>
        <v>-2.2612312022829427E-13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352.5736659365665</v>
      </c>
      <c r="DU157" s="62">
        <f t="shared" si="152"/>
        <v>343.77208530767069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2.2737367544323206E-13</v>
      </c>
      <c r="EK157" s="18">
        <f>EJ157*VLOOKUP('Données projet'!$B$15,Paramètres!$A$1:$I$89,3,0)*VLOOKUP('Données projet'!$B$15,Paramètres!$A$1:$I$89,5,0)</f>
        <v>2.0572770154103635E-13</v>
      </c>
      <c r="EL157" s="14">
        <f t="shared" si="179"/>
        <v>2.8416956338469711E-12</v>
      </c>
      <c r="EM157" s="22">
        <f t="shared" si="180"/>
        <v>5.3075956424674458E-12</v>
      </c>
      <c r="EN157" s="62">
        <f t="shared" si="128"/>
        <v>293.3333333333386</v>
      </c>
      <c r="EO157" s="62">
        <f ca="1">AVERAGE(OFFSET($EN$3,0,0,'Données projet'!$E$15+1,1))-AVERAGE(OFFSET($H$3,0,0,'Données projet'!$E$15+1,1))</f>
        <v>436.23918637269577</v>
      </c>
      <c r="EP157" s="62">
        <f t="shared" si="154"/>
        <v>611.43967996341894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0.40330151112993079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0.40330151112993079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1.9895196601282805E-13</v>
      </c>
      <c r="FF157" s="18">
        <f>FE157*VLOOKUP('Données projet'!$B$16,Paramètres!$A$1:$I$89,3,0)*VLOOKUP('Données projet'!$B$16,Paramètres!$A$1:$I$89,5,0)</f>
        <v>1.738044375088066E-13</v>
      </c>
      <c r="FG157" s="14">
        <f t="shared" si="182"/>
        <v>2.4483293633950478E-12</v>
      </c>
      <c r="FH157" s="22">
        <f t="shared" si="183"/>
        <v>4.566883036574213E-12</v>
      </c>
      <c r="FI157" s="62">
        <f t="shared" si="131"/>
        <v>293.33333333333786</v>
      </c>
      <c r="FJ157" s="62">
        <f ca="1">AVERAGE(OFFSET($FI$3,0,0,'Données projet'!$E$16+1,1))-AVERAGE(OFFSET($H$3,0,0,'Données projet'!$E$16+1,1))</f>
        <v>321.23599968992932</v>
      </c>
      <c r="FK157" s="62">
        <f t="shared" si="156"/>
        <v>388.05195847800502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6.3550942286383367E-14</v>
      </c>
      <c r="P158" s="14">
        <f t="shared" si="141"/>
        <v>1.0064464192543978E-12</v>
      </c>
      <c r="Q158" s="22">
        <f t="shared" si="162"/>
        <v>1.8635787380168604E-12</v>
      </c>
      <c r="R158" s="62">
        <f t="shared" si="109"/>
        <v>293.33333333333519</v>
      </c>
      <c r="S158" s="62">
        <f ca="1">AVERAGE(OFFSET($R$3,0,0,'Données projet'!$E$9+1,1))-AVERAGE(OFFSET($H$3,0,0,'Données projet'!$E$9+1,1))</f>
        <v>389.06620927245814</v>
      </c>
      <c r="T158" s="62">
        <f t="shared" si="142"/>
        <v>356.08144160383193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0.96901934799532141</v>
      </c>
      <c r="AB158" s="23">
        <f>EXP(-LN(2)/2)*AB157+(1-EXP(-LN(2)/2))/(LN(2)/2)*V158*Y158*VLOOKUP('Données projet'!$B$9,Paramètres!$A$1:$I$89,3,0)*0.475*44/12</f>
        <v>7.9460635951268352E-19</v>
      </c>
      <c r="AC158" s="24">
        <f t="shared" si="163"/>
        <v>0.96901934799532141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-3.1036506698001178E-14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293.73480285950245</v>
      </c>
      <c r="AO158" s="62">
        <f t="shared" si="144"/>
        <v>425.99823184414191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0.66027350329844747</v>
      </c>
      <c r="AW158" s="23">
        <f>EXP(-LN(2)/2)*AW157+(1-EXP(-LN(2)/2))/(LN(2)/2)*AQ158*AT158*VLOOKUP('Données projet'!$B$10,Paramètres!$A$1:$I$89,3,0)*0.475*44/12</f>
        <v>2.9638400763253121E-18</v>
      </c>
      <c r="AX158" s="23">
        <f t="shared" si="166"/>
        <v>0.66027350329844747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-5.1431925385259088E-14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438.70522838726322</v>
      </c>
      <c r="BJ158" s="62">
        <f t="shared" si="146"/>
        <v>278.21741231699929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-5.4978954722173515E-14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466.10838191274445</v>
      </c>
      <c r="CE158" s="62">
        <f t="shared" si="148"/>
        <v>294.45557293177131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-3.4106051316484809E-13</v>
      </c>
      <c r="CU158" s="18">
        <f>CT158*VLOOKUP('Données projet'!$B$13,Paramètres!$A$1:$I$89,3,0)*VLOOKUP('Données projet'!$B$13,Paramètres!$A$1:$I$89,5,0)</f>
        <v>-2.5006556825246659E-13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376.5422416541544</v>
      </c>
      <c r="CZ158" s="62">
        <f t="shared" si="150"/>
        <v>365.76175372075869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-2.8421709430404007E-13</v>
      </c>
      <c r="DP158" s="18">
        <f>DO158*VLOOKUP('Données projet'!$B$14,Paramètres!$A$1:$I$89,3,0)*VLOOKUP('Données projet'!$B$14,Paramètres!$A$1:$I$89,5,0)</f>
        <v>-2.2612312022829427E-13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352.5736659365665</v>
      </c>
      <c r="DU158" s="62">
        <f t="shared" si="152"/>
        <v>343.77208530767069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2.2737367544323206E-13</v>
      </c>
      <c r="EK158" s="18">
        <f>EJ158*VLOOKUP('Données projet'!$B$15,Paramètres!$A$1:$I$89,3,0)*VLOOKUP('Données projet'!$B$15,Paramètres!$A$1:$I$89,5,0)</f>
        <v>2.0572770154103635E-13</v>
      </c>
      <c r="EL158" s="14">
        <f t="shared" si="179"/>
        <v>2.8416956338469711E-12</v>
      </c>
      <c r="EM158" s="22">
        <f t="shared" si="180"/>
        <v>5.3075956424674458E-12</v>
      </c>
      <c r="EN158" s="62">
        <f t="shared" si="128"/>
        <v>293.3333333333386</v>
      </c>
      <c r="EO158" s="62">
        <f ca="1">AVERAGE(OFFSET($EN$3,0,0,'Données projet'!$E$15+1,1))-AVERAGE(OFFSET($H$3,0,0,'Données projet'!$E$15+1,1))</f>
        <v>436.23918637269577</v>
      </c>
      <c r="EP158" s="62">
        <f t="shared" si="154"/>
        <v>611.43967996341894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0.39539301448630515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0.39539301448630515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1.9895196601282805E-13</v>
      </c>
      <c r="FF158" s="18">
        <f>FE158*VLOOKUP('Données projet'!$B$16,Paramètres!$A$1:$I$89,3,0)*VLOOKUP('Données projet'!$B$16,Paramètres!$A$1:$I$89,5,0)</f>
        <v>1.738044375088066E-13</v>
      </c>
      <c r="FG158" s="14">
        <f t="shared" si="182"/>
        <v>2.4483293633950478E-12</v>
      </c>
      <c r="FH158" s="22">
        <f t="shared" si="183"/>
        <v>4.566883036574213E-12</v>
      </c>
      <c r="FI158" s="62">
        <f t="shared" si="131"/>
        <v>293.33333333333786</v>
      </c>
      <c r="FJ158" s="62">
        <f ca="1">AVERAGE(OFFSET($FI$3,0,0,'Données projet'!$E$16+1,1))-AVERAGE(OFFSET($H$3,0,0,'Données projet'!$E$16+1,1))</f>
        <v>321.23599968992932</v>
      </c>
      <c r="FK158" s="62">
        <f t="shared" si="156"/>
        <v>388.05195847800502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6.3550942286383367E-14</v>
      </c>
      <c r="P159" s="14">
        <f t="shared" si="141"/>
        <v>1.0064464192543978E-12</v>
      </c>
      <c r="Q159" s="22">
        <f t="shared" si="162"/>
        <v>1.8635787380168604E-12</v>
      </c>
      <c r="R159" s="62">
        <f t="shared" si="109"/>
        <v>293.33333333333519</v>
      </c>
      <c r="S159" s="62">
        <f ca="1">AVERAGE(OFFSET($R$3,0,0,'Données projet'!$E$9+1,1))-AVERAGE(OFFSET($H$3,0,0,'Données projet'!$E$9+1,1))</f>
        <v>389.06620927245814</v>
      </c>
      <c r="T159" s="62">
        <f t="shared" si="142"/>
        <v>356.08144160383193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0.94252146296587658</v>
      </c>
      <c r="AB159" s="23">
        <f>EXP(-LN(2)/2)*AB158+(1-EXP(-LN(2)/2))/(LN(2)/2)*V159*Y159*VLOOKUP('Données projet'!$B$9,Paramètres!$A$1:$I$89,3,0)*0.475*44/12</f>
        <v>5.6187154518537422E-19</v>
      </c>
      <c r="AC159" s="24">
        <f t="shared" si="163"/>
        <v>0.94252146296587658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-3.1036506698001178E-14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293.73480285950245</v>
      </c>
      <c r="AO159" s="62">
        <f t="shared" si="144"/>
        <v>425.99823184414191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0.64221828962847693</v>
      </c>
      <c r="AW159" s="23">
        <f>EXP(-LN(2)/2)*AW158+(1-EXP(-LN(2)/2))/(LN(2)/2)*AQ159*AT159*VLOOKUP('Données projet'!$B$10,Paramètres!$A$1:$I$89,3,0)*0.475*44/12</f>
        <v>2.0957514163220828E-18</v>
      </c>
      <c r="AX159" s="23">
        <f t="shared" si="166"/>
        <v>0.64221828962847693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-5.1431925385259088E-14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438.70522838726322</v>
      </c>
      <c r="BJ159" s="62">
        <f t="shared" si="146"/>
        <v>278.21741231699929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-5.4978954722173515E-14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466.10838191274445</v>
      </c>
      <c r="CE159" s="62">
        <f t="shared" si="148"/>
        <v>294.45557293177131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-3.4106051316484809E-13</v>
      </c>
      <c r="CU159" s="18">
        <f>CT159*VLOOKUP('Données projet'!$B$13,Paramètres!$A$1:$I$89,3,0)*VLOOKUP('Données projet'!$B$13,Paramètres!$A$1:$I$89,5,0)</f>
        <v>-2.5006556825246659E-13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376.5422416541544</v>
      </c>
      <c r="CZ159" s="62">
        <f t="shared" si="150"/>
        <v>365.76175372075869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-2.8421709430404007E-13</v>
      </c>
      <c r="DP159" s="18">
        <f>DO159*VLOOKUP('Données projet'!$B$14,Paramètres!$A$1:$I$89,3,0)*VLOOKUP('Données projet'!$B$14,Paramètres!$A$1:$I$89,5,0)</f>
        <v>-2.2612312022829427E-13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352.5736659365665</v>
      </c>
      <c r="DU159" s="62">
        <f t="shared" si="152"/>
        <v>343.77208530767069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2.2737367544323206E-13</v>
      </c>
      <c r="EK159" s="18">
        <f>EJ159*VLOOKUP('Données projet'!$B$15,Paramètres!$A$1:$I$89,3,0)*VLOOKUP('Données projet'!$B$15,Paramètres!$A$1:$I$89,5,0)</f>
        <v>2.0572770154103635E-13</v>
      </c>
      <c r="EL159" s="14">
        <f t="shared" si="179"/>
        <v>2.8416956338469711E-12</v>
      </c>
      <c r="EM159" s="22">
        <f t="shared" si="180"/>
        <v>5.3075956424674458E-12</v>
      </c>
      <c r="EN159" s="62">
        <f t="shared" si="128"/>
        <v>293.3333333333386</v>
      </c>
      <c r="EO159" s="62">
        <f ca="1">AVERAGE(OFFSET($EN$3,0,0,'Données projet'!$E$15+1,1))-AVERAGE(OFFSET($H$3,0,0,'Données projet'!$E$15+1,1))</f>
        <v>436.23918637269577</v>
      </c>
      <c r="EP159" s="62">
        <f t="shared" si="154"/>
        <v>611.43967996341894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0.38763959863815439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0.38763959863815439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1.9895196601282805E-13</v>
      </c>
      <c r="FF159" s="18">
        <f>FE159*VLOOKUP('Données projet'!$B$16,Paramètres!$A$1:$I$89,3,0)*VLOOKUP('Données projet'!$B$16,Paramètres!$A$1:$I$89,5,0)</f>
        <v>1.738044375088066E-13</v>
      </c>
      <c r="FG159" s="14">
        <f t="shared" si="182"/>
        <v>2.4483293633950478E-12</v>
      </c>
      <c r="FH159" s="22">
        <f t="shared" si="183"/>
        <v>4.566883036574213E-12</v>
      </c>
      <c r="FI159" s="62">
        <f t="shared" si="131"/>
        <v>293.33333333333786</v>
      </c>
      <c r="FJ159" s="62">
        <f ca="1">AVERAGE(OFFSET($FI$3,0,0,'Données projet'!$E$16+1,1))-AVERAGE(OFFSET($H$3,0,0,'Données projet'!$E$16+1,1))</f>
        <v>321.23599968992932</v>
      </c>
      <c r="FK159" s="62">
        <f t="shared" si="156"/>
        <v>388.05195847800502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6.3550942286383367E-14</v>
      </c>
      <c r="P160" s="14">
        <f t="shared" si="141"/>
        <v>1.0064464192543978E-12</v>
      </c>
      <c r="Q160" s="22">
        <f t="shared" si="162"/>
        <v>1.8635787380168604E-12</v>
      </c>
      <c r="R160" s="62">
        <f t="shared" si="109"/>
        <v>293.33333333333519</v>
      </c>
      <c r="S160" s="62">
        <f ca="1">AVERAGE(OFFSET($R$3,0,0,'Données projet'!$E$9+1,1))-AVERAGE(OFFSET($H$3,0,0,'Données projet'!$E$9+1,1))</f>
        <v>389.06620927245814</v>
      </c>
      <c r="T160" s="62">
        <f t="shared" si="142"/>
        <v>356.08144160383193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0.9167481639960251</v>
      </c>
      <c r="AB160" s="23">
        <f>EXP(-LN(2)/2)*AB159+(1-EXP(-LN(2)/2))/(LN(2)/2)*V160*Y160*VLOOKUP('Données projet'!$B$9,Paramètres!$A$1:$I$89,3,0)*0.475*44/12</f>
        <v>3.9730317975634176E-19</v>
      </c>
      <c r="AC160" s="24">
        <f t="shared" si="163"/>
        <v>0.9167481639960251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-3.1036506698001178E-14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293.73480285950245</v>
      </c>
      <c r="AO160" s="62">
        <f t="shared" si="144"/>
        <v>425.99823184414191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0.62465679672579422</v>
      </c>
      <c r="AW160" s="23">
        <f>EXP(-LN(2)/2)*AW159+(1-EXP(-LN(2)/2))/(LN(2)/2)*AQ160*AT160*VLOOKUP('Données projet'!$B$10,Paramètres!$A$1:$I$89,3,0)*0.475*44/12</f>
        <v>1.4819200381626561E-18</v>
      </c>
      <c r="AX160" s="23">
        <f t="shared" si="166"/>
        <v>0.62465679672579422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-5.1431925385259088E-14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438.70522838726322</v>
      </c>
      <c r="BJ160" s="62">
        <f t="shared" si="146"/>
        <v>278.21741231699929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-5.4978954722173515E-14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466.10838191274445</v>
      </c>
      <c r="CE160" s="62">
        <f t="shared" si="148"/>
        <v>294.45557293177131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-3.4106051316484809E-13</v>
      </c>
      <c r="CU160" s="18">
        <f>CT160*VLOOKUP('Données projet'!$B$13,Paramètres!$A$1:$I$89,3,0)*VLOOKUP('Données projet'!$B$13,Paramètres!$A$1:$I$89,5,0)</f>
        <v>-2.5006556825246659E-13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376.5422416541544</v>
      </c>
      <c r="CZ160" s="62">
        <f t="shared" si="150"/>
        <v>365.76175372075869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-2.8421709430404007E-13</v>
      </c>
      <c r="DP160" s="18">
        <f>DO160*VLOOKUP('Données projet'!$B$14,Paramètres!$A$1:$I$89,3,0)*VLOOKUP('Données projet'!$B$14,Paramètres!$A$1:$I$89,5,0)</f>
        <v>-2.2612312022829427E-13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352.5736659365665</v>
      </c>
      <c r="DU160" s="62">
        <f t="shared" si="152"/>
        <v>343.77208530767069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2.2737367544323206E-13</v>
      </c>
      <c r="EK160" s="18">
        <f>EJ160*VLOOKUP('Données projet'!$B$15,Paramètres!$A$1:$I$89,3,0)*VLOOKUP('Données projet'!$B$15,Paramètres!$A$1:$I$89,5,0)</f>
        <v>2.0572770154103635E-13</v>
      </c>
      <c r="EL160" s="14">
        <f t="shared" si="179"/>
        <v>2.8416956338469711E-12</v>
      </c>
      <c r="EM160" s="22">
        <f t="shared" si="180"/>
        <v>5.3075956424674458E-12</v>
      </c>
      <c r="EN160" s="62">
        <f t="shared" si="128"/>
        <v>293.3333333333386</v>
      </c>
      <c r="EO160" s="62">
        <f ca="1">AVERAGE(OFFSET($EN$3,0,0,'Données projet'!$E$15+1,1))-AVERAGE(OFFSET($H$3,0,0,'Données projet'!$E$15+1,1))</f>
        <v>436.23918637269577</v>
      </c>
      <c r="EP160" s="62">
        <f t="shared" si="154"/>
        <v>611.43967996341894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0.38003822254566916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0.38003822254566916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1.9895196601282805E-13</v>
      </c>
      <c r="FF160" s="18">
        <f>FE160*VLOOKUP('Données projet'!$B$16,Paramètres!$A$1:$I$89,3,0)*VLOOKUP('Données projet'!$B$16,Paramètres!$A$1:$I$89,5,0)</f>
        <v>1.738044375088066E-13</v>
      </c>
      <c r="FG160" s="14">
        <f t="shared" si="182"/>
        <v>2.4483293633950478E-12</v>
      </c>
      <c r="FH160" s="22">
        <f t="shared" si="183"/>
        <v>4.566883036574213E-12</v>
      </c>
      <c r="FI160" s="62">
        <f t="shared" si="131"/>
        <v>293.33333333333786</v>
      </c>
      <c r="FJ160" s="62">
        <f ca="1">AVERAGE(OFFSET($FI$3,0,0,'Données projet'!$E$16+1,1))-AVERAGE(OFFSET($H$3,0,0,'Données projet'!$E$16+1,1))</f>
        <v>321.23599968992932</v>
      </c>
      <c r="FK160" s="62">
        <f t="shared" si="156"/>
        <v>388.05195847800502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6.3550942286383367E-14</v>
      </c>
      <c r="P161" s="14">
        <f t="shared" si="141"/>
        <v>1.0064464192543978E-12</v>
      </c>
      <c r="Q161" s="22">
        <f t="shared" si="162"/>
        <v>1.8635787380168604E-12</v>
      </c>
      <c r="R161" s="62">
        <f t="shared" si="109"/>
        <v>293.33333333333519</v>
      </c>
      <c r="S161" s="62">
        <f ca="1">AVERAGE(OFFSET($R$3,0,0,'Données projet'!$E$9+1,1))-AVERAGE(OFFSET($H$3,0,0,'Données projet'!$E$9+1,1))</f>
        <v>389.06620927245814</v>
      </c>
      <c r="T161" s="62">
        <f t="shared" si="142"/>
        <v>356.08144160383193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0.89167963724186305</v>
      </c>
      <c r="AB161" s="23">
        <f>EXP(-LN(2)/2)*AB160+(1-EXP(-LN(2)/2))/(LN(2)/2)*V161*Y161*VLOOKUP('Données projet'!$B$9,Paramètres!$A$1:$I$89,3,0)*0.475*44/12</f>
        <v>2.8093577259268711E-19</v>
      </c>
      <c r="AC161" s="24">
        <f t="shared" si="163"/>
        <v>0.89167963724186305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-3.1036506698001178E-14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293.73480285950245</v>
      </c>
      <c r="AO161" s="62">
        <f t="shared" si="144"/>
        <v>425.99823184414191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0.60757552377005408</v>
      </c>
      <c r="AW161" s="23">
        <f>EXP(-LN(2)/2)*AW160+(1-EXP(-LN(2)/2))/(LN(2)/2)*AQ161*AT161*VLOOKUP('Données projet'!$B$10,Paramètres!$A$1:$I$89,3,0)*0.475*44/12</f>
        <v>1.0478757081610414E-18</v>
      </c>
      <c r="AX161" s="23">
        <f t="shared" si="166"/>
        <v>0.60757552377005408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-5.1431925385259088E-14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438.70522838726322</v>
      </c>
      <c r="BJ161" s="62">
        <f t="shared" si="146"/>
        <v>278.21741231699929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-5.4978954722173515E-14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466.10838191274445</v>
      </c>
      <c r="CE161" s="62">
        <f t="shared" si="148"/>
        <v>294.45557293177131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-3.4106051316484809E-13</v>
      </c>
      <c r="CU161" s="18">
        <f>CT161*VLOOKUP('Données projet'!$B$13,Paramètres!$A$1:$I$89,3,0)*VLOOKUP('Données projet'!$B$13,Paramètres!$A$1:$I$89,5,0)</f>
        <v>-2.5006556825246659E-13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376.5422416541544</v>
      </c>
      <c r="CZ161" s="62">
        <f t="shared" si="150"/>
        <v>365.76175372075869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-2.8421709430404007E-13</v>
      </c>
      <c r="DP161" s="18">
        <f>DO161*VLOOKUP('Données projet'!$B$14,Paramètres!$A$1:$I$89,3,0)*VLOOKUP('Données projet'!$B$14,Paramètres!$A$1:$I$89,5,0)</f>
        <v>-2.2612312022829427E-13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352.5736659365665</v>
      </c>
      <c r="DU161" s="62">
        <f t="shared" si="152"/>
        <v>343.77208530767069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2.2737367544323206E-13</v>
      </c>
      <c r="EK161" s="18">
        <f>EJ161*VLOOKUP('Données projet'!$B$15,Paramètres!$A$1:$I$89,3,0)*VLOOKUP('Données projet'!$B$15,Paramètres!$A$1:$I$89,5,0)</f>
        <v>2.0572770154103635E-13</v>
      </c>
      <c r="EL161" s="14">
        <f t="shared" si="179"/>
        <v>2.8416956338469711E-12</v>
      </c>
      <c r="EM161" s="22">
        <f t="shared" si="180"/>
        <v>5.3075956424674458E-12</v>
      </c>
      <c r="EN161" s="62">
        <f t="shared" si="128"/>
        <v>293.3333333333386</v>
      </c>
      <c r="EO161" s="62">
        <f ca="1">AVERAGE(OFFSET($EN$3,0,0,'Données projet'!$E$15+1,1))-AVERAGE(OFFSET($H$3,0,0,'Données projet'!$E$15+1,1))</f>
        <v>436.23918637269577</v>
      </c>
      <c r="EP161" s="62">
        <f t="shared" si="154"/>
        <v>611.43967996341894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0.37258590480197595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0.37258590480197595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1.9895196601282805E-13</v>
      </c>
      <c r="FF161" s="18">
        <f>FE161*VLOOKUP('Données projet'!$B$16,Paramètres!$A$1:$I$89,3,0)*VLOOKUP('Données projet'!$B$16,Paramètres!$A$1:$I$89,5,0)</f>
        <v>1.738044375088066E-13</v>
      </c>
      <c r="FG161" s="14">
        <f t="shared" si="182"/>
        <v>2.4483293633950478E-12</v>
      </c>
      <c r="FH161" s="22">
        <f t="shared" si="183"/>
        <v>4.566883036574213E-12</v>
      </c>
      <c r="FI161" s="62">
        <f t="shared" si="131"/>
        <v>293.33333333333786</v>
      </c>
      <c r="FJ161" s="62">
        <f ca="1">AVERAGE(OFFSET($FI$3,0,0,'Données projet'!$E$16+1,1))-AVERAGE(OFFSET($H$3,0,0,'Données projet'!$E$16+1,1))</f>
        <v>321.23599968992932</v>
      </c>
      <c r="FK161" s="62">
        <f t="shared" si="156"/>
        <v>388.05195847800502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6.3550942286383367E-14</v>
      </c>
      <c r="P162" s="14">
        <f t="shared" si="141"/>
        <v>1.0064464192543978E-12</v>
      </c>
      <c r="Q162" s="22">
        <f t="shared" si="162"/>
        <v>1.8635787380168604E-12</v>
      </c>
      <c r="R162" s="62">
        <f t="shared" si="109"/>
        <v>293.33333333333519</v>
      </c>
      <c r="S162" s="62">
        <f ca="1">AVERAGE(OFFSET($R$3,0,0,'Données projet'!$E$9+1,1))-AVERAGE(OFFSET($H$3,0,0,'Données projet'!$E$9+1,1))</f>
        <v>389.06620927245814</v>
      </c>
      <c r="T162" s="62">
        <f t="shared" si="142"/>
        <v>356.08144160383193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0.86729661067009012</v>
      </c>
      <c r="AB162" s="23">
        <f>EXP(-LN(2)/2)*AB161+(1-EXP(-LN(2)/2))/(LN(2)/2)*V162*Y162*VLOOKUP('Données projet'!$B$9,Paramètres!$A$1:$I$89,3,0)*0.475*44/12</f>
        <v>1.9865158987817088E-19</v>
      </c>
      <c r="AC162" s="24">
        <f t="shared" si="163"/>
        <v>0.86729661067009012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-3.1036506698001178E-14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293.73480285950245</v>
      </c>
      <c r="AO162" s="62">
        <f t="shared" si="144"/>
        <v>425.99823184414191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0.5909613391215538</v>
      </c>
      <c r="AW162" s="23">
        <f>EXP(-LN(2)/2)*AW161+(1-EXP(-LN(2)/2))/(LN(2)/2)*AQ162*AT162*VLOOKUP('Données projet'!$B$10,Paramètres!$A$1:$I$89,3,0)*0.475*44/12</f>
        <v>7.4096001908132804E-19</v>
      </c>
      <c r="AX162" s="23">
        <f t="shared" si="166"/>
        <v>0.5909613391215538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-5.1431925385259088E-14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438.70522838726322</v>
      </c>
      <c r="BJ162" s="62">
        <f t="shared" si="146"/>
        <v>278.21741231699929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-5.4978954722173515E-14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466.10838191274445</v>
      </c>
      <c r="CE162" s="62">
        <f t="shared" si="148"/>
        <v>294.45557293177131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-3.4106051316484809E-13</v>
      </c>
      <c r="CU162" s="18">
        <f>CT162*VLOOKUP('Données projet'!$B$13,Paramètres!$A$1:$I$89,3,0)*VLOOKUP('Données projet'!$B$13,Paramètres!$A$1:$I$89,5,0)</f>
        <v>-2.5006556825246659E-13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376.5422416541544</v>
      </c>
      <c r="CZ162" s="62">
        <f t="shared" si="150"/>
        <v>365.76175372075869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-2.8421709430404007E-13</v>
      </c>
      <c r="DP162" s="18">
        <f>DO162*VLOOKUP('Données projet'!$B$14,Paramètres!$A$1:$I$89,3,0)*VLOOKUP('Données projet'!$B$14,Paramètres!$A$1:$I$89,5,0)</f>
        <v>-2.2612312022829427E-13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352.5736659365665</v>
      </c>
      <c r="DU162" s="62">
        <f t="shared" si="152"/>
        <v>343.77208530767069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2.2737367544323206E-13</v>
      </c>
      <c r="EK162" s="18">
        <f>EJ162*VLOOKUP('Données projet'!$B$15,Paramètres!$A$1:$I$89,3,0)*VLOOKUP('Données projet'!$B$15,Paramètres!$A$1:$I$89,5,0)</f>
        <v>2.0572770154103635E-13</v>
      </c>
      <c r="EL162" s="14">
        <f t="shared" si="179"/>
        <v>2.8416956338469711E-12</v>
      </c>
      <c r="EM162" s="22">
        <f t="shared" si="180"/>
        <v>5.3075956424674458E-12</v>
      </c>
      <c r="EN162" s="62">
        <f t="shared" si="128"/>
        <v>293.3333333333386</v>
      </c>
      <c r="EO162" s="62">
        <f ca="1">AVERAGE(OFFSET($EN$3,0,0,'Données projet'!$E$15+1,1))-AVERAGE(OFFSET($H$3,0,0,'Données projet'!$E$15+1,1))</f>
        <v>436.23918637269577</v>
      </c>
      <c r="EP162" s="62">
        <f t="shared" si="154"/>
        <v>611.43967996341894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0.36527972246377155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0.36527972246377155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1.9895196601282805E-13</v>
      </c>
      <c r="FF162" s="18">
        <f>FE162*VLOOKUP('Données projet'!$B$16,Paramètres!$A$1:$I$89,3,0)*VLOOKUP('Données projet'!$B$16,Paramètres!$A$1:$I$89,5,0)</f>
        <v>1.738044375088066E-13</v>
      </c>
      <c r="FG162" s="14">
        <f t="shared" si="182"/>
        <v>2.4483293633950478E-12</v>
      </c>
      <c r="FH162" s="22">
        <f t="shared" si="183"/>
        <v>4.566883036574213E-12</v>
      </c>
      <c r="FI162" s="62">
        <f t="shared" si="131"/>
        <v>293.33333333333786</v>
      </c>
      <c r="FJ162" s="62">
        <f ca="1">AVERAGE(OFFSET($FI$3,0,0,'Données projet'!$E$16+1,1))-AVERAGE(OFFSET($H$3,0,0,'Données projet'!$E$16+1,1))</f>
        <v>321.23599968992932</v>
      </c>
      <c r="FK162" s="62">
        <f t="shared" si="156"/>
        <v>388.05195847800502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6.3550942286383367E-14</v>
      </c>
      <c r="P163" s="14">
        <f t="shared" si="141"/>
        <v>1.0064464192543978E-12</v>
      </c>
      <c r="Q163" s="22">
        <f t="shared" si="162"/>
        <v>1.8635787380168604E-12</v>
      </c>
      <c r="R163" s="62">
        <f t="shared" si="109"/>
        <v>293.33333333333519</v>
      </c>
      <c r="S163" s="62">
        <f ca="1">AVERAGE(OFFSET($R$3,0,0,'Données projet'!$E$9+1,1))-AVERAGE(OFFSET($H$3,0,0,'Données projet'!$E$9+1,1))</f>
        <v>389.06620927245814</v>
      </c>
      <c r="T163" s="62">
        <f t="shared" si="142"/>
        <v>356.08144160383193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0.84358033924217002</v>
      </c>
      <c r="AB163" s="23">
        <f>EXP(-LN(2)/2)*AB162+(1-EXP(-LN(2)/2))/(LN(2)/2)*V163*Y163*VLOOKUP('Données projet'!$B$9,Paramètres!$A$1:$I$89,3,0)*0.475*44/12</f>
        <v>1.4046788629634355E-19</v>
      </c>
      <c r="AC163" s="24">
        <f t="shared" si="163"/>
        <v>0.84358033924217002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-3.1036506698001178E-14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293.73480285950245</v>
      </c>
      <c r="AO163" s="62">
        <f t="shared" si="144"/>
        <v>425.99823184414191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0.57480147022596872</v>
      </c>
      <c r="AW163" s="23">
        <f>EXP(-LN(2)/2)*AW162+(1-EXP(-LN(2)/2))/(LN(2)/2)*AQ163*AT163*VLOOKUP('Données projet'!$B$10,Paramètres!$A$1:$I$89,3,0)*0.475*44/12</f>
        <v>5.2393785408052069E-19</v>
      </c>
      <c r="AX163" s="23">
        <f t="shared" si="166"/>
        <v>0.57480147022596872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-5.1431925385259088E-14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438.70522838726322</v>
      </c>
      <c r="BJ163" s="62">
        <f t="shared" si="146"/>
        <v>278.21741231699929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-5.4978954722173515E-14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466.10838191274445</v>
      </c>
      <c r="CE163" s="62">
        <f t="shared" si="148"/>
        <v>294.45557293177131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-3.4106051316484809E-13</v>
      </c>
      <c r="CU163" s="18">
        <f>CT163*VLOOKUP('Données projet'!$B$13,Paramètres!$A$1:$I$89,3,0)*VLOOKUP('Données projet'!$B$13,Paramètres!$A$1:$I$89,5,0)</f>
        <v>-2.5006556825246659E-13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376.5422416541544</v>
      </c>
      <c r="CZ163" s="62">
        <f t="shared" si="150"/>
        <v>365.76175372075869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-2.8421709430404007E-13</v>
      </c>
      <c r="DP163" s="18">
        <f>DO163*VLOOKUP('Données projet'!$B$14,Paramètres!$A$1:$I$89,3,0)*VLOOKUP('Données projet'!$B$14,Paramètres!$A$1:$I$89,5,0)</f>
        <v>-2.2612312022829427E-13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352.5736659365665</v>
      </c>
      <c r="DU163" s="62">
        <f t="shared" si="152"/>
        <v>343.77208530767069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2.2737367544323206E-13</v>
      </c>
      <c r="EK163" s="18">
        <f>EJ163*VLOOKUP('Données projet'!$B$15,Paramètres!$A$1:$I$89,3,0)*VLOOKUP('Données projet'!$B$15,Paramètres!$A$1:$I$89,5,0)</f>
        <v>2.0572770154103635E-13</v>
      </c>
      <c r="EL163" s="14">
        <f t="shared" si="179"/>
        <v>2.8416956338469711E-12</v>
      </c>
      <c r="EM163" s="22">
        <f t="shared" si="180"/>
        <v>5.3075956424674458E-12</v>
      </c>
      <c r="EN163" s="62">
        <f t="shared" si="128"/>
        <v>293.3333333333386</v>
      </c>
      <c r="EO163" s="62">
        <f ca="1">AVERAGE(OFFSET($EN$3,0,0,'Données projet'!$E$15+1,1))-AVERAGE(OFFSET($H$3,0,0,'Données projet'!$E$15+1,1))</f>
        <v>436.23918637269577</v>
      </c>
      <c r="EP163" s="62">
        <f t="shared" si="154"/>
        <v>611.43967996341894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0.35811680990488814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0.35811680990488814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1.9895196601282805E-13</v>
      </c>
      <c r="FF163" s="18">
        <f>FE163*VLOOKUP('Données projet'!$B$16,Paramètres!$A$1:$I$89,3,0)*VLOOKUP('Données projet'!$B$16,Paramètres!$A$1:$I$89,5,0)</f>
        <v>1.738044375088066E-13</v>
      </c>
      <c r="FG163" s="14">
        <f t="shared" si="182"/>
        <v>2.4483293633950478E-12</v>
      </c>
      <c r="FH163" s="22">
        <f t="shared" si="183"/>
        <v>4.566883036574213E-12</v>
      </c>
      <c r="FI163" s="62">
        <f t="shared" si="131"/>
        <v>293.33333333333786</v>
      </c>
      <c r="FJ163" s="62">
        <f ca="1">AVERAGE(OFFSET($FI$3,0,0,'Données projet'!$E$16+1,1))-AVERAGE(OFFSET($H$3,0,0,'Données projet'!$E$16+1,1))</f>
        <v>321.23599968992932</v>
      </c>
      <c r="FK163" s="62">
        <f t="shared" si="156"/>
        <v>388.05195847800502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6.3550942286383367E-14</v>
      </c>
      <c r="P164" s="14">
        <f t="shared" si="141"/>
        <v>1.0064464192543978E-12</v>
      </c>
      <c r="Q164" s="22">
        <f t="shared" si="162"/>
        <v>1.8635787380168604E-12</v>
      </c>
      <c r="R164" s="62">
        <f t="shared" si="109"/>
        <v>293.33333333333519</v>
      </c>
      <c r="S164" s="62">
        <f ca="1">AVERAGE(OFFSET($R$3,0,0,'Données projet'!$E$9+1,1))-AVERAGE(OFFSET($H$3,0,0,'Données projet'!$E$9+1,1))</f>
        <v>389.06620927245814</v>
      </c>
      <c r="T164" s="62">
        <f t="shared" si="142"/>
        <v>356.08144160383193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0.8205125905036309</v>
      </c>
      <c r="AB164" s="23">
        <f>EXP(-LN(2)/2)*AB163+(1-EXP(-LN(2)/2))/(LN(2)/2)*V164*Y164*VLOOKUP('Données projet'!$B$9,Paramètres!$A$1:$I$89,3,0)*0.475*44/12</f>
        <v>9.932579493908544E-20</v>
      </c>
      <c r="AC164" s="24">
        <f t="shared" si="163"/>
        <v>0.8205125905036309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-3.1036506698001178E-14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293.73480285950245</v>
      </c>
      <c r="AO164" s="62">
        <f t="shared" si="144"/>
        <v>425.99823184414191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0.55908349379514399</v>
      </c>
      <c r="AW164" s="23">
        <f>EXP(-LN(2)/2)*AW163+(1-EXP(-LN(2)/2))/(LN(2)/2)*AQ164*AT164*VLOOKUP('Données projet'!$B$10,Paramètres!$A$1:$I$89,3,0)*0.475*44/12</f>
        <v>3.7048000954066402E-19</v>
      </c>
      <c r="AX164" s="23">
        <f t="shared" si="166"/>
        <v>0.55908349379514399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-5.1431925385259088E-14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438.70522838726322</v>
      </c>
      <c r="BJ164" s="62">
        <f t="shared" si="146"/>
        <v>278.21741231699929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-5.4978954722173515E-14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466.10838191274445</v>
      </c>
      <c r="CE164" s="62">
        <f t="shared" si="148"/>
        <v>294.45557293177131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-3.4106051316484809E-13</v>
      </c>
      <c r="CU164" s="18">
        <f>CT164*VLOOKUP('Données projet'!$B$13,Paramètres!$A$1:$I$89,3,0)*VLOOKUP('Données projet'!$B$13,Paramètres!$A$1:$I$89,5,0)</f>
        <v>-2.5006556825246659E-13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376.5422416541544</v>
      </c>
      <c r="CZ164" s="62">
        <f t="shared" si="150"/>
        <v>365.76175372075869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-2.8421709430404007E-13</v>
      </c>
      <c r="DP164" s="18">
        <f>DO164*VLOOKUP('Données projet'!$B$14,Paramètres!$A$1:$I$89,3,0)*VLOOKUP('Données projet'!$B$14,Paramètres!$A$1:$I$89,5,0)</f>
        <v>-2.2612312022829427E-13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352.5736659365665</v>
      </c>
      <c r="DU164" s="62">
        <f t="shared" si="152"/>
        <v>343.77208530767069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2.2737367544323206E-13</v>
      </c>
      <c r="EK164" s="18">
        <f>EJ164*VLOOKUP('Données projet'!$B$15,Paramètres!$A$1:$I$89,3,0)*VLOOKUP('Données projet'!$B$15,Paramètres!$A$1:$I$89,5,0)</f>
        <v>2.0572770154103635E-13</v>
      </c>
      <c r="EL164" s="14">
        <f t="shared" si="179"/>
        <v>2.8416956338469711E-12</v>
      </c>
      <c r="EM164" s="22">
        <f t="shared" si="180"/>
        <v>5.3075956424674458E-12</v>
      </c>
      <c r="EN164" s="62">
        <f t="shared" si="128"/>
        <v>293.3333333333386</v>
      </c>
      <c r="EO164" s="62">
        <f ca="1">AVERAGE(OFFSET($EN$3,0,0,'Données projet'!$E$15+1,1))-AVERAGE(OFFSET($H$3,0,0,'Données projet'!$E$15+1,1))</f>
        <v>436.23918637269577</v>
      </c>
      <c r="EP164" s="62">
        <f t="shared" si="154"/>
        <v>611.43967996341894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0.35109435769233921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0.35109435769233921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1.9895196601282805E-13</v>
      </c>
      <c r="FF164" s="18">
        <f>FE164*VLOOKUP('Données projet'!$B$16,Paramètres!$A$1:$I$89,3,0)*VLOOKUP('Données projet'!$B$16,Paramètres!$A$1:$I$89,5,0)</f>
        <v>1.738044375088066E-13</v>
      </c>
      <c r="FG164" s="14">
        <f t="shared" si="182"/>
        <v>2.4483293633950478E-12</v>
      </c>
      <c r="FH164" s="22">
        <f t="shared" si="183"/>
        <v>4.566883036574213E-12</v>
      </c>
      <c r="FI164" s="62">
        <f t="shared" si="131"/>
        <v>293.33333333333786</v>
      </c>
      <c r="FJ164" s="62">
        <f ca="1">AVERAGE(OFFSET($FI$3,0,0,'Données projet'!$E$16+1,1))-AVERAGE(OFFSET($H$3,0,0,'Données projet'!$E$16+1,1))</f>
        <v>321.23599968992932</v>
      </c>
      <c r="FK164" s="62">
        <f t="shared" si="156"/>
        <v>388.05195847800502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6.3550942286383367E-14</v>
      </c>
      <c r="P165" s="14">
        <f t="shared" si="141"/>
        <v>1.0064464192543978E-12</v>
      </c>
      <c r="Q165" s="22">
        <f t="shared" si="162"/>
        <v>1.8635787380168604E-12</v>
      </c>
      <c r="R165" s="62">
        <f t="shared" si="109"/>
        <v>293.33333333333519</v>
      </c>
      <c r="S165" s="62">
        <f ca="1">AVERAGE(OFFSET($R$3,0,0,'Données projet'!$E$9+1,1))-AVERAGE(OFFSET($H$3,0,0,'Données projet'!$E$9+1,1))</f>
        <v>389.06620927245814</v>
      </c>
      <c r="T165" s="62">
        <f t="shared" si="142"/>
        <v>356.08144160383193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0.79807563056742725</v>
      </c>
      <c r="AB165" s="23">
        <f>EXP(-LN(2)/2)*AB164+(1-EXP(-LN(2)/2))/(LN(2)/2)*V165*Y165*VLOOKUP('Données projet'!$B$9,Paramètres!$A$1:$I$89,3,0)*0.475*44/12</f>
        <v>7.0233943148171777E-20</v>
      </c>
      <c r="AC165" s="24">
        <f t="shared" si="163"/>
        <v>0.79807563056742725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-3.1036506698001178E-14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293.73480285950245</v>
      </c>
      <c r="AO165" s="62">
        <f t="shared" si="144"/>
        <v>425.99823184414191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0.5437953262563926</v>
      </c>
      <c r="AW165" s="23">
        <f>EXP(-LN(2)/2)*AW164+(1-EXP(-LN(2)/2))/(LN(2)/2)*AQ165*AT165*VLOOKUP('Données projet'!$B$10,Paramètres!$A$1:$I$89,3,0)*0.475*44/12</f>
        <v>2.6196892704026035E-19</v>
      </c>
      <c r="AX165" s="23">
        <f t="shared" si="166"/>
        <v>0.5437953262563926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-5.1431925385259088E-14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438.70522838726322</v>
      </c>
      <c r="BJ165" s="62">
        <f t="shared" si="146"/>
        <v>278.21741231699929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-5.4978954722173515E-14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466.10838191274445</v>
      </c>
      <c r="CE165" s="62">
        <f t="shared" si="148"/>
        <v>294.45557293177131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-3.4106051316484809E-13</v>
      </c>
      <c r="CU165" s="18">
        <f>CT165*VLOOKUP('Données projet'!$B$13,Paramètres!$A$1:$I$89,3,0)*VLOOKUP('Données projet'!$B$13,Paramètres!$A$1:$I$89,5,0)</f>
        <v>-2.5006556825246659E-13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376.5422416541544</v>
      </c>
      <c r="CZ165" s="62">
        <f t="shared" si="150"/>
        <v>365.76175372075869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-2.8421709430404007E-13</v>
      </c>
      <c r="DP165" s="18">
        <f>DO165*VLOOKUP('Données projet'!$B$14,Paramètres!$A$1:$I$89,3,0)*VLOOKUP('Données projet'!$B$14,Paramètres!$A$1:$I$89,5,0)</f>
        <v>-2.2612312022829427E-13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352.5736659365665</v>
      </c>
      <c r="DU165" s="62">
        <f t="shared" si="152"/>
        <v>343.77208530767069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2.2737367544323206E-13</v>
      </c>
      <c r="EK165" s="18">
        <f>EJ165*VLOOKUP('Données projet'!$B$15,Paramètres!$A$1:$I$89,3,0)*VLOOKUP('Données projet'!$B$15,Paramètres!$A$1:$I$89,5,0)</f>
        <v>2.0572770154103635E-13</v>
      </c>
      <c r="EL165" s="14">
        <f t="shared" si="179"/>
        <v>2.8416956338469711E-12</v>
      </c>
      <c r="EM165" s="22">
        <f t="shared" si="180"/>
        <v>5.3075956424674458E-12</v>
      </c>
      <c r="EN165" s="62">
        <f t="shared" si="128"/>
        <v>293.3333333333386</v>
      </c>
      <c r="EO165" s="62">
        <f ca="1">AVERAGE(OFFSET($EN$3,0,0,'Données projet'!$E$15+1,1))-AVERAGE(OFFSET($H$3,0,0,'Données projet'!$E$15+1,1))</f>
        <v>436.23918637269577</v>
      </c>
      <c r="EP165" s="62">
        <f t="shared" si="154"/>
        <v>611.43967996341894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0.34420961148440543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0.34420961148440543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1.9895196601282805E-13</v>
      </c>
      <c r="FF165" s="18">
        <f>FE165*VLOOKUP('Données projet'!$B$16,Paramètres!$A$1:$I$89,3,0)*VLOOKUP('Données projet'!$B$16,Paramètres!$A$1:$I$89,5,0)</f>
        <v>1.738044375088066E-13</v>
      </c>
      <c r="FG165" s="14">
        <f t="shared" si="182"/>
        <v>2.4483293633950478E-12</v>
      </c>
      <c r="FH165" s="22">
        <f t="shared" si="183"/>
        <v>4.566883036574213E-12</v>
      </c>
      <c r="FI165" s="62">
        <f t="shared" si="131"/>
        <v>293.33333333333786</v>
      </c>
      <c r="FJ165" s="62">
        <f ca="1">AVERAGE(OFFSET($FI$3,0,0,'Données projet'!$E$16+1,1))-AVERAGE(OFFSET($H$3,0,0,'Données projet'!$E$16+1,1))</f>
        <v>321.23599968992932</v>
      </c>
      <c r="FK165" s="62">
        <f t="shared" si="156"/>
        <v>388.05195847800502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6.3550942286383367E-14</v>
      </c>
      <c r="P166" s="14">
        <f t="shared" si="141"/>
        <v>1.0064464192543978E-12</v>
      </c>
      <c r="Q166" s="22">
        <f t="shared" si="162"/>
        <v>1.8635787380168604E-12</v>
      </c>
      <c r="R166" s="62">
        <f t="shared" si="109"/>
        <v>293.33333333333519</v>
      </c>
      <c r="S166" s="62">
        <f ca="1">AVERAGE(OFFSET($R$3,0,0,'Données projet'!$E$9+1,1))-AVERAGE(OFFSET($H$3,0,0,'Données projet'!$E$9+1,1))</f>
        <v>389.06620927245814</v>
      </c>
      <c r="T166" s="62">
        <f t="shared" si="142"/>
        <v>356.08144160383193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0.77625221048058757</v>
      </c>
      <c r="AB166" s="23">
        <f>EXP(-LN(2)/2)*AB165+(1-EXP(-LN(2)/2))/(LN(2)/2)*V166*Y166*VLOOKUP('Données projet'!$B$9,Paramètres!$A$1:$I$89,3,0)*0.475*44/12</f>
        <v>4.966289746954272E-20</v>
      </c>
      <c r="AC166" s="24">
        <f t="shared" si="163"/>
        <v>0.77625221048058757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-3.1036506698001178E-14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293.73480285950245</v>
      </c>
      <c r="AO166" s="62">
        <f t="shared" si="144"/>
        <v>425.99823184414191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0.52892521446295815</v>
      </c>
      <c r="AW166" s="23">
        <f>EXP(-LN(2)/2)*AW165+(1-EXP(-LN(2)/2))/(LN(2)/2)*AQ166*AT166*VLOOKUP('Données projet'!$B$10,Paramètres!$A$1:$I$89,3,0)*0.475*44/12</f>
        <v>1.8524000477033201E-19</v>
      </c>
      <c r="AX166" s="23">
        <f t="shared" si="166"/>
        <v>0.52892521446295815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-5.1431925385259088E-14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438.70522838726322</v>
      </c>
      <c r="BJ166" s="62">
        <f t="shared" si="146"/>
        <v>278.21741231699929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-5.4978954722173515E-14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466.10838191274445</v>
      </c>
      <c r="CE166" s="62">
        <f t="shared" si="148"/>
        <v>294.45557293177131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-3.4106051316484809E-13</v>
      </c>
      <c r="CU166" s="18">
        <f>CT166*VLOOKUP('Données projet'!$B$13,Paramètres!$A$1:$I$89,3,0)*VLOOKUP('Données projet'!$B$13,Paramètres!$A$1:$I$89,5,0)</f>
        <v>-2.5006556825246659E-13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376.5422416541544</v>
      </c>
      <c r="CZ166" s="62">
        <f t="shared" si="150"/>
        <v>365.76175372075869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-2.8421709430404007E-13</v>
      </c>
      <c r="DP166" s="18">
        <f>DO166*VLOOKUP('Données projet'!$B$14,Paramètres!$A$1:$I$89,3,0)*VLOOKUP('Données projet'!$B$14,Paramètres!$A$1:$I$89,5,0)</f>
        <v>-2.2612312022829427E-13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352.5736659365665</v>
      </c>
      <c r="DU166" s="62">
        <f t="shared" si="152"/>
        <v>343.77208530767069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2.2737367544323206E-13</v>
      </c>
      <c r="EK166" s="18">
        <f>EJ166*VLOOKUP('Données projet'!$B$15,Paramètres!$A$1:$I$89,3,0)*VLOOKUP('Données projet'!$B$15,Paramètres!$A$1:$I$89,5,0)</f>
        <v>2.0572770154103635E-13</v>
      </c>
      <c r="EL166" s="14">
        <f t="shared" si="179"/>
        <v>2.8416956338469711E-12</v>
      </c>
      <c r="EM166" s="22">
        <f t="shared" si="180"/>
        <v>5.3075956424674458E-12</v>
      </c>
      <c r="EN166" s="62">
        <f t="shared" si="128"/>
        <v>293.3333333333386</v>
      </c>
      <c r="EO166" s="62">
        <f ca="1">AVERAGE(OFFSET($EN$3,0,0,'Données projet'!$E$15+1,1))-AVERAGE(OFFSET($H$3,0,0,'Données projet'!$E$15+1,1))</f>
        <v>436.23918637269577</v>
      </c>
      <c r="EP166" s="62">
        <f t="shared" si="154"/>
        <v>611.43967996341894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0.3374598709503287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0.3374598709503287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1.9895196601282805E-13</v>
      </c>
      <c r="FF166" s="18">
        <f>FE166*VLOOKUP('Données projet'!$B$16,Paramètres!$A$1:$I$89,3,0)*VLOOKUP('Données projet'!$B$16,Paramètres!$A$1:$I$89,5,0)</f>
        <v>1.738044375088066E-13</v>
      </c>
      <c r="FG166" s="14">
        <f t="shared" si="182"/>
        <v>2.4483293633950478E-12</v>
      </c>
      <c r="FH166" s="22">
        <f t="shared" si="183"/>
        <v>4.566883036574213E-12</v>
      </c>
      <c r="FI166" s="62">
        <f t="shared" si="131"/>
        <v>293.33333333333786</v>
      </c>
      <c r="FJ166" s="62">
        <f ca="1">AVERAGE(OFFSET($FI$3,0,0,'Données projet'!$E$16+1,1))-AVERAGE(OFFSET($H$3,0,0,'Données projet'!$E$16+1,1))</f>
        <v>321.23599968992932</v>
      </c>
      <c r="FK166" s="62">
        <f t="shared" si="156"/>
        <v>388.05195847800502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6.3550942286383367E-14</v>
      </c>
      <c r="P167" s="14">
        <f t="shared" si="141"/>
        <v>1.0064464192543978E-12</v>
      </c>
      <c r="Q167" s="22">
        <f t="shared" si="162"/>
        <v>1.8635787380168604E-12</v>
      </c>
      <c r="R167" s="62">
        <f t="shared" si="109"/>
        <v>293.33333333333519</v>
      </c>
      <c r="S167" s="62">
        <f ca="1">AVERAGE(OFFSET($R$3,0,0,'Données projet'!$E$9+1,1))-AVERAGE(OFFSET($H$3,0,0,'Données projet'!$E$9+1,1))</f>
        <v>389.06620927245814</v>
      </c>
      <c r="T167" s="62">
        <f t="shared" si="142"/>
        <v>356.08144160383193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0.75502555296366625</v>
      </c>
      <c r="AB167" s="23">
        <f>EXP(-LN(2)/2)*AB166+(1-EXP(-LN(2)/2))/(LN(2)/2)*V167*Y167*VLOOKUP('Données projet'!$B$9,Paramètres!$A$1:$I$89,3,0)*0.475*44/12</f>
        <v>3.5116971574085889E-20</v>
      </c>
      <c r="AC167" s="24">
        <f t="shared" si="163"/>
        <v>0.75502555296366625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-3.1036506698001178E-14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293.73480285950245</v>
      </c>
      <c r="AO167" s="62">
        <f t="shared" si="144"/>
        <v>425.99823184414191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0.51446172665850043</v>
      </c>
      <c r="AW167" s="23">
        <f>EXP(-LN(2)/2)*AW166+(1-EXP(-LN(2)/2))/(LN(2)/2)*AQ167*AT167*VLOOKUP('Données projet'!$B$10,Paramètres!$A$1:$I$89,3,0)*0.475*44/12</f>
        <v>1.3098446352013017E-19</v>
      </c>
      <c r="AX167" s="23">
        <f t="shared" si="166"/>
        <v>0.51446172665850043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-5.1431925385259088E-14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438.70522838726322</v>
      </c>
      <c r="BJ167" s="62">
        <f t="shared" si="146"/>
        <v>278.21741231699929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-5.4978954722173515E-14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466.10838191274445</v>
      </c>
      <c r="CE167" s="62">
        <f t="shared" si="148"/>
        <v>294.45557293177131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-3.4106051316484809E-13</v>
      </c>
      <c r="CU167" s="18">
        <f>CT167*VLOOKUP('Données projet'!$B$13,Paramètres!$A$1:$I$89,3,0)*VLOOKUP('Données projet'!$B$13,Paramètres!$A$1:$I$89,5,0)</f>
        <v>-2.5006556825246659E-13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376.5422416541544</v>
      </c>
      <c r="CZ167" s="62">
        <f t="shared" si="150"/>
        <v>365.76175372075869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-2.8421709430404007E-13</v>
      </c>
      <c r="DP167" s="18">
        <f>DO167*VLOOKUP('Données projet'!$B$14,Paramètres!$A$1:$I$89,3,0)*VLOOKUP('Données projet'!$B$14,Paramètres!$A$1:$I$89,5,0)</f>
        <v>-2.2612312022829427E-13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352.5736659365665</v>
      </c>
      <c r="DU167" s="62">
        <f t="shared" si="152"/>
        <v>343.77208530767069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2.2737367544323206E-13</v>
      </c>
      <c r="EK167" s="18">
        <f>EJ167*VLOOKUP('Données projet'!$B$15,Paramètres!$A$1:$I$89,3,0)*VLOOKUP('Données projet'!$B$15,Paramètres!$A$1:$I$89,5,0)</f>
        <v>2.0572770154103635E-13</v>
      </c>
      <c r="EL167" s="14">
        <f t="shared" si="179"/>
        <v>2.8416956338469711E-12</v>
      </c>
      <c r="EM167" s="22">
        <f t="shared" si="180"/>
        <v>5.3075956424674458E-12</v>
      </c>
      <c r="EN167" s="62">
        <f t="shared" si="128"/>
        <v>293.3333333333386</v>
      </c>
      <c r="EO167" s="62">
        <f ca="1">AVERAGE(OFFSET($EN$3,0,0,'Données projet'!$E$15+1,1))-AVERAGE(OFFSET($H$3,0,0,'Données projet'!$E$15+1,1))</f>
        <v>436.23918637269577</v>
      </c>
      <c r="EP167" s="62">
        <f t="shared" si="154"/>
        <v>611.43967996341894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0.33084248871118999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0.33084248871118999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1.9895196601282805E-13</v>
      </c>
      <c r="FF167" s="18">
        <f>FE167*VLOOKUP('Données projet'!$B$16,Paramètres!$A$1:$I$89,3,0)*VLOOKUP('Données projet'!$B$16,Paramètres!$A$1:$I$89,5,0)</f>
        <v>1.738044375088066E-13</v>
      </c>
      <c r="FG167" s="14">
        <f t="shared" si="182"/>
        <v>2.4483293633950478E-12</v>
      </c>
      <c r="FH167" s="22">
        <f t="shared" si="183"/>
        <v>4.566883036574213E-12</v>
      </c>
      <c r="FI167" s="62">
        <f t="shared" si="131"/>
        <v>293.33333333333786</v>
      </c>
      <c r="FJ167" s="62">
        <f ca="1">AVERAGE(OFFSET($FI$3,0,0,'Données projet'!$E$16+1,1))-AVERAGE(OFFSET($H$3,0,0,'Données projet'!$E$16+1,1))</f>
        <v>321.23599968992932</v>
      </c>
      <c r="FK167" s="62">
        <f t="shared" si="156"/>
        <v>388.05195847800502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6.3550942286383367E-14</v>
      </c>
      <c r="P168" s="14">
        <f t="shared" si="141"/>
        <v>1.0064464192543978E-12</v>
      </c>
      <c r="Q168" s="22">
        <f t="shared" si="162"/>
        <v>1.8635787380168604E-12</v>
      </c>
      <c r="R168" s="62">
        <f t="shared" si="109"/>
        <v>293.33333333333519</v>
      </c>
      <c r="S168" s="62">
        <f ca="1">AVERAGE(OFFSET($R$3,0,0,'Données projet'!$E$9+1,1))-AVERAGE(OFFSET($H$3,0,0,'Données projet'!$E$9+1,1))</f>
        <v>389.06620927245814</v>
      </c>
      <c r="T168" s="62">
        <f t="shared" si="142"/>
        <v>356.08144160383193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0.73437933951280665</v>
      </c>
      <c r="AB168" s="23">
        <f>EXP(-LN(2)/2)*AB167+(1-EXP(-LN(2)/2))/(LN(2)/2)*V168*Y168*VLOOKUP('Données projet'!$B$9,Paramètres!$A$1:$I$89,3,0)*0.475*44/12</f>
        <v>2.483144873477136E-20</v>
      </c>
      <c r="AC168" s="24">
        <f t="shared" si="163"/>
        <v>0.73437933951280665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-3.1036506698001178E-14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293.73480285950245</v>
      </c>
      <c r="AO168" s="62">
        <f t="shared" si="144"/>
        <v>425.99823184414191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0.5003937436886573</v>
      </c>
      <c r="AW168" s="23">
        <f>EXP(-LN(2)/2)*AW167+(1-EXP(-LN(2)/2))/(LN(2)/2)*AQ168*AT168*VLOOKUP('Données projet'!$B$10,Paramètres!$A$1:$I$89,3,0)*0.475*44/12</f>
        <v>9.2620002385166005E-20</v>
      </c>
      <c r="AX168" s="23">
        <f t="shared" si="166"/>
        <v>0.5003937436886573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-5.1431925385259088E-14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438.70522838726322</v>
      </c>
      <c r="BJ168" s="62">
        <f t="shared" si="146"/>
        <v>278.21741231699929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-5.4978954722173515E-14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466.10838191274445</v>
      </c>
      <c r="CE168" s="62">
        <f t="shared" si="148"/>
        <v>294.45557293177131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-3.4106051316484809E-13</v>
      </c>
      <c r="CU168" s="18">
        <f>CT168*VLOOKUP('Données projet'!$B$13,Paramètres!$A$1:$I$89,3,0)*VLOOKUP('Données projet'!$B$13,Paramètres!$A$1:$I$89,5,0)</f>
        <v>-2.5006556825246659E-13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376.5422416541544</v>
      </c>
      <c r="CZ168" s="62">
        <f t="shared" si="150"/>
        <v>365.76175372075869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-2.8421709430404007E-13</v>
      </c>
      <c r="DP168" s="18">
        <f>DO168*VLOOKUP('Données projet'!$B$14,Paramètres!$A$1:$I$89,3,0)*VLOOKUP('Données projet'!$B$14,Paramètres!$A$1:$I$89,5,0)</f>
        <v>-2.2612312022829427E-13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352.5736659365665</v>
      </c>
      <c r="DU168" s="62">
        <f t="shared" si="152"/>
        <v>343.77208530767069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2.2737367544323206E-13</v>
      </c>
      <c r="EK168" s="18">
        <f>EJ168*VLOOKUP('Données projet'!$B$15,Paramètres!$A$1:$I$89,3,0)*VLOOKUP('Données projet'!$B$15,Paramètres!$A$1:$I$89,5,0)</f>
        <v>2.0572770154103635E-13</v>
      </c>
      <c r="EL168" s="14">
        <f t="shared" si="179"/>
        <v>2.8416956338469711E-12</v>
      </c>
      <c r="EM168" s="22">
        <f t="shared" si="180"/>
        <v>5.3075956424674458E-12</v>
      </c>
      <c r="EN168" s="62">
        <f t="shared" si="128"/>
        <v>293.3333333333386</v>
      </c>
      <c r="EO168" s="62">
        <f ca="1">AVERAGE(OFFSET($EN$3,0,0,'Données projet'!$E$15+1,1))-AVERAGE(OFFSET($H$3,0,0,'Données projet'!$E$15+1,1))</f>
        <v>436.23918637269577</v>
      </c>
      <c r="EP168" s="62">
        <f t="shared" si="154"/>
        <v>611.43967996341894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0.32435486930155616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0.32435486930155616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1.9895196601282805E-13</v>
      </c>
      <c r="FF168" s="18">
        <f>FE168*VLOOKUP('Données projet'!$B$16,Paramètres!$A$1:$I$89,3,0)*VLOOKUP('Données projet'!$B$16,Paramètres!$A$1:$I$89,5,0)</f>
        <v>1.738044375088066E-13</v>
      </c>
      <c r="FG168" s="14">
        <f t="shared" si="182"/>
        <v>2.4483293633950478E-12</v>
      </c>
      <c r="FH168" s="22">
        <f t="shared" si="183"/>
        <v>4.566883036574213E-12</v>
      </c>
      <c r="FI168" s="62">
        <f t="shared" si="131"/>
        <v>293.33333333333786</v>
      </c>
      <c r="FJ168" s="62">
        <f ca="1">AVERAGE(OFFSET($FI$3,0,0,'Données projet'!$E$16+1,1))-AVERAGE(OFFSET($H$3,0,0,'Données projet'!$E$16+1,1))</f>
        <v>321.23599968992932</v>
      </c>
      <c r="FK168" s="62">
        <f t="shared" si="156"/>
        <v>388.05195847800502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6.3550942286383367E-14</v>
      </c>
      <c r="P169" s="14">
        <f t="shared" si="141"/>
        <v>1.0064464192543978E-12</v>
      </c>
      <c r="Q169" s="22">
        <f t="shared" si="162"/>
        <v>1.8635787380168604E-12</v>
      </c>
      <c r="R169" s="62">
        <f t="shared" si="109"/>
        <v>293.33333333333519</v>
      </c>
      <c r="S169" s="62">
        <f ca="1">AVERAGE(OFFSET($R$3,0,0,'Données projet'!$E$9+1,1))-AVERAGE(OFFSET($H$3,0,0,'Données projet'!$E$9+1,1))</f>
        <v>389.06620927245814</v>
      </c>
      <c r="T169" s="62">
        <f t="shared" si="142"/>
        <v>356.08144160383193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0.71429769785449793</v>
      </c>
      <c r="AB169" s="23">
        <f>EXP(-LN(2)/2)*AB168+(1-EXP(-LN(2)/2))/(LN(2)/2)*V169*Y169*VLOOKUP('Données projet'!$B$9,Paramètres!$A$1:$I$89,3,0)*0.475*44/12</f>
        <v>1.7558485787042944E-20</v>
      </c>
      <c r="AC169" s="24">
        <f t="shared" si="163"/>
        <v>0.71429769785449793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-3.1036506698001178E-14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293.73480285950245</v>
      </c>
      <c r="AO169" s="62">
        <f t="shared" si="144"/>
        <v>425.99823184414191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0.48671045045292766</v>
      </c>
      <c r="AW169" s="23">
        <f>EXP(-LN(2)/2)*AW168+(1-EXP(-LN(2)/2))/(LN(2)/2)*AQ169*AT169*VLOOKUP('Données projet'!$B$10,Paramètres!$A$1:$I$89,3,0)*0.475*44/12</f>
        <v>6.5492231760065086E-20</v>
      </c>
      <c r="AX169" s="23">
        <f t="shared" si="166"/>
        <v>0.48671045045292766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-5.1431925385259088E-14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438.70522838726322</v>
      </c>
      <c r="BJ169" s="62">
        <f t="shared" si="146"/>
        <v>278.21741231699929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-5.4978954722173515E-14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466.10838191274445</v>
      </c>
      <c r="CE169" s="62">
        <f t="shared" si="148"/>
        <v>294.45557293177131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-3.4106051316484809E-13</v>
      </c>
      <c r="CU169" s="18">
        <f>CT169*VLOOKUP('Données projet'!$B$13,Paramètres!$A$1:$I$89,3,0)*VLOOKUP('Données projet'!$B$13,Paramètres!$A$1:$I$89,5,0)</f>
        <v>-2.5006556825246659E-13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376.5422416541544</v>
      </c>
      <c r="CZ169" s="62">
        <f t="shared" si="150"/>
        <v>365.76175372075869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-2.8421709430404007E-13</v>
      </c>
      <c r="DP169" s="18">
        <f>DO169*VLOOKUP('Données projet'!$B$14,Paramètres!$A$1:$I$89,3,0)*VLOOKUP('Données projet'!$B$14,Paramètres!$A$1:$I$89,5,0)</f>
        <v>-2.2612312022829427E-13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352.5736659365665</v>
      </c>
      <c r="DU169" s="62">
        <f t="shared" si="152"/>
        <v>343.77208530767069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2.2737367544323206E-13</v>
      </c>
      <c r="EK169" s="18">
        <f>EJ169*VLOOKUP('Données projet'!$B$15,Paramètres!$A$1:$I$89,3,0)*VLOOKUP('Données projet'!$B$15,Paramètres!$A$1:$I$89,5,0)</f>
        <v>2.0572770154103635E-13</v>
      </c>
      <c r="EL169" s="14">
        <f t="shared" si="179"/>
        <v>2.8416956338469711E-12</v>
      </c>
      <c r="EM169" s="22">
        <f t="shared" si="180"/>
        <v>5.3075956424674458E-12</v>
      </c>
      <c r="EN169" s="62">
        <f t="shared" si="128"/>
        <v>293.3333333333386</v>
      </c>
      <c r="EO169" s="62">
        <f ca="1">AVERAGE(OFFSET($EN$3,0,0,'Données projet'!$E$15+1,1))-AVERAGE(OFFSET($H$3,0,0,'Données projet'!$E$15+1,1))</f>
        <v>436.23918637269577</v>
      </c>
      <c r="EP169" s="62">
        <f t="shared" si="154"/>
        <v>611.43967996341894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0.31799446815148813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0.31799446815148813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1.9895196601282805E-13</v>
      </c>
      <c r="FF169" s="18">
        <f>FE169*VLOOKUP('Données projet'!$B$16,Paramètres!$A$1:$I$89,3,0)*VLOOKUP('Données projet'!$B$16,Paramètres!$A$1:$I$89,5,0)</f>
        <v>1.738044375088066E-13</v>
      </c>
      <c r="FG169" s="14">
        <f t="shared" si="182"/>
        <v>2.4483293633950478E-12</v>
      </c>
      <c r="FH169" s="22">
        <f t="shared" si="183"/>
        <v>4.566883036574213E-12</v>
      </c>
      <c r="FI169" s="62">
        <f t="shared" si="131"/>
        <v>293.33333333333786</v>
      </c>
      <c r="FJ169" s="62">
        <f ca="1">AVERAGE(OFFSET($FI$3,0,0,'Données projet'!$E$16+1,1))-AVERAGE(OFFSET($H$3,0,0,'Données projet'!$E$16+1,1))</f>
        <v>321.23599968992932</v>
      </c>
      <c r="FK169" s="62">
        <f t="shared" si="156"/>
        <v>388.05195847800502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6.3550942286383367E-14</v>
      </c>
      <c r="P170" s="14">
        <f t="shared" si="141"/>
        <v>1.0064464192543978E-12</v>
      </c>
      <c r="Q170" s="22">
        <f t="shared" si="162"/>
        <v>1.8635787380168604E-12</v>
      </c>
      <c r="R170" s="62">
        <f t="shared" si="109"/>
        <v>293.33333333333519</v>
      </c>
      <c r="S170" s="62">
        <f ca="1">AVERAGE(OFFSET($R$3,0,0,'Données projet'!$E$9+1,1))-AVERAGE(OFFSET($H$3,0,0,'Données projet'!$E$9+1,1))</f>
        <v>389.06620927245814</v>
      </c>
      <c r="T170" s="62">
        <f t="shared" si="142"/>
        <v>356.08144160383193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0.6947651897433833</v>
      </c>
      <c r="AB170" s="23">
        <f>EXP(-LN(2)/2)*AB169+(1-EXP(-LN(2)/2))/(LN(2)/2)*V170*Y170*VLOOKUP('Données projet'!$B$9,Paramètres!$A$1:$I$89,3,0)*0.475*44/12</f>
        <v>1.241572436738568E-20</v>
      </c>
      <c r="AC170" s="24">
        <f t="shared" si="163"/>
        <v>0.6947651897433833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-3.1036506698001178E-14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293.73480285950245</v>
      </c>
      <c r="AO170" s="62">
        <f t="shared" si="144"/>
        <v>425.99823184414191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0.47340132759030218</v>
      </c>
      <c r="AW170" s="23">
        <f>EXP(-LN(2)/2)*AW169+(1-EXP(-LN(2)/2))/(LN(2)/2)*AQ170*AT170*VLOOKUP('Données projet'!$B$10,Paramètres!$A$1:$I$89,3,0)*0.475*44/12</f>
        <v>4.6310001192583002E-20</v>
      </c>
      <c r="AX170" s="23">
        <f t="shared" si="166"/>
        <v>0.47340132759030218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-5.1431925385259088E-14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438.70522838726322</v>
      </c>
      <c r="BJ170" s="62">
        <f t="shared" si="146"/>
        <v>278.21741231699929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-5.4978954722173515E-14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466.10838191274445</v>
      </c>
      <c r="CE170" s="62">
        <f t="shared" si="148"/>
        <v>294.45557293177131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-3.4106051316484809E-13</v>
      </c>
      <c r="CU170" s="18">
        <f>CT170*VLOOKUP('Données projet'!$B$13,Paramètres!$A$1:$I$89,3,0)*VLOOKUP('Données projet'!$B$13,Paramètres!$A$1:$I$89,5,0)</f>
        <v>-2.5006556825246659E-13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376.5422416541544</v>
      </c>
      <c r="CZ170" s="62">
        <f t="shared" si="150"/>
        <v>365.76175372075869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-2.8421709430404007E-13</v>
      </c>
      <c r="DP170" s="18">
        <f>DO170*VLOOKUP('Données projet'!$B$14,Paramètres!$A$1:$I$89,3,0)*VLOOKUP('Données projet'!$B$14,Paramètres!$A$1:$I$89,5,0)</f>
        <v>-2.2612312022829427E-13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352.5736659365665</v>
      </c>
      <c r="DU170" s="62">
        <f t="shared" si="152"/>
        <v>343.77208530767069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2.2737367544323206E-13</v>
      </c>
      <c r="EK170" s="18">
        <f>EJ170*VLOOKUP('Données projet'!$B$15,Paramètres!$A$1:$I$89,3,0)*VLOOKUP('Données projet'!$B$15,Paramètres!$A$1:$I$89,5,0)</f>
        <v>2.0572770154103635E-13</v>
      </c>
      <c r="EL170" s="14">
        <f t="shared" si="179"/>
        <v>2.8416956338469711E-12</v>
      </c>
      <c r="EM170" s="22">
        <f t="shared" si="180"/>
        <v>5.3075956424674458E-12</v>
      </c>
      <c r="EN170" s="62">
        <f t="shared" si="128"/>
        <v>293.3333333333386</v>
      </c>
      <c r="EO170" s="62">
        <f ca="1">AVERAGE(OFFSET($EN$3,0,0,'Données projet'!$E$15+1,1))-AVERAGE(OFFSET($H$3,0,0,'Données projet'!$E$15+1,1))</f>
        <v>436.23918637269577</v>
      </c>
      <c r="EP170" s="62">
        <f t="shared" si="154"/>
        <v>611.43967996341894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0.3117587905885113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0.3117587905885113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1.9895196601282805E-13</v>
      </c>
      <c r="FF170" s="18">
        <f>FE170*VLOOKUP('Données projet'!$B$16,Paramètres!$A$1:$I$89,3,0)*VLOOKUP('Données projet'!$B$16,Paramètres!$A$1:$I$89,5,0)</f>
        <v>1.738044375088066E-13</v>
      </c>
      <c r="FG170" s="14">
        <f t="shared" si="182"/>
        <v>2.4483293633950478E-12</v>
      </c>
      <c r="FH170" s="22">
        <f t="shared" si="183"/>
        <v>4.566883036574213E-12</v>
      </c>
      <c r="FI170" s="62">
        <f t="shared" si="131"/>
        <v>293.33333333333786</v>
      </c>
      <c r="FJ170" s="62">
        <f ca="1">AVERAGE(OFFSET($FI$3,0,0,'Données projet'!$E$16+1,1))-AVERAGE(OFFSET($H$3,0,0,'Données projet'!$E$16+1,1))</f>
        <v>321.23599968992932</v>
      </c>
      <c r="FK170" s="62">
        <f t="shared" si="156"/>
        <v>388.05195847800502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6.3550942286383367E-14</v>
      </c>
      <c r="P171" s="14">
        <f t="shared" si="141"/>
        <v>1.0064464192543978E-12</v>
      </c>
      <c r="Q171" s="22">
        <f t="shared" si="162"/>
        <v>1.8635787380168604E-12</v>
      </c>
      <c r="R171" s="62">
        <f t="shared" si="109"/>
        <v>293.33333333333519</v>
      </c>
      <c r="S171" s="62">
        <f ca="1">AVERAGE(OFFSET($R$3,0,0,'Données projet'!$E$9+1,1))-AVERAGE(OFFSET($H$3,0,0,'Données projet'!$E$9+1,1))</f>
        <v>389.06620927245814</v>
      </c>
      <c r="T171" s="62">
        <f t="shared" si="142"/>
        <v>356.08144160383193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0.67576679909373705</v>
      </c>
      <c r="AB171" s="23">
        <f>EXP(-LN(2)/2)*AB170+(1-EXP(-LN(2)/2))/(LN(2)/2)*V171*Y171*VLOOKUP('Données projet'!$B$9,Paramètres!$A$1:$I$89,3,0)*0.475*44/12</f>
        <v>8.7792428935214721E-21</v>
      </c>
      <c r="AC171" s="24">
        <f t="shared" si="163"/>
        <v>0.67576679909373705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-3.1036506698001178E-14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293.73480285950245</v>
      </c>
      <c r="AO171" s="62">
        <f t="shared" si="144"/>
        <v>425.99823184414191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0.46045614339225155</v>
      </c>
      <c r="AW171" s="23">
        <f>EXP(-LN(2)/2)*AW170+(1-EXP(-LN(2)/2))/(LN(2)/2)*AQ171*AT171*VLOOKUP('Données projet'!$B$10,Paramètres!$A$1:$I$89,3,0)*0.475*44/12</f>
        <v>3.2746115880032543E-20</v>
      </c>
      <c r="AX171" s="23">
        <f t="shared" si="166"/>
        <v>0.46045614339225155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-5.1431925385259088E-14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438.70522838726322</v>
      </c>
      <c r="BJ171" s="62">
        <f t="shared" si="146"/>
        <v>278.21741231699929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-5.4978954722173515E-14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466.10838191274445</v>
      </c>
      <c r="CE171" s="62">
        <f t="shared" si="148"/>
        <v>294.45557293177131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-3.4106051316484809E-13</v>
      </c>
      <c r="CU171" s="18">
        <f>CT171*VLOOKUP('Données projet'!$B$13,Paramètres!$A$1:$I$89,3,0)*VLOOKUP('Données projet'!$B$13,Paramètres!$A$1:$I$89,5,0)</f>
        <v>-2.5006556825246659E-13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376.5422416541544</v>
      </c>
      <c r="CZ171" s="62">
        <f t="shared" si="150"/>
        <v>365.76175372075869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-2.8421709430404007E-13</v>
      </c>
      <c r="DP171" s="18">
        <f>DO171*VLOOKUP('Données projet'!$B$14,Paramètres!$A$1:$I$89,3,0)*VLOOKUP('Données projet'!$B$14,Paramètres!$A$1:$I$89,5,0)</f>
        <v>-2.2612312022829427E-13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352.5736659365665</v>
      </c>
      <c r="DU171" s="62">
        <f t="shared" si="152"/>
        <v>343.77208530767069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2.2737367544323206E-13</v>
      </c>
      <c r="EK171" s="18">
        <f>EJ171*VLOOKUP('Données projet'!$B$15,Paramètres!$A$1:$I$89,3,0)*VLOOKUP('Données projet'!$B$15,Paramètres!$A$1:$I$89,5,0)</f>
        <v>2.0572770154103635E-13</v>
      </c>
      <c r="EL171" s="14">
        <f t="shared" si="179"/>
        <v>2.8416956338469711E-12</v>
      </c>
      <c r="EM171" s="22">
        <f t="shared" si="180"/>
        <v>5.3075956424674458E-12</v>
      </c>
      <c r="EN171" s="62">
        <f t="shared" si="128"/>
        <v>293.3333333333386</v>
      </c>
      <c r="EO171" s="62">
        <f ca="1">AVERAGE(OFFSET($EN$3,0,0,'Données projet'!$E$15+1,1))-AVERAGE(OFFSET($H$3,0,0,'Données projet'!$E$15+1,1))</f>
        <v>436.23918637269577</v>
      </c>
      <c r="EP171" s="62">
        <f t="shared" si="154"/>
        <v>611.43967996341894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0.30564539085915671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0.30564539085915671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1.9895196601282805E-13</v>
      </c>
      <c r="FF171" s="18">
        <f>FE171*VLOOKUP('Données projet'!$B$16,Paramètres!$A$1:$I$89,3,0)*VLOOKUP('Données projet'!$B$16,Paramètres!$A$1:$I$89,5,0)</f>
        <v>1.738044375088066E-13</v>
      </c>
      <c r="FG171" s="14">
        <f t="shared" si="182"/>
        <v>2.4483293633950478E-12</v>
      </c>
      <c r="FH171" s="22">
        <f t="shared" si="183"/>
        <v>4.566883036574213E-12</v>
      </c>
      <c r="FI171" s="62">
        <f t="shared" si="131"/>
        <v>293.33333333333786</v>
      </c>
      <c r="FJ171" s="62">
        <f ca="1">AVERAGE(OFFSET($FI$3,0,0,'Données projet'!$E$16+1,1))-AVERAGE(OFFSET($H$3,0,0,'Données projet'!$E$16+1,1))</f>
        <v>321.23599968992932</v>
      </c>
      <c r="FK171" s="62">
        <f t="shared" si="156"/>
        <v>388.05195847800502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6.3550942286383367E-14</v>
      </c>
      <c r="P172" s="14">
        <f t="shared" si="141"/>
        <v>1.0064464192543978E-12</v>
      </c>
      <c r="Q172" s="22">
        <f t="shared" si="162"/>
        <v>1.8635787380168604E-12</v>
      </c>
      <c r="R172" s="62">
        <f t="shared" si="109"/>
        <v>293.33333333333519</v>
      </c>
      <c r="S172" s="62">
        <f ca="1">AVERAGE(OFFSET($R$3,0,0,'Données projet'!$E$9+1,1))-AVERAGE(OFFSET($H$3,0,0,'Données projet'!$E$9+1,1))</f>
        <v>389.06620927245814</v>
      </c>
      <c r="T172" s="62">
        <f t="shared" si="142"/>
        <v>356.08144160383193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0.65728792043548734</v>
      </c>
      <c r="AB172" s="23">
        <f>EXP(-LN(2)/2)*AB171+(1-EXP(-LN(2)/2))/(LN(2)/2)*V172*Y172*VLOOKUP('Données projet'!$B$9,Paramètres!$A$1:$I$89,3,0)*0.475*44/12</f>
        <v>6.20786218369284E-21</v>
      </c>
      <c r="AC172" s="24">
        <f t="shared" si="163"/>
        <v>0.65728792043548734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-3.1036506698001178E-14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293.73480285950245</v>
      </c>
      <c r="AO172" s="62">
        <f t="shared" si="144"/>
        <v>425.99823184414191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0.44786494593685422</v>
      </c>
      <c r="AW172" s="23">
        <f>EXP(-LN(2)/2)*AW171+(1-EXP(-LN(2)/2))/(LN(2)/2)*AQ172*AT172*VLOOKUP('Données projet'!$B$10,Paramètres!$A$1:$I$89,3,0)*0.475*44/12</f>
        <v>2.3155000596291501E-20</v>
      </c>
      <c r="AX172" s="23">
        <f t="shared" si="166"/>
        <v>0.44786494593685422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-5.1431925385259088E-14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438.70522838726322</v>
      </c>
      <c r="BJ172" s="62">
        <f t="shared" si="146"/>
        <v>278.21741231699929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-5.4978954722173515E-14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466.10838191274445</v>
      </c>
      <c r="CE172" s="62">
        <f t="shared" si="148"/>
        <v>294.45557293177131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-3.4106051316484809E-13</v>
      </c>
      <c r="CU172" s="18">
        <f>CT172*VLOOKUP('Données projet'!$B$13,Paramètres!$A$1:$I$89,3,0)*VLOOKUP('Données projet'!$B$13,Paramètres!$A$1:$I$89,5,0)</f>
        <v>-2.5006556825246659E-13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376.5422416541544</v>
      </c>
      <c r="CZ172" s="62">
        <f t="shared" si="150"/>
        <v>365.76175372075869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-2.8421709430404007E-13</v>
      </c>
      <c r="DP172" s="18">
        <f>DO172*VLOOKUP('Données projet'!$B$14,Paramètres!$A$1:$I$89,3,0)*VLOOKUP('Données projet'!$B$14,Paramètres!$A$1:$I$89,5,0)</f>
        <v>-2.2612312022829427E-13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352.5736659365665</v>
      </c>
      <c r="DU172" s="62">
        <f t="shared" si="152"/>
        <v>343.77208530767069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2.2737367544323206E-13</v>
      </c>
      <c r="EK172" s="18">
        <f>EJ172*VLOOKUP('Données projet'!$B$15,Paramètres!$A$1:$I$89,3,0)*VLOOKUP('Données projet'!$B$15,Paramètres!$A$1:$I$89,5,0)</f>
        <v>2.0572770154103635E-13</v>
      </c>
      <c r="EL172" s="14">
        <f t="shared" si="179"/>
        <v>2.8416956338469711E-12</v>
      </c>
      <c r="EM172" s="22">
        <f t="shared" si="180"/>
        <v>5.3075956424674458E-12</v>
      </c>
      <c r="EN172" s="62">
        <f t="shared" si="128"/>
        <v>293.3333333333386</v>
      </c>
      <c r="EO172" s="62">
        <f ca="1">AVERAGE(OFFSET($EN$3,0,0,'Données projet'!$E$15+1,1))-AVERAGE(OFFSET($H$3,0,0,'Données projet'!$E$15+1,1))</f>
        <v>436.23918637269577</v>
      </c>
      <c r="EP172" s="62">
        <f t="shared" si="154"/>
        <v>611.43967996341894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0.29965187116968911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0.29965187116968911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1.9895196601282805E-13</v>
      </c>
      <c r="FF172" s="18">
        <f>FE172*VLOOKUP('Données projet'!$B$16,Paramètres!$A$1:$I$89,3,0)*VLOOKUP('Données projet'!$B$16,Paramètres!$A$1:$I$89,5,0)</f>
        <v>1.738044375088066E-13</v>
      </c>
      <c r="FG172" s="14">
        <f t="shared" si="182"/>
        <v>2.4483293633950478E-12</v>
      </c>
      <c r="FH172" s="22">
        <f t="shared" si="183"/>
        <v>4.566883036574213E-12</v>
      </c>
      <c r="FI172" s="62">
        <f t="shared" si="131"/>
        <v>293.33333333333786</v>
      </c>
      <c r="FJ172" s="62">
        <f ca="1">AVERAGE(OFFSET($FI$3,0,0,'Données projet'!$E$16+1,1))-AVERAGE(OFFSET($H$3,0,0,'Données projet'!$E$16+1,1))</f>
        <v>321.23599968992932</v>
      </c>
      <c r="FK172" s="62">
        <f t="shared" si="156"/>
        <v>388.05195847800502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6.3550942286383367E-14</v>
      </c>
      <c r="P173" s="14">
        <f t="shared" si="141"/>
        <v>1.0064464192543978E-12</v>
      </c>
      <c r="Q173" s="22">
        <f t="shared" si="162"/>
        <v>1.8635787380168604E-12</v>
      </c>
      <c r="R173" s="62">
        <f t="shared" si="109"/>
        <v>293.33333333333519</v>
      </c>
      <c r="S173" s="62">
        <f ca="1">AVERAGE(OFFSET($R$3,0,0,'Données projet'!$E$9+1,1))-AVERAGE(OFFSET($H$3,0,0,'Données projet'!$E$9+1,1))</f>
        <v>389.06620927245814</v>
      </c>
      <c r="T173" s="62">
        <f t="shared" si="142"/>
        <v>356.08144160383193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0.63931434768590945</v>
      </c>
      <c r="AB173" s="23">
        <f>EXP(-LN(2)/2)*AB172+(1-EXP(-LN(2)/2))/(LN(2)/2)*V173*Y173*VLOOKUP('Données projet'!$B$9,Paramètres!$A$1:$I$89,3,0)*0.475*44/12</f>
        <v>4.3896214467607361E-21</v>
      </c>
      <c r="AC173" s="24">
        <f t="shared" si="163"/>
        <v>0.63931434768590945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-3.1036506698001178E-14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293.73480285950245</v>
      </c>
      <c r="AO173" s="62">
        <f t="shared" si="144"/>
        <v>425.99823184414191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0.43561805543801707</v>
      </c>
      <c r="AW173" s="23">
        <f>EXP(-LN(2)/2)*AW172+(1-EXP(-LN(2)/2))/(LN(2)/2)*AQ173*AT173*VLOOKUP('Données projet'!$B$10,Paramètres!$A$1:$I$89,3,0)*0.475*44/12</f>
        <v>1.6373057940016272E-20</v>
      </c>
      <c r="AX173" s="23">
        <f t="shared" si="166"/>
        <v>0.43561805543801707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-5.1431925385259088E-14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438.70522838726322</v>
      </c>
      <c r="BJ173" s="62">
        <f t="shared" si="146"/>
        <v>278.21741231699929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-5.4978954722173515E-14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466.10838191274445</v>
      </c>
      <c r="CE173" s="62">
        <f t="shared" si="148"/>
        <v>294.45557293177131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-3.4106051316484809E-13</v>
      </c>
      <c r="CU173" s="18">
        <f>CT173*VLOOKUP('Données projet'!$B$13,Paramètres!$A$1:$I$89,3,0)*VLOOKUP('Données projet'!$B$13,Paramètres!$A$1:$I$89,5,0)</f>
        <v>-2.5006556825246659E-13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376.5422416541544</v>
      </c>
      <c r="CZ173" s="62">
        <f t="shared" si="150"/>
        <v>365.76175372075869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-2.8421709430404007E-13</v>
      </c>
      <c r="DP173" s="18">
        <f>DO173*VLOOKUP('Données projet'!$B$14,Paramètres!$A$1:$I$89,3,0)*VLOOKUP('Données projet'!$B$14,Paramètres!$A$1:$I$89,5,0)</f>
        <v>-2.2612312022829427E-13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352.5736659365665</v>
      </c>
      <c r="DU173" s="62">
        <f t="shared" si="152"/>
        <v>343.77208530767069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2.2737367544323206E-13</v>
      </c>
      <c r="EK173" s="18">
        <f>EJ173*VLOOKUP('Données projet'!$B$15,Paramètres!$A$1:$I$89,3,0)*VLOOKUP('Données projet'!$B$15,Paramètres!$A$1:$I$89,5,0)</f>
        <v>2.0572770154103635E-13</v>
      </c>
      <c r="EL173" s="14">
        <f t="shared" si="179"/>
        <v>2.8416956338469711E-12</v>
      </c>
      <c r="EM173" s="22">
        <f t="shared" si="180"/>
        <v>5.3075956424674458E-12</v>
      </c>
      <c r="EN173" s="62">
        <f t="shared" si="128"/>
        <v>293.3333333333386</v>
      </c>
      <c r="EO173" s="62">
        <f ca="1">AVERAGE(OFFSET($EN$3,0,0,'Données projet'!$E$15+1,1))-AVERAGE(OFFSET($H$3,0,0,'Données projet'!$E$15+1,1))</f>
        <v>436.23918637269577</v>
      </c>
      <c r="EP173" s="62">
        <f t="shared" si="154"/>
        <v>611.43967996341894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0.29377588074564592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0.29377588074564592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1.9895196601282805E-13</v>
      </c>
      <c r="FF173" s="18">
        <f>FE173*VLOOKUP('Données projet'!$B$16,Paramètres!$A$1:$I$89,3,0)*VLOOKUP('Données projet'!$B$16,Paramètres!$A$1:$I$89,5,0)</f>
        <v>1.738044375088066E-13</v>
      </c>
      <c r="FG173" s="14">
        <f t="shared" si="182"/>
        <v>2.4483293633950478E-12</v>
      </c>
      <c r="FH173" s="22">
        <f t="shared" si="183"/>
        <v>4.566883036574213E-12</v>
      </c>
      <c r="FI173" s="62">
        <f t="shared" si="131"/>
        <v>293.33333333333786</v>
      </c>
      <c r="FJ173" s="62">
        <f ca="1">AVERAGE(OFFSET($FI$3,0,0,'Données projet'!$E$16+1,1))-AVERAGE(OFFSET($H$3,0,0,'Données projet'!$E$16+1,1))</f>
        <v>321.23599968992932</v>
      </c>
      <c r="FK173" s="62">
        <f t="shared" si="156"/>
        <v>388.05195847800502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6.3550942286383367E-14</v>
      </c>
      <c r="P174" s="14">
        <f t="shared" si="141"/>
        <v>1.0064464192543978E-12</v>
      </c>
      <c r="Q174" s="22">
        <f t="shared" si="162"/>
        <v>1.8635787380168604E-12</v>
      </c>
      <c r="R174" s="62">
        <f t="shared" si="109"/>
        <v>293.33333333333519</v>
      </c>
      <c r="S174" s="62">
        <f ca="1">AVERAGE(OFFSET($R$3,0,0,'Données projet'!$E$9+1,1))-AVERAGE(OFFSET($H$3,0,0,'Données projet'!$E$9+1,1))</f>
        <v>389.06620927245814</v>
      </c>
      <c r="T174" s="62">
        <f t="shared" si="142"/>
        <v>356.08144160383193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0.62183226322835783</v>
      </c>
      <c r="AB174" s="23">
        <f>EXP(-LN(2)/2)*AB173+(1-EXP(-LN(2)/2))/(LN(2)/2)*V174*Y174*VLOOKUP('Données projet'!$B$9,Paramètres!$A$1:$I$89,3,0)*0.475*44/12</f>
        <v>3.10393109184642E-21</v>
      </c>
      <c r="AC174" s="24">
        <f t="shared" si="163"/>
        <v>0.62183226322835783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-3.1036506698001178E-14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293.73480285950245</v>
      </c>
      <c r="AO174" s="62">
        <f t="shared" si="144"/>
        <v>425.99823184414191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0.42370605680390655</v>
      </c>
      <c r="AW174" s="23">
        <f>EXP(-LN(2)/2)*AW173+(1-EXP(-LN(2)/2))/(LN(2)/2)*AQ174*AT174*VLOOKUP('Données projet'!$B$10,Paramètres!$A$1:$I$89,3,0)*0.475*44/12</f>
        <v>1.1577500298145751E-20</v>
      </c>
      <c r="AX174" s="23">
        <f t="shared" si="166"/>
        <v>0.42370605680390655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-5.1431925385259088E-14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438.70522838726322</v>
      </c>
      <c r="BJ174" s="62">
        <f t="shared" si="146"/>
        <v>278.21741231699929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-5.4978954722173515E-14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466.10838191274445</v>
      </c>
      <c r="CE174" s="62">
        <f t="shared" si="148"/>
        <v>294.45557293177131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-3.4106051316484809E-13</v>
      </c>
      <c r="CU174" s="18">
        <f>CT174*VLOOKUP('Données projet'!$B$13,Paramètres!$A$1:$I$89,3,0)*VLOOKUP('Données projet'!$B$13,Paramètres!$A$1:$I$89,5,0)</f>
        <v>-2.5006556825246659E-13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376.5422416541544</v>
      </c>
      <c r="CZ174" s="62">
        <f t="shared" si="150"/>
        <v>365.76175372075869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-2.8421709430404007E-13</v>
      </c>
      <c r="DP174" s="18">
        <f>DO174*VLOOKUP('Données projet'!$B$14,Paramètres!$A$1:$I$89,3,0)*VLOOKUP('Données projet'!$B$14,Paramètres!$A$1:$I$89,5,0)</f>
        <v>-2.2612312022829427E-13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352.5736659365665</v>
      </c>
      <c r="DU174" s="62">
        <f t="shared" si="152"/>
        <v>343.77208530767069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2.2737367544323206E-13</v>
      </c>
      <c r="EK174" s="18">
        <f>EJ174*VLOOKUP('Données projet'!$B$15,Paramètres!$A$1:$I$89,3,0)*VLOOKUP('Données projet'!$B$15,Paramètres!$A$1:$I$89,5,0)</f>
        <v>2.0572770154103635E-13</v>
      </c>
      <c r="EL174" s="14">
        <f t="shared" si="179"/>
        <v>2.8416956338469711E-12</v>
      </c>
      <c r="EM174" s="22">
        <f t="shared" si="180"/>
        <v>5.3075956424674458E-12</v>
      </c>
      <c r="EN174" s="62">
        <f t="shared" si="128"/>
        <v>293.3333333333386</v>
      </c>
      <c r="EO174" s="62">
        <f ca="1">AVERAGE(OFFSET($EN$3,0,0,'Données projet'!$E$15+1,1))-AVERAGE(OFFSET($H$3,0,0,'Données projet'!$E$15+1,1))</f>
        <v>436.23918637269577</v>
      </c>
      <c r="EP174" s="62">
        <f t="shared" si="154"/>
        <v>611.43967996341894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0.28801511490981796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0.28801511490981796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1.9895196601282805E-13</v>
      </c>
      <c r="FF174" s="18">
        <f>FE174*VLOOKUP('Données projet'!$B$16,Paramètres!$A$1:$I$89,3,0)*VLOOKUP('Données projet'!$B$16,Paramètres!$A$1:$I$89,5,0)</f>
        <v>1.738044375088066E-13</v>
      </c>
      <c r="FG174" s="14">
        <f t="shared" si="182"/>
        <v>2.4483293633950478E-12</v>
      </c>
      <c r="FH174" s="22">
        <f t="shared" si="183"/>
        <v>4.566883036574213E-12</v>
      </c>
      <c r="FI174" s="62">
        <f t="shared" si="131"/>
        <v>293.33333333333786</v>
      </c>
      <c r="FJ174" s="62">
        <f ca="1">AVERAGE(OFFSET($FI$3,0,0,'Données projet'!$E$16+1,1))-AVERAGE(OFFSET($H$3,0,0,'Données projet'!$E$16+1,1))</f>
        <v>321.23599968992932</v>
      </c>
      <c r="FK174" s="62">
        <f t="shared" si="156"/>
        <v>388.05195847800502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6.3550942286383367E-14</v>
      </c>
      <c r="P175" s="14">
        <f t="shared" si="141"/>
        <v>1.0064464192543978E-12</v>
      </c>
      <c r="Q175" s="22">
        <f t="shared" si="162"/>
        <v>1.8635787380168604E-12</v>
      </c>
      <c r="R175" s="62">
        <f t="shared" si="109"/>
        <v>293.33333333333519</v>
      </c>
      <c r="S175" s="62">
        <f ca="1">AVERAGE(OFFSET($R$3,0,0,'Données projet'!$E$9+1,1))-AVERAGE(OFFSET($H$3,0,0,'Données projet'!$E$9+1,1))</f>
        <v>389.06620927245814</v>
      </c>
      <c r="T175" s="62">
        <f t="shared" si="142"/>
        <v>356.08144160383193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0.60482822728964092</v>
      </c>
      <c r="AB175" s="23">
        <f>EXP(-LN(2)/2)*AB174+(1-EXP(-LN(2)/2))/(LN(2)/2)*V175*Y175*VLOOKUP('Données projet'!$B$9,Paramètres!$A$1:$I$89,3,0)*0.475*44/12</f>
        <v>2.194810723380368E-21</v>
      </c>
      <c r="AC175" s="24">
        <f t="shared" si="163"/>
        <v>0.60482822728964092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-3.1036506698001178E-14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293.73480285950245</v>
      </c>
      <c r="AO175" s="62">
        <f t="shared" si="144"/>
        <v>425.99823184414191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0.41211979239887059</v>
      </c>
      <c r="AW175" s="23">
        <f>EXP(-LN(2)/2)*AW174+(1-EXP(-LN(2)/2))/(LN(2)/2)*AQ175*AT175*VLOOKUP('Données projet'!$B$10,Paramètres!$A$1:$I$89,3,0)*0.475*44/12</f>
        <v>8.1865289700081358E-21</v>
      </c>
      <c r="AX175" s="23">
        <f t="shared" si="166"/>
        <v>0.41211979239887059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-5.1431925385259088E-14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438.70522838726322</v>
      </c>
      <c r="BJ175" s="62">
        <f t="shared" si="146"/>
        <v>278.21741231699929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-5.4978954722173515E-14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466.10838191274445</v>
      </c>
      <c r="CE175" s="62">
        <f t="shared" si="148"/>
        <v>294.45557293177131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-3.4106051316484809E-13</v>
      </c>
      <c r="CU175" s="18">
        <f>CT175*VLOOKUP('Données projet'!$B$13,Paramètres!$A$1:$I$89,3,0)*VLOOKUP('Données projet'!$B$13,Paramètres!$A$1:$I$89,5,0)</f>
        <v>-2.5006556825246659E-13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376.5422416541544</v>
      </c>
      <c r="CZ175" s="62">
        <f t="shared" si="150"/>
        <v>365.76175372075869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-2.8421709430404007E-13</v>
      </c>
      <c r="DP175" s="18">
        <f>DO175*VLOOKUP('Données projet'!$B$14,Paramètres!$A$1:$I$89,3,0)*VLOOKUP('Données projet'!$B$14,Paramètres!$A$1:$I$89,5,0)</f>
        <v>-2.2612312022829427E-13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352.5736659365665</v>
      </c>
      <c r="DU175" s="62">
        <f t="shared" si="152"/>
        <v>343.77208530767069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2.2737367544323206E-13</v>
      </c>
      <c r="EK175" s="18">
        <f>EJ175*VLOOKUP('Données projet'!$B$15,Paramètres!$A$1:$I$89,3,0)*VLOOKUP('Données projet'!$B$15,Paramètres!$A$1:$I$89,5,0)</f>
        <v>2.0572770154103635E-13</v>
      </c>
      <c r="EL175" s="14">
        <f t="shared" si="179"/>
        <v>2.8416956338469711E-12</v>
      </c>
      <c r="EM175" s="22">
        <f t="shared" si="180"/>
        <v>5.3075956424674458E-12</v>
      </c>
      <c r="EN175" s="62">
        <f t="shared" si="128"/>
        <v>293.3333333333386</v>
      </c>
      <c r="EO175" s="62">
        <f ca="1">AVERAGE(OFFSET($EN$3,0,0,'Données projet'!$E$15+1,1))-AVERAGE(OFFSET($H$3,0,0,'Données projet'!$E$15+1,1))</f>
        <v>436.23918637269577</v>
      </c>
      <c r="EP175" s="62">
        <f t="shared" si="154"/>
        <v>611.43967996341894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0.28236731417831035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0.28236731417831035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1.9895196601282805E-13</v>
      </c>
      <c r="FF175" s="18">
        <f>FE175*VLOOKUP('Données projet'!$B$16,Paramètres!$A$1:$I$89,3,0)*VLOOKUP('Données projet'!$B$16,Paramètres!$A$1:$I$89,5,0)</f>
        <v>1.738044375088066E-13</v>
      </c>
      <c r="FG175" s="14">
        <f t="shared" si="182"/>
        <v>2.4483293633950478E-12</v>
      </c>
      <c r="FH175" s="22">
        <f t="shared" si="183"/>
        <v>4.566883036574213E-12</v>
      </c>
      <c r="FI175" s="62">
        <f t="shared" si="131"/>
        <v>293.33333333333786</v>
      </c>
      <c r="FJ175" s="62">
        <f ca="1">AVERAGE(OFFSET($FI$3,0,0,'Données projet'!$E$16+1,1))-AVERAGE(OFFSET($H$3,0,0,'Données projet'!$E$16+1,1))</f>
        <v>321.23599968992932</v>
      </c>
      <c r="FK175" s="62">
        <f t="shared" si="156"/>
        <v>388.05195847800502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6.3550942286383367E-14</v>
      </c>
      <c r="P176" s="14">
        <f t="shared" si="141"/>
        <v>1.0064464192543978E-12</v>
      </c>
      <c r="Q176" s="22">
        <f t="shared" si="162"/>
        <v>1.8635787380168604E-12</v>
      </c>
      <c r="R176" s="62">
        <f t="shared" si="109"/>
        <v>293.33333333333519</v>
      </c>
      <c r="S176" s="62">
        <f ca="1">AVERAGE(OFFSET($R$3,0,0,'Données projet'!$E$9+1,1))-AVERAGE(OFFSET($H$3,0,0,'Données projet'!$E$9+1,1))</f>
        <v>389.06620927245814</v>
      </c>
      <c r="T176" s="62">
        <f t="shared" si="142"/>
        <v>356.08144160383193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0.58828916760787153</v>
      </c>
      <c r="AB176" s="23">
        <f>EXP(-LN(2)/2)*AB175+(1-EXP(-LN(2)/2))/(LN(2)/2)*V176*Y176*VLOOKUP('Données projet'!$B$9,Paramètres!$A$1:$I$89,3,0)*0.475*44/12</f>
        <v>1.55196554592321E-21</v>
      </c>
      <c r="AC176" s="24">
        <f t="shared" si="163"/>
        <v>0.58828916760787153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-3.1036506698001178E-14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293.73480285950245</v>
      </c>
      <c r="AO176" s="62">
        <f t="shared" si="144"/>
        <v>425.99823184414191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0.40085035500328547</v>
      </c>
      <c r="AW176" s="23">
        <f>EXP(-LN(2)/2)*AW175+(1-EXP(-LN(2)/2))/(LN(2)/2)*AQ176*AT176*VLOOKUP('Données projet'!$B$10,Paramètres!$A$1:$I$89,3,0)*0.475*44/12</f>
        <v>5.7887501490728753E-21</v>
      </c>
      <c r="AX176" s="23">
        <f t="shared" si="166"/>
        <v>0.40085035500328547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-5.1431925385259088E-14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438.70522838726322</v>
      </c>
      <c r="BJ176" s="62">
        <f t="shared" si="146"/>
        <v>278.21741231699929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-5.4978954722173515E-14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466.10838191274445</v>
      </c>
      <c r="CE176" s="62">
        <f t="shared" si="148"/>
        <v>294.45557293177131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-3.4106051316484809E-13</v>
      </c>
      <c r="CU176" s="18">
        <f>CT176*VLOOKUP('Données projet'!$B$13,Paramètres!$A$1:$I$89,3,0)*VLOOKUP('Données projet'!$B$13,Paramètres!$A$1:$I$89,5,0)</f>
        <v>-2.5006556825246659E-13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376.5422416541544</v>
      </c>
      <c r="CZ176" s="62">
        <f t="shared" si="150"/>
        <v>365.76175372075869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-2.8421709430404007E-13</v>
      </c>
      <c r="DP176" s="18">
        <f>DO176*VLOOKUP('Données projet'!$B$14,Paramètres!$A$1:$I$89,3,0)*VLOOKUP('Données projet'!$B$14,Paramètres!$A$1:$I$89,5,0)</f>
        <v>-2.2612312022829427E-13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352.5736659365665</v>
      </c>
      <c r="DU176" s="62">
        <f t="shared" si="152"/>
        <v>343.77208530767069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2.2737367544323206E-13</v>
      </c>
      <c r="EK176" s="18">
        <f>EJ176*VLOOKUP('Données projet'!$B$15,Paramètres!$A$1:$I$89,3,0)*VLOOKUP('Données projet'!$B$15,Paramètres!$A$1:$I$89,5,0)</f>
        <v>2.0572770154103635E-13</v>
      </c>
      <c r="EL176" s="14">
        <f t="shared" si="179"/>
        <v>2.8416956338469711E-12</v>
      </c>
      <c r="EM176" s="22">
        <f t="shared" si="180"/>
        <v>5.3075956424674458E-12</v>
      </c>
      <c r="EN176" s="62">
        <f t="shared" si="128"/>
        <v>293.3333333333386</v>
      </c>
      <c r="EO176" s="62">
        <f ca="1">AVERAGE(OFFSET($EN$3,0,0,'Données projet'!$E$15+1,1))-AVERAGE(OFFSET($H$3,0,0,'Données projet'!$E$15+1,1))</f>
        <v>436.23918637269577</v>
      </c>
      <c r="EP176" s="62">
        <f t="shared" si="154"/>
        <v>611.43967996341894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0.27683026337432931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0.27683026337432931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1.9895196601282805E-13</v>
      </c>
      <c r="FF176" s="18">
        <f>FE176*VLOOKUP('Données projet'!$B$16,Paramètres!$A$1:$I$89,3,0)*VLOOKUP('Données projet'!$B$16,Paramètres!$A$1:$I$89,5,0)</f>
        <v>1.738044375088066E-13</v>
      </c>
      <c r="FG176" s="14">
        <f t="shared" si="182"/>
        <v>2.4483293633950478E-12</v>
      </c>
      <c r="FH176" s="22">
        <f t="shared" si="183"/>
        <v>4.566883036574213E-12</v>
      </c>
      <c r="FI176" s="62">
        <f t="shared" si="131"/>
        <v>293.33333333333786</v>
      </c>
      <c r="FJ176" s="62">
        <f ca="1">AVERAGE(OFFSET($FI$3,0,0,'Données projet'!$E$16+1,1))-AVERAGE(OFFSET($H$3,0,0,'Données projet'!$E$16+1,1))</f>
        <v>321.23599968992932</v>
      </c>
      <c r="FK176" s="62">
        <f t="shared" si="156"/>
        <v>388.05195847800502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6.3550942286383367E-14</v>
      </c>
      <c r="P177" s="14">
        <f t="shared" si="141"/>
        <v>1.0064464192543978E-12</v>
      </c>
      <c r="Q177" s="22">
        <f t="shared" si="162"/>
        <v>1.8635787380168604E-12</v>
      </c>
      <c r="R177" s="62">
        <f t="shared" si="109"/>
        <v>293.33333333333519</v>
      </c>
      <c r="S177" s="62">
        <f ca="1">AVERAGE(OFFSET($R$3,0,0,'Données projet'!$E$9+1,1))-AVERAGE(OFFSET($H$3,0,0,'Données projet'!$E$9+1,1))</f>
        <v>389.06620927245814</v>
      </c>
      <c r="T177" s="62">
        <f t="shared" si="142"/>
        <v>356.08144160383193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0.57220236938285152</v>
      </c>
      <c r="AB177" s="23">
        <f>EXP(-LN(2)/2)*AB176+(1-EXP(-LN(2)/2))/(LN(2)/2)*V177*Y177*VLOOKUP('Données projet'!$B$9,Paramètres!$A$1:$I$89,3,0)*0.475*44/12</f>
        <v>1.097405361690184E-21</v>
      </c>
      <c r="AC177" s="24">
        <f t="shared" si="163"/>
        <v>0.57220236938285152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-3.1036506698001178E-14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293.73480285950245</v>
      </c>
      <c r="AO177" s="62">
        <f t="shared" si="144"/>
        <v>425.99823184414191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0.38988908096591662</v>
      </c>
      <c r="AW177" s="23">
        <f>EXP(-LN(2)/2)*AW176+(1-EXP(-LN(2)/2))/(LN(2)/2)*AQ177*AT177*VLOOKUP('Données projet'!$B$10,Paramètres!$A$1:$I$89,3,0)*0.475*44/12</f>
        <v>4.0932644850040679E-21</v>
      </c>
      <c r="AX177" s="23">
        <f t="shared" si="166"/>
        <v>0.38988908096591662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-5.1431925385259088E-14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438.70522838726322</v>
      </c>
      <c r="BJ177" s="62">
        <f t="shared" si="146"/>
        <v>278.21741231699929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-5.4978954722173515E-14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466.10838191274445</v>
      </c>
      <c r="CE177" s="62">
        <f t="shared" si="148"/>
        <v>294.45557293177131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-3.4106051316484809E-13</v>
      </c>
      <c r="CU177" s="18">
        <f>CT177*VLOOKUP('Données projet'!$B$13,Paramètres!$A$1:$I$89,3,0)*VLOOKUP('Données projet'!$B$13,Paramètres!$A$1:$I$89,5,0)</f>
        <v>-2.5006556825246659E-13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376.5422416541544</v>
      </c>
      <c r="CZ177" s="62">
        <f t="shared" si="150"/>
        <v>365.76175372075869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-2.8421709430404007E-13</v>
      </c>
      <c r="DP177" s="18">
        <f>DO177*VLOOKUP('Données projet'!$B$14,Paramètres!$A$1:$I$89,3,0)*VLOOKUP('Données projet'!$B$14,Paramètres!$A$1:$I$89,5,0)</f>
        <v>-2.2612312022829427E-13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352.5736659365665</v>
      </c>
      <c r="DU177" s="62">
        <f t="shared" si="152"/>
        <v>343.77208530767069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2.2737367544323206E-13</v>
      </c>
      <c r="EK177" s="18">
        <f>EJ177*VLOOKUP('Données projet'!$B$15,Paramètres!$A$1:$I$89,3,0)*VLOOKUP('Données projet'!$B$15,Paramètres!$A$1:$I$89,5,0)</f>
        <v>2.0572770154103635E-13</v>
      </c>
      <c r="EL177" s="14">
        <f t="shared" si="179"/>
        <v>2.8416956338469711E-12</v>
      </c>
      <c r="EM177" s="22">
        <f t="shared" si="180"/>
        <v>5.3075956424674458E-12</v>
      </c>
      <c r="EN177" s="62">
        <f t="shared" si="128"/>
        <v>293.3333333333386</v>
      </c>
      <c r="EO177" s="62">
        <f ca="1">AVERAGE(OFFSET($EN$3,0,0,'Données projet'!$E$15+1,1))-AVERAGE(OFFSET($H$3,0,0,'Données projet'!$E$15+1,1))</f>
        <v>436.23918637269577</v>
      </c>
      <c r="EP177" s="62">
        <f t="shared" si="154"/>
        <v>611.43967996341894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0.27140179075934684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0.27140179075934684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1.9895196601282805E-13</v>
      </c>
      <c r="FF177" s="18">
        <f>FE177*VLOOKUP('Données projet'!$B$16,Paramètres!$A$1:$I$89,3,0)*VLOOKUP('Données projet'!$B$16,Paramètres!$A$1:$I$89,5,0)</f>
        <v>1.738044375088066E-13</v>
      </c>
      <c r="FG177" s="14">
        <f t="shared" si="182"/>
        <v>2.4483293633950478E-12</v>
      </c>
      <c r="FH177" s="22">
        <f t="shared" si="183"/>
        <v>4.566883036574213E-12</v>
      </c>
      <c r="FI177" s="62">
        <f t="shared" si="131"/>
        <v>293.33333333333786</v>
      </c>
      <c r="FJ177" s="62">
        <f ca="1">AVERAGE(OFFSET($FI$3,0,0,'Données projet'!$E$16+1,1))-AVERAGE(OFFSET($H$3,0,0,'Données projet'!$E$16+1,1))</f>
        <v>321.23599968992932</v>
      </c>
      <c r="FK177" s="62">
        <f t="shared" si="156"/>
        <v>388.05195847800502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6.3550942286383367E-14</v>
      </c>
      <c r="P178" s="14">
        <f t="shared" si="141"/>
        <v>1.0064464192543978E-12</v>
      </c>
      <c r="Q178" s="22">
        <f t="shared" si="162"/>
        <v>1.8635787380168604E-12</v>
      </c>
      <c r="R178" s="62">
        <f t="shared" si="109"/>
        <v>293.33333333333519</v>
      </c>
      <c r="S178" s="62">
        <f ca="1">AVERAGE(OFFSET($R$3,0,0,'Données projet'!$E$9+1,1))-AVERAGE(OFFSET($H$3,0,0,'Données projet'!$E$9+1,1))</f>
        <v>389.06620927245814</v>
      </c>
      <c r="T178" s="62">
        <f t="shared" si="142"/>
        <v>356.08144160383193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0.55655546550126267</v>
      </c>
      <c r="AB178" s="23">
        <f>EXP(-LN(2)/2)*AB177+(1-EXP(-LN(2)/2))/(LN(2)/2)*V178*Y178*VLOOKUP('Données projet'!$B$9,Paramètres!$A$1:$I$89,3,0)*0.475*44/12</f>
        <v>7.75982772961605E-22</v>
      </c>
      <c r="AC178" s="24">
        <f t="shared" si="163"/>
        <v>0.55655546550126267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-3.1036506698001178E-14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293.73480285950245</v>
      </c>
      <c r="AO178" s="62">
        <f t="shared" si="144"/>
        <v>425.99823184414191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0.37922754354352795</v>
      </c>
      <c r="AW178" s="23">
        <f>EXP(-LN(2)/2)*AW177+(1-EXP(-LN(2)/2))/(LN(2)/2)*AQ178*AT178*VLOOKUP('Données projet'!$B$10,Paramètres!$A$1:$I$89,3,0)*0.475*44/12</f>
        <v>2.8943750745364376E-21</v>
      </c>
      <c r="AX178" s="23">
        <f t="shared" si="166"/>
        <v>0.37922754354352795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-5.1431925385259088E-14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438.70522838726322</v>
      </c>
      <c r="BJ178" s="62">
        <f t="shared" si="146"/>
        <v>278.21741231699929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-5.4978954722173515E-14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466.10838191274445</v>
      </c>
      <c r="CE178" s="62">
        <f t="shared" si="148"/>
        <v>294.45557293177131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-3.4106051316484809E-13</v>
      </c>
      <c r="CU178" s="18">
        <f>CT178*VLOOKUP('Données projet'!$B$13,Paramètres!$A$1:$I$89,3,0)*VLOOKUP('Données projet'!$B$13,Paramètres!$A$1:$I$89,5,0)</f>
        <v>-2.5006556825246659E-13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376.5422416541544</v>
      </c>
      <c r="CZ178" s="62">
        <f t="shared" si="150"/>
        <v>365.76175372075869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-2.8421709430404007E-13</v>
      </c>
      <c r="DP178" s="18">
        <f>DO178*VLOOKUP('Données projet'!$B$14,Paramètres!$A$1:$I$89,3,0)*VLOOKUP('Données projet'!$B$14,Paramètres!$A$1:$I$89,5,0)</f>
        <v>-2.2612312022829427E-13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352.5736659365665</v>
      </c>
      <c r="DU178" s="62">
        <f t="shared" si="152"/>
        <v>343.77208530767069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2.2737367544323206E-13</v>
      </c>
      <c r="EK178" s="18">
        <f>EJ178*VLOOKUP('Données projet'!$B$15,Paramètres!$A$1:$I$89,3,0)*VLOOKUP('Données projet'!$B$15,Paramètres!$A$1:$I$89,5,0)</f>
        <v>2.0572770154103635E-13</v>
      </c>
      <c r="EL178" s="14">
        <f t="shared" si="179"/>
        <v>2.8416956338469711E-12</v>
      </c>
      <c r="EM178" s="22">
        <f t="shared" si="180"/>
        <v>5.3075956424674458E-12</v>
      </c>
      <c r="EN178" s="62">
        <f t="shared" si="128"/>
        <v>293.3333333333386</v>
      </c>
      <c r="EO178" s="62">
        <f ca="1">AVERAGE(OFFSET($EN$3,0,0,'Données projet'!$E$15+1,1))-AVERAGE(OFFSET($H$3,0,0,'Données projet'!$E$15+1,1))</f>
        <v>436.23918637269577</v>
      </c>
      <c r="EP178" s="62">
        <f t="shared" si="154"/>
        <v>611.43967996341894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0.26607976718130283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0.26607976718130283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1.9895196601282805E-13</v>
      </c>
      <c r="FF178" s="18">
        <f>FE178*VLOOKUP('Données projet'!$B$16,Paramètres!$A$1:$I$89,3,0)*VLOOKUP('Données projet'!$B$16,Paramètres!$A$1:$I$89,5,0)</f>
        <v>1.738044375088066E-13</v>
      </c>
      <c r="FG178" s="14">
        <f t="shared" si="182"/>
        <v>2.4483293633950478E-12</v>
      </c>
      <c r="FH178" s="22">
        <f t="shared" si="183"/>
        <v>4.566883036574213E-12</v>
      </c>
      <c r="FI178" s="62">
        <f t="shared" si="131"/>
        <v>293.33333333333786</v>
      </c>
      <c r="FJ178" s="62">
        <f ca="1">AVERAGE(OFFSET($FI$3,0,0,'Données projet'!$E$16+1,1))-AVERAGE(OFFSET($H$3,0,0,'Données projet'!$E$16+1,1))</f>
        <v>321.23599968992932</v>
      </c>
      <c r="FK178" s="62">
        <f t="shared" si="156"/>
        <v>388.05195847800502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6.3550942286383367E-14</v>
      </c>
      <c r="P179" s="14">
        <f t="shared" si="141"/>
        <v>1.0064464192543978E-12</v>
      </c>
      <c r="Q179" s="22">
        <f t="shared" si="162"/>
        <v>1.8635787380168604E-12</v>
      </c>
      <c r="R179" s="62">
        <f t="shared" si="109"/>
        <v>293.33333333333519</v>
      </c>
      <c r="S179" s="62">
        <f ca="1">AVERAGE(OFFSET($R$3,0,0,'Données projet'!$E$9+1,1))-AVERAGE(OFFSET($H$3,0,0,'Données projet'!$E$9+1,1))</f>
        <v>389.06620927245814</v>
      </c>
      <c r="T179" s="62">
        <f t="shared" si="142"/>
        <v>356.08144160383193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0.54133642702915075</v>
      </c>
      <c r="AB179" s="23">
        <f>EXP(-LN(2)/2)*AB178+(1-EXP(-LN(2)/2))/(LN(2)/2)*V179*Y179*VLOOKUP('Données projet'!$B$9,Paramètres!$A$1:$I$89,3,0)*0.475*44/12</f>
        <v>5.4870268084509201E-22</v>
      </c>
      <c r="AC179" s="24">
        <f t="shared" si="163"/>
        <v>0.54133642702915075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-3.1036506698001178E-14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293.73480285950245</v>
      </c>
      <c r="AO179" s="62">
        <f t="shared" si="144"/>
        <v>425.99823184414191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0.36885754642262042</v>
      </c>
      <c r="AW179" s="23">
        <f>EXP(-LN(2)/2)*AW178+(1-EXP(-LN(2)/2))/(LN(2)/2)*AQ179*AT179*VLOOKUP('Données projet'!$B$10,Paramètres!$A$1:$I$89,3,0)*0.475*44/12</f>
        <v>2.0466322425020339E-21</v>
      </c>
      <c r="AX179" s="23">
        <f t="shared" si="166"/>
        <v>0.36885754642262042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-5.1431925385259088E-14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438.70522838726322</v>
      </c>
      <c r="BJ179" s="62">
        <f t="shared" si="146"/>
        <v>278.21741231699929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-5.4978954722173515E-14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466.10838191274445</v>
      </c>
      <c r="CE179" s="62">
        <f t="shared" si="148"/>
        <v>294.45557293177131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-3.4106051316484809E-13</v>
      </c>
      <c r="CU179" s="18">
        <f>CT179*VLOOKUP('Données projet'!$B$13,Paramètres!$A$1:$I$89,3,0)*VLOOKUP('Données projet'!$B$13,Paramètres!$A$1:$I$89,5,0)</f>
        <v>-2.5006556825246659E-13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376.5422416541544</v>
      </c>
      <c r="CZ179" s="62">
        <f t="shared" si="150"/>
        <v>365.76175372075869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-2.8421709430404007E-13</v>
      </c>
      <c r="DP179" s="18">
        <f>DO179*VLOOKUP('Données projet'!$B$14,Paramètres!$A$1:$I$89,3,0)*VLOOKUP('Données projet'!$B$14,Paramètres!$A$1:$I$89,5,0)</f>
        <v>-2.2612312022829427E-13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352.5736659365665</v>
      </c>
      <c r="DU179" s="62">
        <f t="shared" si="152"/>
        <v>343.77208530767069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2.2737367544323206E-13</v>
      </c>
      <c r="EK179" s="18">
        <f>EJ179*VLOOKUP('Données projet'!$B$15,Paramètres!$A$1:$I$89,3,0)*VLOOKUP('Données projet'!$B$15,Paramètres!$A$1:$I$89,5,0)</f>
        <v>2.0572770154103635E-13</v>
      </c>
      <c r="EL179" s="14">
        <f t="shared" si="179"/>
        <v>2.8416956338469711E-12</v>
      </c>
      <c r="EM179" s="22">
        <f t="shared" si="180"/>
        <v>5.3075956424674458E-12</v>
      </c>
      <c r="EN179" s="62">
        <f t="shared" si="128"/>
        <v>293.3333333333386</v>
      </c>
      <c r="EO179" s="62">
        <f ca="1">AVERAGE(OFFSET($EN$3,0,0,'Données projet'!$E$15+1,1))-AVERAGE(OFFSET($H$3,0,0,'Données projet'!$E$15+1,1))</f>
        <v>436.23918637269577</v>
      </c>
      <c r="EP179" s="62">
        <f t="shared" si="154"/>
        <v>611.43967996341894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0.26086210523951037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0.26086210523951037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1.9895196601282805E-13</v>
      </c>
      <c r="FF179" s="18">
        <f>FE179*VLOOKUP('Données projet'!$B$16,Paramètres!$A$1:$I$89,3,0)*VLOOKUP('Données projet'!$B$16,Paramètres!$A$1:$I$89,5,0)</f>
        <v>1.738044375088066E-13</v>
      </c>
      <c r="FG179" s="14">
        <f t="shared" si="182"/>
        <v>2.4483293633950478E-12</v>
      </c>
      <c r="FH179" s="22">
        <f t="shared" si="183"/>
        <v>4.566883036574213E-12</v>
      </c>
      <c r="FI179" s="62">
        <f t="shared" si="131"/>
        <v>293.33333333333786</v>
      </c>
      <c r="FJ179" s="62">
        <f ca="1">AVERAGE(OFFSET($FI$3,0,0,'Données projet'!$E$16+1,1))-AVERAGE(OFFSET($H$3,0,0,'Données projet'!$E$16+1,1))</f>
        <v>321.23599968992932</v>
      </c>
      <c r="FK179" s="62">
        <f t="shared" si="156"/>
        <v>388.05195847800502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6.3550942286383367E-14</v>
      </c>
      <c r="P180" s="14">
        <f t="shared" si="141"/>
        <v>1.0064464192543978E-12</v>
      </c>
      <c r="Q180" s="22">
        <f t="shared" si="162"/>
        <v>1.8635787380168604E-12</v>
      </c>
      <c r="R180" s="62">
        <f t="shared" si="109"/>
        <v>293.33333333333519</v>
      </c>
      <c r="S180" s="62">
        <f ca="1">AVERAGE(OFFSET($R$3,0,0,'Données projet'!$E$9+1,1))-AVERAGE(OFFSET($H$3,0,0,'Données projet'!$E$9+1,1))</f>
        <v>389.06620927245814</v>
      </c>
      <c r="T180" s="62">
        <f t="shared" si="142"/>
        <v>356.08144160383193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0.52653355396439316</v>
      </c>
      <c r="AB180" s="23">
        <f>EXP(-LN(2)/2)*AB179+(1-EXP(-LN(2)/2))/(LN(2)/2)*V180*Y180*VLOOKUP('Données projet'!$B$9,Paramètres!$A$1:$I$89,3,0)*0.475*44/12</f>
        <v>3.879913864808025E-22</v>
      </c>
      <c r="AC180" s="24">
        <f t="shared" si="163"/>
        <v>0.52653355396439316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-3.1036506698001178E-14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293.73480285950245</v>
      </c>
      <c r="AO180" s="62">
        <f t="shared" si="144"/>
        <v>425.99823184414191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0.35877111741831852</v>
      </c>
      <c r="AW180" s="23">
        <f>EXP(-LN(2)/2)*AW179+(1-EXP(-LN(2)/2))/(LN(2)/2)*AQ180*AT180*VLOOKUP('Données projet'!$B$10,Paramètres!$A$1:$I$89,3,0)*0.475*44/12</f>
        <v>1.4471875372682188E-21</v>
      </c>
      <c r="AX180" s="23">
        <f t="shared" si="166"/>
        <v>0.35877111741831852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-5.1431925385259088E-14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438.70522838726322</v>
      </c>
      <c r="BJ180" s="62">
        <f t="shared" si="146"/>
        <v>278.21741231699929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-5.4978954722173515E-14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466.10838191274445</v>
      </c>
      <c r="CE180" s="62">
        <f t="shared" si="148"/>
        <v>294.45557293177131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-3.4106051316484809E-13</v>
      </c>
      <c r="CU180" s="18">
        <f>CT180*VLOOKUP('Données projet'!$B$13,Paramètres!$A$1:$I$89,3,0)*VLOOKUP('Données projet'!$B$13,Paramètres!$A$1:$I$89,5,0)</f>
        <v>-2.5006556825246659E-13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376.5422416541544</v>
      </c>
      <c r="CZ180" s="62">
        <f t="shared" si="150"/>
        <v>365.76175372075869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-2.8421709430404007E-13</v>
      </c>
      <c r="DP180" s="18">
        <f>DO180*VLOOKUP('Données projet'!$B$14,Paramètres!$A$1:$I$89,3,0)*VLOOKUP('Données projet'!$B$14,Paramètres!$A$1:$I$89,5,0)</f>
        <v>-2.2612312022829427E-13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352.5736659365665</v>
      </c>
      <c r="DU180" s="62">
        <f t="shared" si="152"/>
        <v>343.77208530767069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2.2737367544323206E-13</v>
      </c>
      <c r="EK180" s="18">
        <f>EJ180*VLOOKUP('Données projet'!$B$15,Paramètres!$A$1:$I$89,3,0)*VLOOKUP('Données projet'!$B$15,Paramètres!$A$1:$I$89,5,0)</f>
        <v>2.0572770154103635E-13</v>
      </c>
      <c r="EL180" s="14">
        <f t="shared" si="179"/>
        <v>2.8416956338469711E-12</v>
      </c>
      <c r="EM180" s="22">
        <f t="shared" si="180"/>
        <v>5.3075956424674458E-12</v>
      </c>
      <c r="EN180" s="62">
        <f t="shared" si="128"/>
        <v>293.3333333333386</v>
      </c>
      <c r="EO180" s="62">
        <f ca="1">AVERAGE(OFFSET($EN$3,0,0,'Données projet'!$E$15+1,1))-AVERAGE(OFFSET($H$3,0,0,'Données projet'!$E$15+1,1))</f>
        <v>436.23918637269577</v>
      </c>
      <c r="EP180" s="62">
        <f t="shared" si="154"/>
        <v>611.43967996341894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0.25574675846593692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0.25574675846593692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1.9895196601282805E-13</v>
      </c>
      <c r="FF180" s="18">
        <f>FE180*VLOOKUP('Données projet'!$B$16,Paramètres!$A$1:$I$89,3,0)*VLOOKUP('Données projet'!$B$16,Paramètres!$A$1:$I$89,5,0)</f>
        <v>1.738044375088066E-13</v>
      </c>
      <c r="FG180" s="14">
        <f t="shared" si="182"/>
        <v>2.4483293633950478E-12</v>
      </c>
      <c r="FH180" s="22">
        <f t="shared" si="183"/>
        <v>4.566883036574213E-12</v>
      </c>
      <c r="FI180" s="62">
        <f t="shared" si="131"/>
        <v>293.33333333333786</v>
      </c>
      <c r="FJ180" s="62">
        <f ca="1">AVERAGE(OFFSET($FI$3,0,0,'Données projet'!$E$16+1,1))-AVERAGE(OFFSET($H$3,0,0,'Données projet'!$E$16+1,1))</f>
        <v>321.23599968992932</v>
      </c>
      <c r="FK180" s="62">
        <f t="shared" si="156"/>
        <v>388.05195847800502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6.3550942286383367E-14</v>
      </c>
      <c r="P181" s="14">
        <f t="shared" si="141"/>
        <v>1.0064464192543978E-12</v>
      </c>
      <c r="Q181" s="22">
        <f t="shared" si="162"/>
        <v>1.8635787380168604E-12</v>
      </c>
      <c r="R181" s="62">
        <f t="shared" si="109"/>
        <v>293.33333333333519</v>
      </c>
      <c r="S181" s="62">
        <f ca="1">AVERAGE(OFFSET($R$3,0,0,'Données projet'!$E$9+1,1))-AVERAGE(OFFSET($H$3,0,0,'Données projet'!$E$9+1,1))</f>
        <v>389.06620927245814</v>
      </c>
      <c r="T181" s="62">
        <f t="shared" si="142"/>
        <v>356.08144160383193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0.51213546624204065</v>
      </c>
      <c r="AB181" s="23">
        <f>EXP(-LN(2)/2)*AB180+(1-EXP(-LN(2)/2))/(LN(2)/2)*V181*Y181*VLOOKUP('Données projet'!$B$9,Paramètres!$A$1:$I$89,3,0)*0.475*44/12</f>
        <v>2.74351340422546E-22</v>
      </c>
      <c r="AC181" s="24">
        <f t="shared" si="163"/>
        <v>0.51213546624204065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-3.1036506698001178E-14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293.73480285950245</v>
      </c>
      <c r="AO181" s="62">
        <f t="shared" si="144"/>
        <v>425.99823184414191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0.34896050234556153</v>
      </c>
      <c r="AW181" s="23">
        <f>EXP(-LN(2)/2)*AW180+(1-EXP(-LN(2)/2))/(LN(2)/2)*AQ181*AT181*VLOOKUP('Données projet'!$B$10,Paramètres!$A$1:$I$89,3,0)*0.475*44/12</f>
        <v>1.023316121251017E-21</v>
      </c>
      <c r="AX181" s="23">
        <f t="shared" si="166"/>
        <v>0.34896050234556153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-5.1431925385259088E-14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438.70522838726322</v>
      </c>
      <c r="BJ181" s="62">
        <f t="shared" si="146"/>
        <v>278.21741231699929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-5.4978954722173515E-14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466.10838191274445</v>
      </c>
      <c r="CE181" s="62">
        <f t="shared" si="148"/>
        <v>294.45557293177131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-3.4106051316484809E-13</v>
      </c>
      <c r="CU181" s="18">
        <f>CT181*VLOOKUP('Données projet'!$B$13,Paramètres!$A$1:$I$89,3,0)*VLOOKUP('Données projet'!$B$13,Paramètres!$A$1:$I$89,5,0)</f>
        <v>-2.5006556825246659E-13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376.5422416541544</v>
      </c>
      <c r="CZ181" s="62">
        <f t="shared" si="150"/>
        <v>365.76175372075869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-2.8421709430404007E-13</v>
      </c>
      <c r="DP181" s="18">
        <f>DO181*VLOOKUP('Données projet'!$B$14,Paramètres!$A$1:$I$89,3,0)*VLOOKUP('Données projet'!$B$14,Paramètres!$A$1:$I$89,5,0)</f>
        <v>-2.2612312022829427E-13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352.5736659365665</v>
      </c>
      <c r="DU181" s="62">
        <f t="shared" si="152"/>
        <v>343.77208530767069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2.2737367544323206E-13</v>
      </c>
      <c r="EK181" s="18">
        <f>EJ181*VLOOKUP('Données projet'!$B$15,Paramètres!$A$1:$I$89,3,0)*VLOOKUP('Données projet'!$B$15,Paramètres!$A$1:$I$89,5,0)</f>
        <v>2.0572770154103635E-13</v>
      </c>
      <c r="EL181" s="14">
        <f t="shared" si="179"/>
        <v>2.8416956338469711E-12</v>
      </c>
      <c r="EM181" s="22">
        <f t="shared" si="180"/>
        <v>5.3075956424674458E-12</v>
      </c>
      <c r="EN181" s="62">
        <f t="shared" si="128"/>
        <v>293.3333333333386</v>
      </c>
      <c r="EO181" s="62">
        <f ca="1">AVERAGE(OFFSET($EN$3,0,0,'Données projet'!$E$15+1,1))-AVERAGE(OFFSET($H$3,0,0,'Données projet'!$E$15+1,1))</f>
        <v>436.23918637269577</v>
      </c>
      <c r="EP181" s="62">
        <f t="shared" si="154"/>
        <v>611.43967996341894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0.25073172052253984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0.25073172052253984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1.9895196601282805E-13</v>
      </c>
      <c r="FF181" s="18">
        <f>FE181*VLOOKUP('Données projet'!$B$16,Paramètres!$A$1:$I$89,3,0)*VLOOKUP('Données projet'!$B$16,Paramètres!$A$1:$I$89,5,0)</f>
        <v>1.738044375088066E-13</v>
      </c>
      <c r="FG181" s="14">
        <f t="shared" si="182"/>
        <v>2.4483293633950478E-12</v>
      </c>
      <c r="FH181" s="22">
        <f t="shared" si="183"/>
        <v>4.566883036574213E-12</v>
      </c>
      <c r="FI181" s="62">
        <f t="shared" si="131"/>
        <v>293.33333333333786</v>
      </c>
      <c r="FJ181" s="62">
        <f ca="1">AVERAGE(OFFSET($FI$3,0,0,'Données projet'!$E$16+1,1))-AVERAGE(OFFSET($H$3,0,0,'Données projet'!$E$16+1,1))</f>
        <v>321.23599968992932</v>
      </c>
      <c r="FK181" s="62">
        <f t="shared" si="156"/>
        <v>388.05195847800502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6.3550942286383367E-14</v>
      </c>
      <c r="P182" s="14">
        <f t="shared" si="141"/>
        <v>1.0064464192543978E-12</v>
      </c>
      <c r="Q182" s="22">
        <f t="shared" si="162"/>
        <v>1.8635787380168604E-12</v>
      </c>
      <c r="R182" s="62">
        <f t="shared" si="109"/>
        <v>293.33333333333519</v>
      </c>
      <c r="S182" s="62">
        <f ca="1">AVERAGE(OFFSET($R$3,0,0,'Données projet'!$E$9+1,1))-AVERAGE(OFFSET($H$3,0,0,'Données projet'!$E$9+1,1))</f>
        <v>389.06620927245814</v>
      </c>
      <c r="T182" s="62">
        <f t="shared" si="142"/>
        <v>356.08144160383193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0.49813109498561836</v>
      </c>
      <c r="AB182" s="23">
        <f>EXP(-LN(2)/2)*AB181+(1-EXP(-LN(2)/2))/(LN(2)/2)*V182*Y182*VLOOKUP('Données projet'!$B$9,Paramètres!$A$1:$I$89,3,0)*0.475*44/12</f>
        <v>1.9399569324040125E-22</v>
      </c>
      <c r="AC182" s="24">
        <f t="shared" si="163"/>
        <v>0.49813109498561836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-3.1036506698001178E-14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293.73480285950245</v>
      </c>
      <c r="AO182" s="62">
        <f t="shared" si="144"/>
        <v>425.99823184414191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0.33941815905788691</v>
      </c>
      <c r="AW182" s="23">
        <f>EXP(-LN(2)/2)*AW181+(1-EXP(-LN(2)/2))/(LN(2)/2)*AQ182*AT182*VLOOKUP('Données projet'!$B$10,Paramètres!$A$1:$I$89,3,0)*0.475*44/12</f>
        <v>7.2359376863410941E-22</v>
      </c>
      <c r="AX182" s="23">
        <f t="shared" si="166"/>
        <v>0.33941815905788691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-5.1431925385259088E-14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438.70522838726322</v>
      </c>
      <c r="BJ182" s="62">
        <f t="shared" si="146"/>
        <v>278.21741231699929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-5.4978954722173515E-14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466.10838191274445</v>
      </c>
      <c r="CE182" s="62">
        <f t="shared" si="148"/>
        <v>294.45557293177131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-3.4106051316484809E-13</v>
      </c>
      <c r="CU182" s="18">
        <f>CT182*VLOOKUP('Données projet'!$B$13,Paramètres!$A$1:$I$89,3,0)*VLOOKUP('Données projet'!$B$13,Paramètres!$A$1:$I$89,5,0)</f>
        <v>-2.5006556825246659E-13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376.5422416541544</v>
      </c>
      <c r="CZ182" s="62">
        <f t="shared" si="150"/>
        <v>365.76175372075869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-2.8421709430404007E-13</v>
      </c>
      <c r="DP182" s="18">
        <f>DO182*VLOOKUP('Données projet'!$B$14,Paramètres!$A$1:$I$89,3,0)*VLOOKUP('Données projet'!$B$14,Paramètres!$A$1:$I$89,5,0)</f>
        <v>-2.2612312022829427E-13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352.5736659365665</v>
      </c>
      <c r="DU182" s="62">
        <f t="shared" si="152"/>
        <v>343.77208530767069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2.2737367544323206E-13</v>
      </c>
      <c r="EK182" s="18">
        <f>EJ182*VLOOKUP('Données projet'!$B$15,Paramètres!$A$1:$I$89,3,0)*VLOOKUP('Données projet'!$B$15,Paramètres!$A$1:$I$89,5,0)</f>
        <v>2.0572770154103635E-13</v>
      </c>
      <c r="EL182" s="14">
        <f t="shared" si="179"/>
        <v>2.8416956338469711E-12</v>
      </c>
      <c r="EM182" s="22">
        <f t="shared" si="180"/>
        <v>5.3075956424674458E-12</v>
      </c>
      <c r="EN182" s="62">
        <f t="shared" si="128"/>
        <v>293.3333333333386</v>
      </c>
      <c r="EO182" s="62">
        <f ca="1">AVERAGE(OFFSET($EN$3,0,0,'Données projet'!$E$15+1,1))-AVERAGE(OFFSET($H$3,0,0,'Données projet'!$E$15+1,1))</f>
        <v>436.23918637269577</v>
      </c>
      <c r="EP182" s="62">
        <f t="shared" si="154"/>
        <v>611.43967996341894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0.24581502441434164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0.24581502441434164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1.9895196601282805E-13</v>
      </c>
      <c r="FF182" s="18">
        <f>FE182*VLOOKUP('Données projet'!$B$16,Paramètres!$A$1:$I$89,3,0)*VLOOKUP('Données projet'!$B$16,Paramètres!$A$1:$I$89,5,0)</f>
        <v>1.738044375088066E-13</v>
      </c>
      <c r="FG182" s="14">
        <f t="shared" si="182"/>
        <v>2.4483293633950478E-12</v>
      </c>
      <c r="FH182" s="22">
        <f t="shared" si="183"/>
        <v>4.566883036574213E-12</v>
      </c>
      <c r="FI182" s="62">
        <f t="shared" si="131"/>
        <v>293.33333333333786</v>
      </c>
      <c r="FJ182" s="62">
        <f ca="1">AVERAGE(OFFSET($FI$3,0,0,'Données projet'!$E$16+1,1))-AVERAGE(OFFSET($H$3,0,0,'Données projet'!$E$16+1,1))</f>
        <v>321.23599968992932</v>
      </c>
      <c r="FK182" s="62">
        <f t="shared" si="156"/>
        <v>388.05195847800502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6.3550942286383367E-14</v>
      </c>
      <c r="P183" s="14">
        <f t="shared" si="141"/>
        <v>1.0064464192543978E-12</v>
      </c>
      <c r="Q183" s="22">
        <f t="shared" si="162"/>
        <v>1.8635787380168604E-12</v>
      </c>
      <c r="R183" s="62">
        <f t="shared" si="109"/>
        <v>293.33333333333519</v>
      </c>
      <c r="S183" s="62">
        <f ca="1">AVERAGE(OFFSET($R$3,0,0,'Données projet'!$E$9+1,1))-AVERAGE(OFFSET($H$3,0,0,'Données projet'!$E$9+1,1))</f>
        <v>389.06620927245814</v>
      </c>
      <c r="T183" s="62">
        <f t="shared" si="142"/>
        <v>356.08144160383193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0.48450967399766082</v>
      </c>
      <c r="AB183" s="23">
        <f>EXP(-LN(2)/2)*AB182+(1-EXP(-LN(2)/2))/(LN(2)/2)*V183*Y183*VLOOKUP('Données projet'!$B$9,Paramètres!$A$1:$I$89,3,0)*0.475*44/12</f>
        <v>1.37175670211273E-22</v>
      </c>
      <c r="AC183" s="24">
        <f t="shared" si="163"/>
        <v>0.48450967399766082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-3.1036506698001178E-14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293.73480285950245</v>
      </c>
      <c r="AO183" s="62">
        <f t="shared" si="144"/>
        <v>425.99823184414191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0.33013675164922374</v>
      </c>
      <c r="AW183" s="23">
        <f>EXP(-LN(2)/2)*AW182+(1-EXP(-LN(2)/2))/(LN(2)/2)*AQ183*AT183*VLOOKUP('Données projet'!$B$10,Paramètres!$A$1:$I$89,3,0)*0.475*44/12</f>
        <v>5.1165806062550849E-22</v>
      </c>
      <c r="AX183" s="23">
        <f t="shared" si="166"/>
        <v>0.33013675164922374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-5.1431925385259088E-14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438.70522838726322</v>
      </c>
      <c r="BJ183" s="62">
        <f t="shared" si="146"/>
        <v>278.21741231699929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-5.4978954722173515E-14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466.10838191274445</v>
      </c>
      <c r="CE183" s="62">
        <f t="shared" si="148"/>
        <v>294.45557293177131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-3.4106051316484809E-13</v>
      </c>
      <c r="CU183" s="18">
        <f>CT183*VLOOKUP('Données projet'!$B$13,Paramètres!$A$1:$I$89,3,0)*VLOOKUP('Données projet'!$B$13,Paramètres!$A$1:$I$89,5,0)</f>
        <v>-2.5006556825246659E-13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376.5422416541544</v>
      </c>
      <c r="CZ183" s="62">
        <f t="shared" si="150"/>
        <v>365.76175372075869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-2.8421709430404007E-13</v>
      </c>
      <c r="DP183" s="18">
        <f>DO183*VLOOKUP('Données projet'!$B$14,Paramètres!$A$1:$I$89,3,0)*VLOOKUP('Données projet'!$B$14,Paramètres!$A$1:$I$89,5,0)</f>
        <v>-2.2612312022829427E-13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352.5736659365665</v>
      </c>
      <c r="DU183" s="62">
        <f t="shared" si="152"/>
        <v>343.77208530767069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2.2737367544323206E-13</v>
      </c>
      <c r="EK183" s="18">
        <f>EJ183*VLOOKUP('Données projet'!$B$15,Paramètres!$A$1:$I$89,3,0)*VLOOKUP('Données projet'!$B$15,Paramètres!$A$1:$I$89,5,0)</f>
        <v>2.0572770154103635E-13</v>
      </c>
      <c r="EL183" s="14">
        <f t="shared" si="179"/>
        <v>2.8416956338469711E-12</v>
      </c>
      <c r="EM183" s="22">
        <f t="shared" si="180"/>
        <v>5.3075956424674458E-12</v>
      </c>
      <c r="EN183" s="62">
        <f t="shared" si="128"/>
        <v>293.3333333333386</v>
      </c>
      <c r="EO183" s="62">
        <f ca="1">AVERAGE(OFFSET($EN$3,0,0,'Données projet'!$E$15+1,1))-AVERAGE(OFFSET($H$3,0,0,'Données projet'!$E$15+1,1))</f>
        <v>436.23918637269577</v>
      </c>
      <c r="EP183" s="62">
        <f t="shared" si="154"/>
        <v>611.43967996341894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0.24099474171793669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0.24099474171793669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1.9895196601282805E-13</v>
      </c>
      <c r="FF183" s="18">
        <f>FE183*VLOOKUP('Données projet'!$B$16,Paramètres!$A$1:$I$89,3,0)*VLOOKUP('Données projet'!$B$16,Paramètres!$A$1:$I$89,5,0)</f>
        <v>1.738044375088066E-13</v>
      </c>
      <c r="FG183" s="14">
        <f t="shared" si="182"/>
        <v>2.4483293633950478E-12</v>
      </c>
      <c r="FH183" s="22">
        <f t="shared" si="183"/>
        <v>4.566883036574213E-12</v>
      </c>
      <c r="FI183" s="62">
        <f t="shared" si="131"/>
        <v>293.33333333333786</v>
      </c>
      <c r="FJ183" s="62">
        <f ca="1">AVERAGE(OFFSET($FI$3,0,0,'Données projet'!$E$16+1,1))-AVERAGE(OFFSET($H$3,0,0,'Données projet'!$E$16+1,1))</f>
        <v>321.23599968992932</v>
      </c>
      <c r="FK183" s="62">
        <f t="shared" si="156"/>
        <v>388.05195847800502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6.3550942286383367E-14</v>
      </c>
      <c r="P184" s="14">
        <f t="shared" si="141"/>
        <v>1.0064464192543978E-12</v>
      </c>
      <c r="Q184" s="22">
        <f t="shared" si="162"/>
        <v>1.8635787380168604E-12</v>
      </c>
      <c r="R184" s="62">
        <f t="shared" si="109"/>
        <v>293.33333333333519</v>
      </c>
      <c r="S184" s="62">
        <f ca="1">AVERAGE(OFFSET($R$3,0,0,'Données projet'!$E$9+1,1))-AVERAGE(OFFSET($H$3,0,0,'Données projet'!$E$9+1,1))</f>
        <v>389.06620927245814</v>
      </c>
      <c r="T184" s="62">
        <f t="shared" si="142"/>
        <v>356.08144160383193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0.4712607314829384</v>
      </c>
      <c r="AB184" s="23">
        <f>EXP(-LN(2)/2)*AB183+(1-EXP(-LN(2)/2))/(LN(2)/2)*V184*Y184*VLOOKUP('Données projet'!$B$9,Paramètres!$A$1:$I$89,3,0)*0.475*44/12</f>
        <v>9.6997846620200625E-23</v>
      </c>
      <c r="AC184" s="24">
        <f t="shared" si="163"/>
        <v>0.4712607314829384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-3.1036506698001178E-14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293.73480285950245</v>
      </c>
      <c r="AO184" s="62">
        <f t="shared" si="144"/>
        <v>425.99823184414191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0.32110914481423847</v>
      </c>
      <c r="AW184" s="23">
        <f>EXP(-LN(2)/2)*AW183+(1-EXP(-LN(2)/2))/(LN(2)/2)*AQ184*AT184*VLOOKUP('Données projet'!$B$10,Paramètres!$A$1:$I$89,3,0)*0.475*44/12</f>
        <v>3.6179688431705471E-22</v>
      </c>
      <c r="AX184" s="23">
        <f t="shared" si="166"/>
        <v>0.32110914481423847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-5.1431925385259088E-14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438.70522838726322</v>
      </c>
      <c r="BJ184" s="62">
        <f t="shared" si="146"/>
        <v>278.21741231699929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-5.4978954722173515E-14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466.10838191274445</v>
      </c>
      <c r="CE184" s="62">
        <f t="shared" si="148"/>
        <v>294.45557293177131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-3.4106051316484809E-13</v>
      </c>
      <c r="CU184" s="18">
        <f>CT184*VLOOKUP('Données projet'!$B$13,Paramètres!$A$1:$I$89,3,0)*VLOOKUP('Données projet'!$B$13,Paramètres!$A$1:$I$89,5,0)</f>
        <v>-2.5006556825246659E-13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376.5422416541544</v>
      </c>
      <c r="CZ184" s="62">
        <f t="shared" si="150"/>
        <v>365.76175372075869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-2.8421709430404007E-13</v>
      </c>
      <c r="DP184" s="18">
        <f>DO184*VLOOKUP('Données projet'!$B$14,Paramètres!$A$1:$I$89,3,0)*VLOOKUP('Données projet'!$B$14,Paramètres!$A$1:$I$89,5,0)</f>
        <v>-2.2612312022829427E-13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352.5736659365665</v>
      </c>
      <c r="DU184" s="62">
        <f t="shared" si="152"/>
        <v>343.77208530767069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2.2737367544323206E-13</v>
      </c>
      <c r="EK184" s="18">
        <f>EJ184*VLOOKUP('Données projet'!$B$15,Paramètres!$A$1:$I$89,3,0)*VLOOKUP('Données projet'!$B$15,Paramètres!$A$1:$I$89,5,0)</f>
        <v>2.0572770154103635E-13</v>
      </c>
      <c r="EL184" s="14">
        <f t="shared" si="179"/>
        <v>2.8416956338469711E-12</v>
      </c>
      <c r="EM184" s="22">
        <f t="shared" si="180"/>
        <v>5.3075956424674458E-12</v>
      </c>
      <c r="EN184" s="62">
        <f t="shared" si="128"/>
        <v>293.3333333333386</v>
      </c>
      <c r="EO184" s="62">
        <f ca="1">AVERAGE(OFFSET($EN$3,0,0,'Données projet'!$E$15+1,1))-AVERAGE(OFFSET($H$3,0,0,'Données projet'!$E$15+1,1))</f>
        <v>436.23918637269577</v>
      </c>
      <c r="EP184" s="62">
        <f t="shared" si="154"/>
        <v>611.43967996341894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0.23626898182512612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0.23626898182512612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1.9895196601282805E-13</v>
      </c>
      <c r="FF184" s="18">
        <f>FE184*VLOOKUP('Données projet'!$B$16,Paramètres!$A$1:$I$89,3,0)*VLOOKUP('Données projet'!$B$16,Paramètres!$A$1:$I$89,5,0)</f>
        <v>1.738044375088066E-13</v>
      </c>
      <c r="FG184" s="14">
        <f t="shared" si="182"/>
        <v>2.4483293633950478E-12</v>
      </c>
      <c r="FH184" s="22">
        <f t="shared" si="183"/>
        <v>4.566883036574213E-12</v>
      </c>
      <c r="FI184" s="62">
        <f t="shared" si="131"/>
        <v>293.33333333333786</v>
      </c>
      <c r="FJ184" s="62">
        <f ca="1">AVERAGE(OFFSET($FI$3,0,0,'Données projet'!$E$16+1,1))-AVERAGE(OFFSET($H$3,0,0,'Données projet'!$E$16+1,1))</f>
        <v>321.23599968992932</v>
      </c>
      <c r="FK184" s="62">
        <f t="shared" si="156"/>
        <v>388.05195847800502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6.3550942286383367E-14</v>
      </c>
      <c r="P185" s="14">
        <f t="shared" si="141"/>
        <v>1.0064464192543978E-12</v>
      </c>
      <c r="Q185" s="22">
        <f t="shared" si="162"/>
        <v>1.8635787380168604E-12</v>
      </c>
      <c r="R185" s="62">
        <f t="shared" si="109"/>
        <v>293.33333333333519</v>
      </c>
      <c r="S185" s="62">
        <f ca="1">AVERAGE(OFFSET($R$3,0,0,'Données projet'!$E$9+1,1))-AVERAGE(OFFSET($H$3,0,0,'Données projet'!$E$9+1,1))</f>
        <v>389.06620927245814</v>
      </c>
      <c r="T185" s="62">
        <f t="shared" si="142"/>
        <v>356.08144160383193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0.45837408199801266</v>
      </c>
      <c r="AB185" s="23">
        <f>EXP(-LN(2)/2)*AB184+(1-EXP(-LN(2)/2))/(LN(2)/2)*V185*Y185*VLOOKUP('Données projet'!$B$9,Paramètres!$A$1:$I$89,3,0)*0.475*44/12</f>
        <v>6.8587835105636501E-23</v>
      </c>
      <c r="AC185" s="24">
        <f t="shared" si="163"/>
        <v>0.45837408199801266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-3.1036506698001178E-14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293.73480285950245</v>
      </c>
      <c r="AO185" s="62">
        <f t="shared" si="144"/>
        <v>425.99823184414191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0.31232839836289711</v>
      </c>
      <c r="AW185" s="23">
        <f>EXP(-LN(2)/2)*AW184+(1-EXP(-LN(2)/2))/(LN(2)/2)*AQ185*AT185*VLOOKUP('Données projet'!$B$10,Paramètres!$A$1:$I$89,3,0)*0.475*44/12</f>
        <v>2.5582903031275424E-22</v>
      </c>
      <c r="AX185" s="23">
        <f t="shared" si="166"/>
        <v>0.31232839836289711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-5.1431925385259088E-14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438.70522838726322</v>
      </c>
      <c r="BJ185" s="62">
        <f t="shared" si="146"/>
        <v>278.21741231699929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-5.4978954722173515E-14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466.10838191274445</v>
      </c>
      <c r="CE185" s="62">
        <f t="shared" si="148"/>
        <v>294.45557293177131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-3.4106051316484809E-13</v>
      </c>
      <c r="CU185" s="18">
        <f>CT185*VLOOKUP('Données projet'!$B$13,Paramètres!$A$1:$I$89,3,0)*VLOOKUP('Données projet'!$B$13,Paramètres!$A$1:$I$89,5,0)</f>
        <v>-2.5006556825246659E-13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376.5422416541544</v>
      </c>
      <c r="CZ185" s="62">
        <f t="shared" si="150"/>
        <v>365.76175372075869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-2.8421709430404007E-13</v>
      </c>
      <c r="DP185" s="18">
        <f>DO185*VLOOKUP('Données projet'!$B$14,Paramètres!$A$1:$I$89,3,0)*VLOOKUP('Données projet'!$B$14,Paramètres!$A$1:$I$89,5,0)</f>
        <v>-2.2612312022829427E-13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352.5736659365665</v>
      </c>
      <c r="DU185" s="62">
        <f t="shared" si="152"/>
        <v>343.77208530767069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2.2737367544323206E-13</v>
      </c>
      <c r="EK185" s="18">
        <f>EJ185*VLOOKUP('Données projet'!$B$15,Paramètres!$A$1:$I$89,3,0)*VLOOKUP('Données projet'!$B$15,Paramètres!$A$1:$I$89,5,0)</f>
        <v>2.0572770154103635E-13</v>
      </c>
      <c r="EL185" s="14">
        <f t="shared" si="179"/>
        <v>2.8416956338469711E-12</v>
      </c>
      <c r="EM185" s="22">
        <f t="shared" si="180"/>
        <v>5.3075956424674458E-12</v>
      </c>
      <c r="EN185" s="62">
        <f t="shared" si="128"/>
        <v>293.3333333333386</v>
      </c>
      <c r="EO185" s="62">
        <f ca="1">AVERAGE(OFFSET($EN$3,0,0,'Données projet'!$E$15+1,1))-AVERAGE(OFFSET($H$3,0,0,'Données projet'!$E$15+1,1))</f>
        <v>436.23918637269577</v>
      </c>
      <c r="EP185" s="62">
        <f t="shared" si="154"/>
        <v>611.43967996341894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0.23163589120138464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0.23163589120138464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1.9895196601282805E-13</v>
      </c>
      <c r="FF185" s="18">
        <f>FE185*VLOOKUP('Données projet'!$B$16,Paramètres!$A$1:$I$89,3,0)*VLOOKUP('Données projet'!$B$16,Paramètres!$A$1:$I$89,5,0)</f>
        <v>1.738044375088066E-13</v>
      </c>
      <c r="FG185" s="14">
        <f t="shared" si="182"/>
        <v>2.4483293633950478E-12</v>
      </c>
      <c r="FH185" s="22">
        <f t="shared" si="183"/>
        <v>4.566883036574213E-12</v>
      </c>
      <c r="FI185" s="62">
        <f t="shared" si="131"/>
        <v>293.33333333333786</v>
      </c>
      <c r="FJ185" s="62">
        <f ca="1">AVERAGE(OFFSET($FI$3,0,0,'Données projet'!$E$16+1,1))-AVERAGE(OFFSET($H$3,0,0,'Données projet'!$E$16+1,1))</f>
        <v>321.23599968992932</v>
      </c>
      <c r="FK185" s="62">
        <f t="shared" si="156"/>
        <v>388.05195847800502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6.3550942286383367E-14</v>
      </c>
      <c r="P186" s="14">
        <f t="shared" si="141"/>
        <v>1.0064464192543978E-12</v>
      </c>
      <c r="Q186" s="22">
        <f t="shared" si="162"/>
        <v>1.8635787380168604E-12</v>
      </c>
      <c r="R186" s="62">
        <f t="shared" si="109"/>
        <v>293.33333333333519</v>
      </c>
      <c r="S186" s="62">
        <f ca="1">AVERAGE(OFFSET($R$3,0,0,'Données projet'!$E$9+1,1))-AVERAGE(OFFSET($H$3,0,0,'Données projet'!$E$9+1,1))</f>
        <v>389.06620927245814</v>
      </c>
      <c r="T186" s="62">
        <f t="shared" si="142"/>
        <v>356.08144160383193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0.44583981862093164</v>
      </c>
      <c r="AB186" s="23">
        <f>EXP(-LN(2)/2)*AB185+(1-EXP(-LN(2)/2))/(LN(2)/2)*V186*Y186*VLOOKUP('Données projet'!$B$9,Paramètres!$A$1:$I$89,3,0)*0.475*44/12</f>
        <v>4.8498923310100313E-23</v>
      </c>
      <c r="AC186" s="24">
        <f t="shared" si="163"/>
        <v>0.44583981862093164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-3.1036506698001178E-14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293.73480285950245</v>
      </c>
      <c r="AO186" s="62">
        <f t="shared" si="144"/>
        <v>425.99823184414191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0.30378776188502704</v>
      </c>
      <c r="AW186" s="23">
        <f>EXP(-LN(2)/2)*AW185+(1-EXP(-LN(2)/2))/(LN(2)/2)*AQ186*AT186*VLOOKUP('Données projet'!$B$10,Paramètres!$A$1:$I$89,3,0)*0.475*44/12</f>
        <v>1.8089844215852735E-22</v>
      </c>
      <c r="AX186" s="23">
        <f t="shared" si="166"/>
        <v>0.30378776188502704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-5.1431925385259088E-14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438.70522838726322</v>
      </c>
      <c r="BJ186" s="62">
        <f t="shared" si="146"/>
        <v>278.21741231699929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-5.4978954722173515E-14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466.10838191274445</v>
      </c>
      <c r="CE186" s="62">
        <f t="shared" si="148"/>
        <v>294.45557293177131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-3.4106051316484809E-13</v>
      </c>
      <c r="CU186" s="18">
        <f>CT186*VLOOKUP('Données projet'!$B$13,Paramètres!$A$1:$I$89,3,0)*VLOOKUP('Données projet'!$B$13,Paramètres!$A$1:$I$89,5,0)</f>
        <v>-2.5006556825246659E-13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376.5422416541544</v>
      </c>
      <c r="CZ186" s="62">
        <f t="shared" si="150"/>
        <v>365.76175372075869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-2.8421709430404007E-13</v>
      </c>
      <c r="DP186" s="18">
        <f>DO186*VLOOKUP('Données projet'!$B$14,Paramètres!$A$1:$I$89,3,0)*VLOOKUP('Données projet'!$B$14,Paramètres!$A$1:$I$89,5,0)</f>
        <v>-2.2612312022829427E-13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352.5736659365665</v>
      </c>
      <c r="DU186" s="62">
        <f t="shared" si="152"/>
        <v>343.77208530767069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2.2737367544323206E-13</v>
      </c>
      <c r="EK186" s="18">
        <f>EJ186*VLOOKUP('Données projet'!$B$15,Paramètres!$A$1:$I$89,3,0)*VLOOKUP('Données projet'!$B$15,Paramètres!$A$1:$I$89,5,0)</f>
        <v>2.0572770154103635E-13</v>
      </c>
      <c r="EL186" s="14">
        <f t="shared" si="179"/>
        <v>2.8416956338469711E-12</v>
      </c>
      <c r="EM186" s="22">
        <f t="shared" si="180"/>
        <v>5.3075956424674458E-12</v>
      </c>
      <c r="EN186" s="62">
        <f t="shared" si="128"/>
        <v>293.3333333333386</v>
      </c>
      <c r="EO186" s="62">
        <f ca="1">AVERAGE(OFFSET($EN$3,0,0,'Données projet'!$E$15+1,1))-AVERAGE(OFFSET($H$3,0,0,'Données projet'!$E$15+1,1))</f>
        <v>436.23918637269577</v>
      </c>
      <c r="EP186" s="62">
        <f t="shared" si="154"/>
        <v>611.43967996341894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0.22709365265886849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0.22709365265886849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1.9895196601282805E-13</v>
      </c>
      <c r="FF186" s="18">
        <f>FE186*VLOOKUP('Données projet'!$B$16,Paramètres!$A$1:$I$89,3,0)*VLOOKUP('Données projet'!$B$16,Paramètres!$A$1:$I$89,5,0)</f>
        <v>1.738044375088066E-13</v>
      </c>
      <c r="FG186" s="14">
        <f t="shared" si="182"/>
        <v>2.4483293633950478E-12</v>
      </c>
      <c r="FH186" s="22">
        <f t="shared" si="183"/>
        <v>4.566883036574213E-12</v>
      </c>
      <c r="FI186" s="62">
        <f t="shared" si="131"/>
        <v>293.33333333333786</v>
      </c>
      <c r="FJ186" s="62">
        <f ca="1">AVERAGE(OFFSET($FI$3,0,0,'Données projet'!$E$16+1,1))-AVERAGE(OFFSET($H$3,0,0,'Données projet'!$E$16+1,1))</f>
        <v>321.23599968992932</v>
      </c>
      <c r="FK186" s="62">
        <f t="shared" si="156"/>
        <v>388.05195847800502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6.3550942286383367E-14</v>
      </c>
      <c r="P187" s="14">
        <f t="shared" si="141"/>
        <v>1.0064464192543978E-12</v>
      </c>
      <c r="Q187" s="22">
        <f t="shared" si="162"/>
        <v>1.8635787380168604E-12</v>
      </c>
      <c r="R187" s="62">
        <f t="shared" si="109"/>
        <v>293.33333333333519</v>
      </c>
      <c r="S187" s="62">
        <f ca="1">AVERAGE(OFFSET($R$3,0,0,'Données projet'!$E$9+1,1))-AVERAGE(OFFSET($H$3,0,0,'Données projet'!$E$9+1,1))</f>
        <v>389.06620927245814</v>
      </c>
      <c r="T187" s="62">
        <f t="shared" si="142"/>
        <v>356.08144160383193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0.43364830533504517</v>
      </c>
      <c r="AB187" s="23">
        <f>EXP(-LN(2)/2)*AB186+(1-EXP(-LN(2)/2))/(LN(2)/2)*V187*Y187*VLOOKUP('Données projet'!$B$9,Paramètres!$A$1:$I$89,3,0)*0.475*44/12</f>
        <v>3.4293917552818251E-23</v>
      </c>
      <c r="AC187" s="24">
        <f t="shared" si="163"/>
        <v>0.43364830533504517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-3.1036506698001178E-14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293.73480285950245</v>
      </c>
      <c r="AO187" s="62">
        <f t="shared" si="144"/>
        <v>425.99823184414191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0.2954806695607769</v>
      </c>
      <c r="AW187" s="23">
        <f>EXP(-LN(2)/2)*AW186+(1-EXP(-LN(2)/2))/(LN(2)/2)*AQ187*AT187*VLOOKUP('Données projet'!$B$10,Paramètres!$A$1:$I$89,3,0)*0.475*44/12</f>
        <v>1.2791451515637712E-22</v>
      </c>
      <c r="AX187" s="23">
        <f t="shared" si="166"/>
        <v>0.2954806695607769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-5.1431925385259088E-14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438.70522838726322</v>
      </c>
      <c r="BJ187" s="62">
        <f t="shared" si="146"/>
        <v>278.21741231699929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-5.4978954722173515E-14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466.10838191274445</v>
      </c>
      <c r="CE187" s="62">
        <f t="shared" si="148"/>
        <v>294.45557293177131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-3.4106051316484809E-13</v>
      </c>
      <c r="CU187" s="18">
        <f>CT187*VLOOKUP('Données projet'!$B$13,Paramètres!$A$1:$I$89,3,0)*VLOOKUP('Données projet'!$B$13,Paramètres!$A$1:$I$89,5,0)</f>
        <v>-2.5006556825246659E-13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376.5422416541544</v>
      </c>
      <c r="CZ187" s="62">
        <f t="shared" si="150"/>
        <v>365.76175372075869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-2.8421709430404007E-13</v>
      </c>
      <c r="DP187" s="18">
        <f>DO187*VLOOKUP('Données projet'!$B$14,Paramètres!$A$1:$I$89,3,0)*VLOOKUP('Données projet'!$B$14,Paramètres!$A$1:$I$89,5,0)</f>
        <v>-2.2612312022829427E-13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352.5736659365665</v>
      </c>
      <c r="DU187" s="62">
        <f t="shared" si="152"/>
        <v>343.77208530767069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2.2737367544323206E-13</v>
      </c>
      <c r="EK187" s="18">
        <f>EJ187*VLOOKUP('Données projet'!$B$15,Paramètres!$A$1:$I$89,3,0)*VLOOKUP('Données projet'!$B$15,Paramètres!$A$1:$I$89,5,0)</f>
        <v>2.0572770154103635E-13</v>
      </c>
      <c r="EL187" s="14">
        <f t="shared" si="179"/>
        <v>2.8416956338469711E-12</v>
      </c>
      <c r="EM187" s="22">
        <f t="shared" si="180"/>
        <v>5.3075956424674458E-12</v>
      </c>
      <c r="EN187" s="62">
        <f t="shared" si="128"/>
        <v>293.3333333333386</v>
      </c>
      <c r="EO187" s="62">
        <f ca="1">AVERAGE(OFFSET($EN$3,0,0,'Données projet'!$E$15+1,1))-AVERAGE(OFFSET($H$3,0,0,'Données projet'!$E$15+1,1))</f>
        <v>436.23918637269577</v>
      </c>
      <c r="EP187" s="62">
        <f t="shared" si="154"/>
        <v>611.43967996341894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0.22264048464367914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0.22264048464367914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1.9895196601282805E-13</v>
      </c>
      <c r="FF187" s="18">
        <f>FE187*VLOOKUP('Données projet'!$B$16,Paramètres!$A$1:$I$89,3,0)*VLOOKUP('Données projet'!$B$16,Paramètres!$A$1:$I$89,5,0)</f>
        <v>1.738044375088066E-13</v>
      </c>
      <c r="FG187" s="14">
        <f t="shared" si="182"/>
        <v>2.4483293633950478E-12</v>
      </c>
      <c r="FH187" s="22">
        <f t="shared" si="183"/>
        <v>4.566883036574213E-12</v>
      </c>
      <c r="FI187" s="62">
        <f t="shared" si="131"/>
        <v>293.33333333333786</v>
      </c>
      <c r="FJ187" s="62">
        <f ca="1">AVERAGE(OFFSET($FI$3,0,0,'Données projet'!$E$16+1,1))-AVERAGE(OFFSET($H$3,0,0,'Données projet'!$E$16+1,1))</f>
        <v>321.23599968992932</v>
      </c>
      <c r="FK187" s="62">
        <f t="shared" si="156"/>
        <v>388.05195847800502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6.3550942286383367E-14</v>
      </c>
      <c r="P188" s="14">
        <f t="shared" si="141"/>
        <v>1.0064464192543978E-12</v>
      </c>
      <c r="Q188" s="22">
        <f t="shared" si="162"/>
        <v>1.8635787380168604E-12</v>
      </c>
      <c r="R188" s="62">
        <f t="shared" si="109"/>
        <v>293.33333333333519</v>
      </c>
      <c r="S188" s="62">
        <f ca="1">AVERAGE(OFFSET($R$3,0,0,'Données projet'!$E$9+1,1))-AVERAGE(OFFSET($H$3,0,0,'Données projet'!$E$9+1,1))</f>
        <v>389.06620927245814</v>
      </c>
      <c r="T188" s="62">
        <f t="shared" si="142"/>
        <v>356.08144160383193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0.42179016962108512</v>
      </c>
      <c r="AB188" s="23">
        <f>EXP(-LN(2)/2)*AB187+(1-EXP(-LN(2)/2))/(LN(2)/2)*V188*Y188*VLOOKUP('Données projet'!$B$9,Paramètres!$A$1:$I$89,3,0)*0.475*44/12</f>
        <v>2.4249461655050156E-23</v>
      </c>
      <c r="AC188" s="24">
        <f t="shared" si="163"/>
        <v>0.42179016962108512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-3.1036506698001178E-14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293.73480285950245</v>
      </c>
      <c r="AO188" s="62">
        <f t="shared" si="144"/>
        <v>425.99823184414191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0.28740073511298436</v>
      </c>
      <c r="AW188" s="23">
        <f>EXP(-LN(2)/2)*AW187+(1-EXP(-LN(2)/2))/(LN(2)/2)*AQ188*AT188*VLOOKUP('Données projet'!$B$10,Paramètres!$A$1:$I$89,3,0)*0.475*44/12</f>
        <v>9.0449221079263676E-23</v>
      </c>
      <c r="AX188" s="23">
        <f t="shared" si="166"/>
        <v>0.28740073511298436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-5.1431925385259088E-14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438.70522838726322</v>
      </c>
      <c r="BJ188" s="62">
        <f t="shared" si="146"/>
        <v>278.21741231699929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-5.4978954722173515E-14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466.10838191274445</v>
      </c>
      <c r="CE188" s="62">
        <f t="shared" si="148"/>
        <v>294.45557293177131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-3.4106051316484809E-13</v>
      </c>
      <c r="CU188" s="18">
        <f>CT188*VLOOKUP('Données projet'!$B$13,Paramètres!$A$1:$I$89,3,0)*VLOOKUP('Données projet'!$B$13,Paramètres!$A$1:$I$89,5,0)</f>
        <v>-2.5006556825246659E-13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376.5422416541544</v>
      </c>
      <c r="CZ188" s="62">
        <f t="shared" si="150"/>
        <v>365.76175372075869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-2.8421709430404007E-13</v>
      </c>
      <c r="DP188" s="18">
        <f>DO188*VLOOKUP('Données projet'!$B$14,Paramètres!$A$1:$I$89,3,0)*VLOOKUP('Données projet'!$B$14,Paramètres!$A$1:$I$89,5,0)</f>
        <v>-2.2612312022829427E-13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352.5736659365665</v>
      </c>
      <c r="DU188" s="62">
        <f t="shared" si="152"/>
        <v>343.77208530767069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2.2737367544323206E-13</v>
      </c>
      <c r="EK188" s="18">
        <f>EJ188*VLOOKUP('Données projet'!$B$15,Paramètres!$A$1:$I$89,3,0)*VLOOKUP('Données projet'!$B$15,Paramètres!$A$1:$I$89,5,0)</f>
        <v>2.0572770154103635E-13</v>
      </c>
      <c r="EL188" s="14">
        <f t="shared" si="179"/>
        <v>2.8416956338469711E-12</v>
      </c>
      <c r="EM188" s="22">
        <f t="shared" si="180"/>
        <v>5.3075956424674458E-12</v>
      </c>
      <c r="EN188" s="62">
        <f t="shared" si="128"/>
        <v>293.3333333333386</v>
      </c>
      <c r="EO188" s="62">
        <f ca="1">AVERAGE(OFFSET($EN$3,0,0,'Données projet'!$E$15+1,1))-AVERAGE(OFFSET($H$3,0,0,'Données projet'!$E$15+1,1))</f>
        <v>436.23918637269577</v>
      </c>
      <c r="EP188" s="62">
        <f t="shared" si="154"/>
        <v>611.43967996341894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0.21827464053710335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0.21827464053710335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1.9895196601282805E-13</v>
      </c>
      <c r="FF188" s="18">
        <f>FE188*VLOOKUP('Données projet'!$B$16,Paramètres!$A$1:$I$89,3,0)*VLOOKUP('Données projet'!$B$16,Paramètres!$A$1:$I$89,5,0)</f>
        <v>1.738044375088066E-13</v>
      </c>
      <c r="FG188" s="14">
        <f t="shared" si="182"/>
        <v>2.4483293633950478E-12</v>
      </c>
      <c r="FH188" s="22">
        <f t="shared" si="183"/>
        <v>4.566883036574213E-12</v>
      </c>
      <c r="FI188" s="62">
        <f t="shared" si="131"/>
        <v>293.33333333333786</v>
      </c>
      <c r="FJ188" s="62">
        <f ca="1">AVERAGE(OFFSET($FI$3,0,0,'Données projet'!$E$16+1,1))-AVERAGE(OFFSET($H$3,0,0,'Données projet'!$E$16+1,1))</f>
        <v>321.23599968992932</v>
      </c>
      <c r="FK188" s="62">
        <f t="shared" si="156"/>
        <v>388.05195847800502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6.3550942286383367E-14</v>
      </c>
      <c r="P189" s="14">
        <f t="shared" si="141"/>
        <v>1.0064464192543978E-12</v>
      </c>
      <c r="Q189" s="22">
        <f t="shared" si="162"/>
        <v>1.8635787380168604E-12</v>
      </c>
      <c r="R189" s="62">
        <f t="shared" si="109"/>
        <v>293.33333333333519</v>
      </c>
      <c r="S189" s="62">
        <f ca="1">AVERAGE(OFFSET($R$3,0,0,'Données projet'!$E$9+1,1))-AVERAGE(OFFSET($H$3,0,0,'Données projet'!$E$9+1,1))</f>
        <v>389.06620927245814</v>
      </c>
      <c r="T189" s="62">
        <f t="shared" si="142"/>
        <v>356.08144160383193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0.41025629525181556</v>
      </c>
      <c r="AB189" s="23">
        <f>EXP(-LN(2)/2)*AB188+(1-EXP(-LN(2)/2))/(LN(2)/2)*V189*Y189*VLOOKUP('Données projet'!$B$9,Paramètres!$A$1:$I$89,3,0)*0.475*44/12</f>
        <v>1.7146958776409125E-23</v>
      </c>
      <c r="AC189" s="24">
        <f t="shared" si="163"/>
        <v>0.41025629525181556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-3.1036506698001178E-14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293.73480285950245</v>
      </c>
      <c r="AO189" s="62">
        <f t="shared" si="144"/>
        <v>425.99823184414191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0.279541746897572</v>
      </c>
      <c r="AW189" s="23">
        <f>EXP(-LN(2)/2)*AW188+(1-EXP(-LN(2)/2))/(LN(2)/2)*AQ189*AT189*VLOOKUP('Données projet'!$B$10,Paramètres!$A$1:$I$89,3,0)*0.475*44/12</f>
        <v>6.3957257578188561E-23</v>
      </c>
      <c r="AX189" s="23">
        <f t="shared" si="166"/>
        <v>0.279541746897572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-5.1431925385259088E-14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438.70522838726322</v>
      </c>
      <c r="BJ189" s="62">
        <f t="shared" si="146"/>
        <v>278.21741231699929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-5.4978954722173515E-14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466.10838191274445</v>
      </c>
      <c r="CE189" s="62">
        <f t="shared" si="148"/>
        <v>294.45557293177131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-3.4106051316484809E-13</v>
      </c>
      <c r="CU189" s="18">
        <f>CT189*VLOOKUP('Données projet'!$B$13,Paramètres!$A$1:$I$89,3,0)*VLOOKUP('Données projet'!$B$13,Paramètres!$A$1:$I$89,5,0)</f>
        <v>-2.5006556825246659E-13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376.5422416541544</v>
      </c>
      <c r="CZ189" s="62">
        <f t="shared" si="150"/>
        <v>365.76175372075869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-2.8421709430404007E-13</v>
      </c>
      <c r="DP189" s="18">
        <f>DO189*VLOOKUP('Données projet'!$B$14,Paramètres!$A$1:$I$89,3,0)*VLOOKUP('Données projet'!$B$14,Paramètres!$A$1:$I$89,5,0)</f>
        <v>-2.2612312022829427E-13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352.5736659365665</v>
      </c>
      <c r="DU189" s="62">
        <f t="shared" si="152"/>
        <v>343.77208530767069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2.2737367544323206E-13</v>
      </c>
      <c r="EK189" s="18">
        <f>EJ189*VLOOKUP('Données projet'!$B$15,Paramètres!$A$1:$I$89,3,0)*VLOOKUP('Données projet'!$B$15,Paramètres!$A$1:$I$89,5,0)</f>
        <v>2.0572770154103635E-13</v>
      </c>
      <c r="EL189" s="14">
        <f t="shared" si="179"/>
        <v>2.8416956338469711E-12</v>
      </c>
      <c r="EM189" s="22">
        <f t="shared" si="180"/>
        <v>5.3075956424674458E-12</v>
      </c>
      <c r="EN189" s="62">
        <f t="shared" si="128"/>
        <v>293.3333333333386</v>
      </c>
      <c r="EO189" s="62">
        <f ca="1">AVERAGE(OFFSET($EN$3,0,0,'Données projet'!$E$15+1,1))-AVERAGE(OFFSET($H$3,0,0,'Données projet'!$E$15+1,1))</f>
        <v>436.23918637269577</v>
      </c>
      <c r="EP189" s="62">
        <f t="shared" si="154"/>
        <v>611.43967996341894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0.21399440797055555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0.21399440797055555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1.9895196601282805E-13</v>
      </c>
      <c r="FF189" s="18">
        <f>FE189*VLOOKUP('Données projet'!$B$16,Paramètres!$A$1:$I$89,3,0)*VLOOKUP('Données projet'!$B$16,Paramètres!$A$1:$I$89,5,0)</f>
        <v>1.738044375088066E-13</v>
      </c>
      <c r="FG189" s="14">
        <f t="shared" si="182"/>
        <v>2.4483293633950478E-12</v>
      </c>
      <c r="FH189" s="22">
        <f t="shared" si="183"/>
        <v>4.566883036574213E-12</v>
      </c>
      <c r="FI189" s="62">
        <f t="shared" si="131"/>
        <v>293.33333333333786</v>
      </c>
      <c r="FJ189" s="62">
        <f ca="1">AVERAGE(OFFSET($FI$3,0,0,'Données projet'!$E$16+1,1))-AVERAGE(OFFSET($H$3,0,0,'Données projet'!$E$16+1,1))</f>
        <v>321.23599968992932</v>
      </c>
      <c r="FK189" s="62">
        <f t="shared" si="156"/>
        <v>388.05195847800502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6.3550942286383367E-14</v>
      </c>
      <c r="P190" s="14">
        <f t="shared" si="141"/>
        <v>1.0064464192543978E-12</v>
      </c>
      <c r="Q190" s="22">
        <f t="shared" si="162"/>
        <v>1.8635787380168604E-12</v>
      </c>
      <c r="R190" s="62">
        <f t="shared" si="109"/>
        <v>293.33333333333519</v>
      </c>
      <c r="S190" s="62">
        <f ca="1">AVERAGE(OFFSET($R$3,0,0,'Données projet'!$E$9+1,1))-AVERAGE(OFFSET($H$3,0,0,'Données projet'!$E$9+1,1))</f>
        <v>389.06620927245814</v>
      </c>
      <c r="T190" s="62">
        <f t="shared" si="142"/>
        <v>356.08144160383193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0.39903781528371374</v>
      </c>
      <c r="AB190" s="23">
        <f>EXP(-LN(2)/2)*AB189+(1-EXP(-LN(2)/2))/(LN(2)/2)*V190*Y190*VLOOKUP('Données projet'!$B$9,Paramètres!$A$1:$I$89,3,0)*0.475*44/12</f>
        <v>1.2124730827525078E-23</v>
      </c>
      <c r="AC190" s="24">
        <f t="shared" si="163"/>
        <v>0.39903781528371374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-3.1036506698001178E-14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293.73480285950245</v>
      </c>
      <c r="AO190" s="62">
        <f t="shared" si="144"/>
        <v>425.99823184414191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0.2718976631281963</v>
      </c>
      <c r="AW190" s="23">
        <f>EXP(-LN(2)/2)*AW189+(1-EXP(-LN(2)/2))/(LN(2)/2)*AQ190*AT190*VLOOKUP('Données projet'!$B$10,Paramètres!$A$1:$I$89,3,0)*0.475*44/12</f>
        <v>4.5224610539631838E-23</v>
      </c>
      <c r="AX190" s="23">
        <f t="shared" si="166"/>
        <v>0.2718976631281963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-5.1431925385259088E-14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438.70522838726322</v>
      </c>
      <c r="BJ190" s="62">
        <f t="shared" si="146"/>
        <v>278.21741231699929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-5.4978954722173515E-14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466.10838191274445</v>
      </c>
      <c r="CE190" s="62">
        <f t="shared" si="148"/>
        <v>294.45557293177131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-3.4106051316484809E-13</v>
      </c>
      <c r="CU190" s="18">
        <f>CT190*VLOOKUP('Données projet'!$B$13,Paramètres!$A$1:$I$89,3,0)*VLOOKUP('Données projet'!$B$13,Paramètres!$A$1:$I$89,5,0)</f>
        <v>-2.5006556825246659E-13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376.5422416541544</v>
      </c>
      <c r="CZ190" s="62">
        <f t="shared" si="150"/>
        <v>365.76175372075869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-2.8421709430404007E-13</v>
      </c>
      <c r="DP190" s="18">
        <f>DO190*VLOOKUP('Données projet'!$B$14,Paramètres!$A$1:$I$89,3,0)*VLOOKUP('Données projet'!$B$14,Paramètres!$A$1:$I$89,5,0)</f>
        <v>-2.2612312022829427E-13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352.5736659365665</v>
      </c>
      <c r="DU190" s="62">
        <f t="shared" si="152"/>
        <v>343.77208530767069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2.2737367544323206E-13</v>
      </c>
      <c r="EK190" s="18">
        <f>EJ190*VLOOKUP('Données projet'!$B$15,Paramètres!$A$1:$I$89,3,0)*VLOOKUP('Données projet'!$B$15,Paramètres!$A$1:$I$89,5,0)</f>
        <v>2.0572770154103635E-13</v>
      </c>
      <c r="EL190" s="14">
        <f t="shared" si="179"/>
        <v>2.8416956338469711E-12</v>
      </c>
      <c r="EM190" s="22">
        <f t="shared" si="180"/>
        <v>5.3075956424674458E-12</v>
      </c>
      <c r="EN190" s="62">
        <f t="shared" si="128"/>
        <v>293.3333333333386</v>
      </c>
      <c r="EO190" s="62">
        <f ca="1">AVERAGE(OFFSET($EN$3,0,0,'Données projet'!$E$15+1,1))-AVERAGE(OFFSET($H$3,0,0,'Données projet'!$E$15+1,1))</f>
        <v>436.23918637269577</v>
      </c>
      <c r="EP190" s="62">
        <f t="shared" si="154"/>
        <v>611.43967996341894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0.20979810815395367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0.20979810815395367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1.9895196601282805E-13</v>
      </c>
      <c r="FF190" s="18">
        <f>FE190*VLOOKUP('Données projet'!$B$16,Paramètres!$A$1:$I$89,3,0)*VLOOKUP('Données projet'!$B$16,Paramètres!$A$1:$I$89,5,0)</f>
        <v>1.738044375088066E-13</v>
      </c>
      <c r="FG190" s="14">
        <f t="shared" si="182"/>
        <v>2.4483293633950478E-12</v>
      </c>
      <c r="FH190" s="22">
        <f t="shared" si="183"/>
        <v>4.566883036574213E-12</v>
      </c>
      <c r="FI190" s="62">
        <f t="shared" si="131"/>
        <v>293.33333333333786</v>
      </c>
      <c r="FJ190" s="62">
        <f ca="1">AVERAGE(OFFSET($FI$3,0,0,'Données projet'!$E$16+1,1))-AVERAGE(OFFSET($H$3,0,0,'Données projet'!$E$16+1,1))</f>
        <v>321.23599968992932</v>
      </c>
      <c r="FK190" s="62">
        <f t="shared" si="156"/>
        <v>388.05195847800502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6.3550942286383367E-14</v>
      </c>
      <c r="P191" s="14">
        <f t="shared" si="141"/>
        <v>1.0064464192543978E-12</v>
      </c>
      <c r="Q191" s="22">
        <f t="shared" si="162"/>
        <v>1.8635787380168604E-12</v>
      </c>
      <c r="R191" s="62">
        <f t="shared" si="109"/>
        <v>293.33333333333519</v>
      </c>
      <c r="S191" s="62">
        <f ca="1">AVERAGE(OFFSET($R$3,0,0,'Données projet'!$E$9+1,1))-AVERAGE(OFFSET($H$3,0,0,'Données projet'!$E$9+1,1))</f>
        <v>389.06620927245814</v>
      </c>
      <c r="T191" s="62">
        <f t="shared" si="142"/>
        <v>356.08144160383193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0.38812610524029389</v>
      </c>
      <c r="AB191" s="23">
        <f>EXP(-LN(2)/2)*AB190+(1-EXP(-LN(2)/2))/(LN(2)/2)*V191*Y191*VLOOKUP('Données projet'!$B$9,Paramètres!$A$1:$I$89,3,0)*0.475*44/12</f>
        <v>8.5734793882045626E-24</v>
      </c>
      <c r="AC191" s="24">
        <f t="shared" si="163"/>
        <v>0.38812610524029389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-3.1036506698001178E-14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293.73480285950245</v>
      </c>
      <c r="AO191" s="62">
        <f t="shared" si="144"/>
        <v>425.99823184414191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0.26446260723147907</v>
      </c>
      <c r="AW191" s="23">
        <f>EXP(-LN(2)/2)*AW190+(1-EXP(-LN(2)/2))/(LN(2)/2)*AQ191*AT191*VLOOKUP('Données projet'!$B$10,Paramètres!$A$1:$I$89,3,0)*0.475*44/12</f>
        <v>3.197862878909428E-23</v>
      </c>
      <c r="AX191" s="23">
        <f t="shared" si="166"/>
        <v>0.26446260723147907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-5.1431925385259088E-14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438.70522838726322</v>
      </c>
      <c r="BJ191" s="62">
        <f t="shared" si="146"/>
        <v>278.21741231699929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-5.4978954722173515E-14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466.10838191274445</v>
      </c>
      <c r="CE191" s="62">
        <f t="shared" si="148"/>
        <v>294.45557293177131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-3.4106051316484809E-13</v>
      </c>
      <c r="CU191" s="18">
        <f>CT191*VLOOKUP('Données projet'!$B$13,Paramètres!$A$1:$I$89,3,0)*VLOOKUP('Données projet'!$B$13,Paramètres!$A$1:$I$89,5,0)</f>
        <v>-2.5006556825246659E-13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376.5422416541544</v>
      </c>
      <c r="CZ191" s="62">
        <f t="shared" si="150"/>
        <v>365.76175372075869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-2.8421709430404007E-13</v>
      </c>
      <c r="DP191" s="18">
        <f>DO191*VLOOKUP('Données projet'!$B$14,Paramètres!$A$1:$I$89,3,0)*VLOOKUP('Données projet'!$B$14,Paramètres!$A$1:$I$89,5,0)</f>
        <v>-2.2612312022829427E-13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352.5736659365665</v>
      </c>
      <c r="DU191" s="62">
        <f t="shared" si="152"/>
        <v>343.77208530767069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2.2737367544323206E-13</v>
      </c>
      <c r="EK191" s="18">
        <f>EJ191*VLOOKUP('Données projet'!$B$15,Paramètres!$A$1:$I$89,3,0)*VLOOKUP('Données projet'!$B$15,Paramètres!$A$1:$I$89,5,0)</f>
        <v>2.0572770154103635E-13</v>
      </c>
      <c r="EL191" s="14">
        <f t="shared" si="179"/>
        <v>2.8416956338469711E-12</v>
      </c>
      <c r="EM191" s="22">
        <f t="shared" si="180"/>
        <v>5.3075956424674458E-12</v>
      </c>
      <c r="EN191" s="62">
        <f t="shared" si="128"/>
        <v>293.3333333333386</v>
      </c>
      <c r="EO191" s="62">
        <f ca="1">AVERAGE(OFFSET($EN$3,0,0,'Données projet'!$E$15+1,1))-AVERAGE(OFFSET($H$3,0,0,'Données projet'!$E$15+1,1))</f>
        <v>436.23918637269577</v>
      </c>
      <c r="EP191" s="62">
        <f t="shared" si="154"/>
        <v>611.43967996341894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0.20568409521726519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0.20568409521726519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1.9895196601282805E-13</v>
      </c>
      <c r="FF191" s="18">
        <f>FE191*VLOOKUP('Données projet'!$B$16,Paramètres!$A$1:$I$89,3,0)*VLOOKUP('Données projet'!$B$16,Paramètres!$A$1:$I$89,5,0)</f>
        <v>1.738044375088066E-13</v>
      </c>
      <c r="FG191" s="14">
        <f t="shared" si="182"/>
        <v>2.4483293633950478E-12</v>
      </c>
      <c r="FH191" s="22">
        <f t="shared" si="183"/>
        <v>4.566883036574213E-12</v>
      </c>
      <c r="FI191" s="62">
        <f t="shared" si="131"/>
        <v>293.33333333333786</v>
      </c>
      <c r="FJ191" s="62">
        <f ca="1">AVERAGE(OFFSET($FI$3,0,0,'Données projet'!$E$16+1,1))-AVERAGE(OFFSET($H$3,0,0,'Données projet'!$E$16+1,1))</f>
        <v>321.23599968992932</v>
      </c>
      <c r="FK191" s="62">
        <f t="shared" si="156"/>
        <v>388.05195847800502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6.3550942286383367E-14</v>
      </c>
      <c r="P192" s="14">
        <f t="shared" si="141"/>
        <v>1.0064464192543978E-12</v>
      </c>
      <c r="Q192" s="22">
        <f t="shared" si="162"/>
        <v>1.8635787380168604E-12</v>
      </c>
      <c r="R192" s="62">
        <f t="shared" si="109"/>
        <v>293.33333333333519</v>
      </c>
      <c r="S192" s="62">
        <f ca="1">AVERAGE(OFFSET($R$3,0,0,'Données projet'!$E$9+1,1))-AVERAGE(OFFSET($H$3,0,0,'Données projet'!$E$9+1,1))</f>
        <v>389.06620927245814</v>
      </c>
      <c r="T192" s="62">
        <f t="shared" si="142"/>
        <v>356.08144160383193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0.37751277648183323</v>
      </c>
      <c r="AB192" s="23">
        <f>EXP(-LN(2)/2)*AB191+(1-EXP(-LN(2)/2))/(LN(2)/2)*V192*Y192*VLOOKUP('Données projet'!$B$9,Paramètres!$A$1:$I$89,3,0)*0.475*44/12</f>
        <v>6.0623654137625391E-24</v>
      </c>
      <c r="AC192" s="24">
        <f t="shared" si="163"/>
        <v>0.37751277648183323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-3.1036506698001178E-14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293.73480285950245</v>
      </c>
      <c r="AO192" s="62">
        <f t="shared" si="144"/>
        <v>425.99823184414191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0.25723086332925021</v>
      </c>
      <c r="AW192" s="23">
        <f>EXP(-LN(2)/2)*AW191+(1-EXP(-LN(2)/2))/(LN(2)/2)*AQ192*AT192*VLOOKUP('Données projet'!$B$10,Paramètres!$A$1:$I$89,3,0)*0.475*44/12</f>
        <v>2.2612305269815919E-23</v>
      </c>
      <c r="AX192" s="23">
        <f t="shared" si="166"/>
        <v>0.25723086332925021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-5.1431925385259088E-14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438.70522838726322</v>
      </c>
      <c r="BJ192" s="62">
        <f t="shared" si="146"/>
        <v>278.21741231699929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-5.4978954722173515E-14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466.10838191274445</v>
      </c>
      <c r="CE192" s="62">
        <f t="shared" si="148"/>
        <v>294.45557293177131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-3.4106051316484809E-13</v>
      </c>
      <c r="CU192" s="18">
        <f>CT192*VLOOKUP('Données projet'!$B$13,Paramètres!$A$1:$I$89,3,0)*VLOOKUP('Données projet'!$B$13,Paramètres!$A$1:$I$89,5,0)</f>
        <v>-2.5006556825246659E-13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376.5422416541544</v>
      </c>
      <c r="CZ192" s="62">
        <f t="shared" si="150"/>
        <v>365.76175372075869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-2.8421709430404007E-13</v>
      </c>
      <c r="DP192" s="18">
        <f>DO192*VLOOKUP('Données projet'!$B$14,Paramètres!$A$1:$I$89,3,0)*VLOOKUP('Données projet'!$B$14,Paramètres!$A$1:$I$89,5,0)</f>
        <v>-2.2612312022829427E-13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352.5736659365665</v>
      </c>
      <c r="DU192" s="62">
        <f t="shared" si="152"/>
        <v>343.77208530767069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2.2737367544323206E-13</v>
      </c>
      <c r="EK192" s="18">
        <f>EJ192*VLOOKUP('Données projet'!$B$15,Paramètres!$A$1:$I$89,3,0)*VLOOKUP('Données projet'!$B$15,Paramètres!$A$1:$I$89,5,0)</f>
        <v>2.0572770154103635E-13</v>
      </c>
      <c r="EL192" s="14">
        <f t="shared" si="179"/>
        <v>2.8416956338469711E-12</v>
      </c>
      <c r="EM192" s="22">
        <f t="shared" si="180"/>
        <v>5.3075956424674458E-12</v>
      </c>
      <c r="EN192" s="62">
        <f t="shared" si="128"/>
        <v>293.3333333333386</v>
      </c>
      <c r="EO192" s="62">
        <f ca="1">AVERAGE(OFFSET($EN$3,0,0,'Données projet'!$E$15+1,1))-AVERAGE(OFFSET($H$3,0,0,'Données projet'!$E$15+1,1))</f>
        <v>436.23918637269577</v>
      </c>
      <c r="EP192" s="62">
        <f t="shared" si="154"/>
        <v>611.43967996341894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0.20165075556496506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0.20165075556496506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1.9895196601282805E-13</v>
      </c>
      <c r="FF192" s="18">
        <f>FE192*VLOOKUP('Données projet'!$B$16,Paramètres!$A$1:$I$89,3,0)*VLOOKUP('Données projet'!$B$16,Paramètres!$A$1:$I$89,5,0)</f>
        <v>1.738044375088066E-13</v>
      </c>
      <c r="FG192" s="14">
        <f t="shared" si="182"/>
        <v>2.4483293633950478E-12</v>
      </c>
      <c r="FH192" s="22">
        <f t="shared" si="183"/>
        <v>4.566883036574213E-12</v>
      </c>
      <c r="FI192" s="62">
        <f t="shared" si="131"/>
        <v>293.33333333333786</v>
      </c>
      <c r="FJ192" s="62">
        <f ca="1">AVERAGE(OFFSET($FI$3,0,0,'Données projet'!$E$16+1,1))-AVERAGE(OFFSET($H$3,0,0,'Données projet'!$E$16+1,1))</f>
        <v>321.23599968992932</v>
      </c>
      <c r="FK192" s="62">
        <f t="shared" si="156"/>
        <v>388.05195847800502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6.3550942286383367E-14</v>
      </c>
      <c r="P193" s="14">
        <f t="shared" si="141"/>
        <v>1.0064464192543978E-12</v>
      </c>
      <c r="Q193" s="22">
        <f t="shared" si="162"/>
        <v>1.8635787380168604E-12</v>
      </c>
      <c r="R193" s="62">
        <f t="shared" si="109"/>
        <v>293.33333333333519</v>
      </c>
      <c r="S193" s="62">
        <f ca="1">AVERAGE(OFFSET($R$3,0,0,'Données projet'!$E$9+1,1))-AVERAGE(OFFSET($H$3,0,0,'Données projet'!$E$9+1,1))</f>
        <v>389.06620927245814</v>
      </c>
      <c r="T193" s="62">
        <f t="shared" si="142"/>
        <v>356.08144160383193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0.36718966975640338</v>
      </c>
      <c r="AB193" s="23">
        <f>EXP(-LN(2)/2)*AB192+(1-EXP(-LN(2)/2))/(LN(2)/2)*V193*Y193*VLOOKUP('Données projet'!$B$9,Paramètres!$A$1:$I$89,3,0)*0.475*44/12</f>
        <v>4.2867396941022813E-24</v>
      </c>
      <c r="AC193" s="24">
        <f t="shared" si="163"/>
        <v>0.36718966975640338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-3.1036506698001178E-14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293.73480285950245</v>
      </c>
      <c r="AO193" s="62">
        <f t="shared" si="144"/>
        <v>425.99823184414191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0.25019687184432865</v>
      </c>
      <c r="AW193" s="23">
        <f>EXP(-LN(2)/2)*AW192+(1-EXP(-LN(2)/2))/(LN(2)/2)*AQ193*AT193*VLOOKUP('Données projet'!$B$10,Paramètres!$A$1:$I$89,3,0)*0.475*44/12</f>
        <v>1.598931439454714E-23</v>
      </c>
      <c r="AX193" s="23">
        <f t="shared" si="166"/>
        <v>0.25019687184432865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-5.1431925385259088E-14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438.70522838726322</v>
      </c>
      <c r="BJ193" s="62">
        <f t="shared" si="146"/>
        <v>278.21741231699929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-5.4978954722173515E-14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466.10838191274445</v>
      </c>
      <c r="CE193" s="62">
        <f t="shared" si="148"/>
        <v>294.45557293177131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-3.4106051316484809E-13</v>
      </c>
      <c r="CU193" s="18">
        <f>CT193*VLOOKUP('Données projet'!$B$13,Paramètres!$A$1:$I$89,3,0)*VLOOKUP('Données projet'!$B$13,Paramètres!$A$1:$I$89,5,0)</f>
        <v>-2.5006556825246659E-13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376.5422416541544</v>
      </c>
      <c r="CZ193" s="62">
        <f t="shared" si="150"/>
        <v>365.76175372075869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-2.8421709430404007E-13</v>
      </c>
      <c r="DP193" s="18">
        <f>DO193*VLOOKUP('Données projet'!$B$14,Paramètres!$A$1:$I$89,3,0)*VLOOKUP('Données projet'!$B$14,Paramètres!$A$1:$I$89,5,0)</f>
        <v>-2.2612312022829427E-13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352.5736659365665</v>
      </c>
      <c r="DU193" s="62">
        <f t="shared" si="152"/>
        <v>343.77208530767069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2.2737367544323206E-13</v>
      </c>
      <c r="EK193" s="18">
        <f>EJ193*VLOOKUP('Données projet'!$B$15,Paramètres!$A$1:$I$89,3,0)*VLOOKUP('Données projet'!$B$15,Paramètres!$A$1:$I$89,5,0)</f>
        <v>2.0572770154103635E-13</v>
      </c>
      <c r="EL193" s="14">
        <f t="shared" si="179"/>
        <v>2.8416956338469711E-12</v>
      </c>
      <c r="EM193" s="22">
        <f t="shared" si="180"/>
        <v>5.3075956424674458E-12</v>
      </c>
      <c r="EN193" s="62">
        <f t="shared" si="128"/>
        <v>293.3333333333386</v>
      </c>
      <c r="EO193" s="62">
        <f ca="1">AVERAGE(OFFSET($EN$3,0,0,'Données projet'!$E$15+1,1))-AVERAGE(OFFSET($H$3,0,0,'Données projet'!$E$15+1,1))</f>
        <v>436.23918637269577</v>
      </c>
      <c r="EP193" s="62">
        <f t="shared" si="154"/>
        <v>611.43967996341894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0.19769650724315227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0.19769650724315227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1.9895196601282805E-13</v>
      </c>
      <c r="FF193" s="18">
        <f>FE193*VLOOKUP('Données projet'!$B$16,Paramètres!$A$1:$I$89,3,0)*VLOOKUP('Données projet'!$B$16,Paramètres!$A$1:$I$89,5,0)</f>
        <v>1.738044375088066E-13</v>
      </c>
      <c r="FG193" s="14">
        <f t="shared" si="182"/>
        <v>2.4483293633950478E-12</v>
      </c>
      <c r="FH193" s="22">
        <f t="shared" si="183"/>
        <v>4.566883036574213E-12</v>
      </c>
      <c r="FI193" s="62">
        <f t="shared" si="131"/>
        <v>293.33333333333786</v>
      </c>
      <c r="FJ193" s="62">
        <f ca="1">AVERAGE(OFFSET($FI$3,0,0,'Données projet'!$E$16+1,1))-AVERAGE(OFFSET($H$3,0,0,'Données projet'!$E$16+1,1))</f>
        <v>321.23599968992932</v>
      </c>
      <c r="FK193" s="62">
        <f t="shared" si="156"/>
        <v>388.05195847800502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6.3550942286383367E-14</v>
      </c>
      <c r="P194" s="14">
        <f t="shared" si="141"/>
        <v>1.0064464192543978E-12</v>
      </c>
      <c r="Q194" s="22">
        <f t="shared" si="162"/>
        <v>1.8635787380168604E-12</v>
      </c>
      <c r="R194" s="62">
        <f t="shared" si="109"/>
        <v>293.33333333333519</v>
      </c>
      <c r="S194" s="62">
        <f ca="1">AVERAGE(OFFSET($R$3,0,0,'Données projet'!$E$9+1,1))-AVERAGE(OFFSET($H$3,0,0,'Données projet'!$E$9+1,1))</f>
        <v>389.06620927245814</v>
      </c>
      <c r="T194" s="62">
        <f t="shared" si="142"/>
        <v>356.08144160383193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0.35714884892724902</v>
      </c>
      <c r="AB194" s="23">
        <f>EXP(-LN(2)/2)*AB193+(1-EXP(-LN(2)/2))/(LN(2)/2)*V194*Y194*VLOOKUP('Données projet'!$B$9,Paramètres!$A$1:$I$89,3,0)*0.475*44/12</f>
        <v>3.0311827068812695E-24</v>
      </c>
      <c r="AC194" s="24">
        <f t="shared" si="163"/>
        <v>0.35714884892724902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-3.1036506698001178E-14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293.73480285950245</v>
      </c>
      <c r="AO194" s="62">
        <f t="shared" si="144"/>
        <v>425.99823184414191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0.24335522522646383</v>
      </c>
      <c r="AW194" s="23">
        <f>EXP(-LN(2)/2)*AW193+(1-EXP(-LN(2)/2))/(LN(2)/2)*AQ194*AT194*VLOOKUP('Données projet'!$B$10,Paramètres!$A$1:$I$89,3,0)*0.475*44/12</f>
        <v>1.130615263490796E-23</v>
      </c>
      <c r="AX194" s="23">
        <f t="shared" si="166"/>
        <v>0.24335522522646383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-5.1431925385259088E-14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438.70522838726322</v>
      </c>
      <c r="BJ194" s="62">
        <f t="shared" si="146"/>
        <v>278.21741231699929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-5.4978954722173515E-14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466.10838191274445</v>
      </c>
      <c r="CE194" s="62">
        <f t="shared" si="148"/>
        <v>294.45557293177131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-3.4106051316484809E-13</v>
      </c>
      <c r="CU194" s="18">
        <f>CT194*VLOOKUP('Données projet'!$B$13,Paramètres!$A$1:$I$89,3,0)*VLOOKUP('Données projet'!$B$13,Paramètres!$A$1:$I$89,5,0)</f>
        <v>-2.5006556825246659E-13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376.5422416541544</v>
      </c>
      <c r="CZ194" s="62">
        <f t="shared" si="150"/>
        <v>365.76175372075869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-2.8421709430404007E-13</v>
      </c>
      <c r="DP194" s="18">
        <f>DO194*VLOOKUP('Données projet'!$B$14,Paramètres!$A$1:$I$89,3,0)*VLOOKUP('Données projet'!$B$14,Paramètres!$A$1:$I$89,5,0)</f>
        <v>-2.2612312022829427E-13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352.5736659365665</v>
      </c>
      <c r="DU194" s="62">
        <f t="shared" si="152"/>
        <v>343.77208530767069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2.2737367544323206E-13</v>
      </c>
      <c r="EK194" s="18">
        <f>EJ194*VLOOKUP('Données projet'!$B$15,Paramètres!$A$1:$I$89,3,0)*VLOOKUP('Données projet'!$B$15,Paramètres!$A$1:$I$89,5,0)</f>
        <v>2.0572770154103635E-13</v>
      </c>
      <c r="EL194" s="14">
        <f t="shared" si="179"/>
        <v>2.8416956338469711E-12</v>
      </c>
      <c r="EM194" s="22">
        <f t="shared" si="180"/>
        <v>5.3075956424674458E-12</v>
      </c>
      <c r="EN194" s="62">
        <f t="shared" si="128"/>
        <v>293.3333333333386</v>
      </c>
      <c r="EO194" s="62">
        <f ca="1">AVERAGE(OFFSET($EN$3,0,0,'Données projet'!$E$15+1,1))-AVERAGE(OFFSET($H$3,0,0,'Données projet'!$E$15+1,1))</f>
        <v>436.23918637269577</v>
      </c>
      <c r="EP194" s="62">
        <f t="shared" si="154"/>
        <v>611.43967996341894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0.19381979931907689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0.19381979931907689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1.9895196601282805E-13</v>
      </c>
      <c r="FF194" s="18">
        <f>FE194*VLOOKUP('Données projet'!$B$16,Paramètres!$A$1:$I$89,3,0)*VLOOKUP('Données projet'!$B$16,Paramètres!$A$1:$I$89,5,0)</f>
        <v>1.738044375088066E-13</v>
      </c>
      <c r="FG194" s="14">
        <f t="shared" si="182"/>
        <v>2.4483293633950478E-12</v>
      </c>
      <c r="FH194" s="22">
        <f t="shared" si="183"/>
        <v>4.566883036574213E-12</v>
      </c>
      <c r="FI194" s="62">
        <f t="shared" si="131"/>
        <v>293.33333333333786</v>
      </c>
      <c r="FJ194" s="62">
        <f ca="1">AVERAGE(OFFSET($FI$3,0,0,'Données projet'!$E$16+1,1))-AVERAGE(OFFSET($H$3,0,0,'Données projet'!$E$16+1,1))</f>
        <v>321.23599968992932</v>
      </c>
      <c r="FK194" s="62">
        <f t="shared" si="156"/>
        <v>388.05195847800502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6.3550942286383367E-14</v>
      </c>
      <c r="P195" s="14">
        <f t="shared" si="141"/>
        <v>1.0064464192543978E-12</v>
      </c>
      <c r="Q195" s="22">
        <f t="shared" si="162"/>
        <v>1.8635787380168604E-12</v>
      </c>
      <c r="R195" s="62">
        <f t="shared" ref="R195:R203" si="191">Q195+(I195+J195)*44/12</f>
        <v>293.33333333333519</v>
      </c>
      <c r="S195" s="62">
        <f ca="1">AVERAGE(OFFSET($R$3,0,0,'Données projet'!$E$9+1,1))-AVERAGE(OFFSET($H$3,0,0,'Données projet'!$E$9+1,1))</f>
        <v>389.06620927245814</v>
      </c>
      <c r="T195" s="62">
        <f t="shared" si="142"/>
        <v>356.08144160383193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0.34738259487169171</v>
      </c>
      <c r="AB195" s="23">
        <f>EXP(-LN(2)/2)*AB194+(1-EXP(-LN(2)/2))/(LN(2)/2)*V195*Y195*VLOOKUP('Données projet'!$B$9,Paramètres!$A$1:$I$89,3,0)*0.475*44/12</f>
        <v>2.1433698470511407E-24</v>
      </c>
      <c r="AC195" s="24">
        <f t="shared" si="163"/>
        <v>0.34738259487169171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-3.1036506698001178E-14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293.73480285950245</v>
      </c>
      <c r="AO195" s="62">
        <f t="shared" si="144"/>
        <v>425.99823184414191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0.23670066379515109</v>
      </c>
      <c r="AW195" s="23">
        <f>EXP(-LN(2)/2)*AW194+(1-EXP(-LN(2)/2))/(LN(2)/2)*AQ195*AT195*VLOOKUP('Données projet'!$B$10,Paramètres!$A$1:$I$89,3,0)*0.475*44/12</f>
        <v>7.9946571972735701E-24</v>
      </c>
      <c r="AX195" s="23">
        <f t="shared" si="166"/>
        <v>0.23670066379515109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-5.1431925385259088E-14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438.70522838726322</v>
      </c>
      <c r="BJ195" s="62">
        <f t="shared" si="146"/>
        <v>278.21741231699929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-5.4978954722173515E-14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466.10838191274445</v>
      </c>
      <c r="CE195" s="62">
        <f t="shared" si="148"/>
        <v>294.45557293177131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-3.4106051316484809E-13</v>
      </c>
      <c r="CU195" s="18">
        <f>CT195*VLOOKUP('Données projet'!$B$13,Paramètres!$A$1:$I$89,3,0)*VLOOKUP('Données projet'!$B$13,Paramètres!$A$1:$I$89,5,0)</f>
        <v>-2.5006556825246659E-13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376.5422416541544</v>
      </c>
      <c r="CZ195" s="62">
        <f t="shared" si="150"/>
        <v>365.76175372075869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-2.8421709430404007E-13</v>
      </c>
      <c r="DP195" s="18">
        <f>DO195*VLOOKUP('Données projet'!$B$14,Paramètres!$A$1:$I$89,3,0)*VLOOKUP('Données projet'!$B$14,Paramètres!$A$1:$I$89,5,0)</f>
        <v>-2.2612312022829427E-13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352.5736659365665</v>
      </c>
      <c r="DU195" s="62">
        <f t="shared" si="152"/>
        <v>343.77208530767069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2.2737367544323206E-13</v>
      </c>
      <c r="EK195" s="18">
        <f>EJ195*VLOOKUP('Données projet'!$B$15,Paramètres!$A$1:$I$89,3,0)*VLOOKUP('Données projet'!$B$15,Paramètres!$A$1:$I$89,5,0)</f>
        <v>2.0572770154103635E-13</v>
      </c>
      <c r="EL195" s="14">
        <f t="shared" si="179"/>
        <v>2.8416956338469711E-12</v>
      </c>
      <c r="EM195" s="22">
        <f t="shared" si="180"/>
        <v>5.3075956424674458E-12</v>
      </c>
      <c r="EN195" s="62">
        <f t="shared" si="128"/>
        <v>293.3333333333386</v>
      </c>
      <c r="EO195" s="62">
        <f ca="1">AVERAGE(OFFSET($EN$3,0,0,'Données projet'!$E$15+1,1))-AVERAGE(OFFSET($H$3,0,0,'Données projet'!$E$15+1,1))</f>
        <v>436.23918637269577</v>
      </c>
      <c r="EP195" s="62">
        <f t="shared" si="154"/>
        <v>611.43967996341894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0.19001911127283427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0.19001911127283427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1.9895196601282805E-13</v>
      </c>
      <c r="FF195" s="18">
        <f>FE195*VLOOKUP('Données projet'!$B$16,Paramètres!$A$1:$I$89,3,0)*VLOOKUP('Données projet'!$B$16,Paramètres!$A$1:$I$89,5,0)</f>
        <v>1.738044375088066E-13</v>
      </c>
      <c r="FG195" s="14">
        <f t="shared" si="182"/>
        <v>2.4483293633950478E-12</v>
      </c>
      <c r="FH195" s="22">
        <f t="shared" si="183"/>
        <v>4.566883036574213E-12</v>
      </c>
      <c r="FI195" s="62">
        <f t="shared" si="131"/>
        <v>293.33333333333786</v>
      </c>
      <c r="FJ195" s="62">
        <f ca="1">AVERAGE(OFFSET($FI$3,0,0,'Données projet'!$E$16+1,1))-AVERAGE(OFFSET($H$3,0,0,'Données projet'!$E$16+1,1))</f>
        <v>321.23599968992932</v>
      </c>
      <c r="FK195" s="62">
        <f t="shared" si="156"/>
        <v>388.05195847800502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6.3550942286383367E-14</v>
      </c>
      <c r="P196" s="14">
        <f t="shared" si="141"/>
        <v>1.0064464192543978E-12</v>
      </c>
      <c r="Q196" s="22">
        <f t="shared" si="162"/>
        <v>1.8635787380168604E-12</v>
      </c>
      <c r="R196" s="62">
        <f t="shared" si="191"/>
        <v>293.33333333333519</v>
      </c>
      <c r="S196" s="62">
        <f ca="1">AVERAGE(OFFSET($R$3,0,0,'Données projet'!$E$9+1,1))-AVERAGE(OFFSET($H$3,0,0,'Données projet'!$E$9+1,1))</f>
        <v>389.06620927245814</v>
      </c>
      <c r="T196" s="62">
        <f t="shared" si="142"/>
        <v>356.08144160383193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0.33788339954686858</v>
      </c>
      <c r="AB196" s="23">
        <f>EXP(-LN(2)/2)*AB195+(1-EXP(-LN(2)/2))/(LN(2)/2)*V196*Y196*VLOOKUP('Données projet'!$B$9,Paramètres!$A$1:$I$89,3,0)*0.475*44/12</f>
        <v>1.5155913534406348E-24</v>
      </c>
      <c r="AC196" s="24">
        <f t="shared" si="163"/>
        <v>0.33788339954686858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-3.1036506698001178E-14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293.73480285950245</v>
      </c>
      <c r="AO196" s="62">
        <f t="shared" si="144"/>
        <v>425.99823184414191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0.23022807169612577</v>
      </c>
      <c r="AW196" s="23">
        <f>EXP(-LN(2)/2)*AW195+(1-EXP(-LN(2)/2))/(LN(2)/2)*AQ196*AT196*VLOOKUP('Données projet'!$B$10,Paramètres!$A$1:$I$89,3,0)*0.475*44/12</f>
        <v>5.6530763174539798E-24</v>
      </c>
      <c r="AX196" s="23">
        <f t="shared" si="166"/>
        <v>0.23022807169612577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-5.1431925385259088E-14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438.70522838726322</v>
      </c>
      <c r="BJ196" s="62">
        <f t="shared" si="146"/>
        <v>278.21741231699929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-5.4978954722173515E-14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466.10838191274445</v>
      </c>
      <c r="CE196" s="62">
        <f t="shared" si="148"/>
        <v>294.45557293177131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-3.4106051316484809E-13</v>
      </c>
      <c r="CU196" s="18">
        <f>CT196*VLOOKUP('Données projet'!$B$13,Paramètres!$A$1:$I$89,3,0)*VLOOKUP('Données projet'!$B$13,Paramètres!$A$1:$I$89,5,0)</f>
        <v>-2.5006556825246659E-13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376.5422416541544</v>
      </c>
      <c r="CZ196" s="62">
        <f t="shared" si="150"/>
        <v>365.76175372075869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-2.8421709430404007E-13</v>
      </c>
      <c r="DP196" s="18">
        <f>DO196*VLOOKUP('Données projet'!$B$14,Paramètres!$A$1:$I$89,3,0)*VLOOKUP('Données projet'!$B$14,Paramètres!$A$1:$I$89,5,0)</f>
        <v>-2.2612312022829427E-13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352.5736659365665</v>
      </c>
      <c r="DU196" s="62">
        <f t="shared" si="152"/>
        <v>343.77208530767069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2.2737367544323206E-13</v>
      </c>
      <c r="EK196" s="18">
        <f>EJ196*VLOOKUP('Données projet'!$B$15,Paramètres!$A$1:$I$89,3,0)*VLOOKUP('Données projet'!$B$15,Paramètres!$A$1:$I$89,5,0)</f>
        <v>2.0572770154103635E-13</v>
      </c>
      <c r="EL196" s="14">
        <f t="shared" si="179"/>
        <v>2.8416956338469711E-12</v>
      </c>
      <c r="EM196" s="22">
        <f t="shared" si="180"/>
        <v>5.3075956424674458E-12</v>
      </c>
      <c r="EN196" s="62">
        <f t="shared" ref="EN196:EN203" si="198">EM196+(EE196+EF196)*44/12</f>
        <v>293.3333333333386</v>
      </c>
      <c r="EO196" s="62">
        <f ca="1">AVERAGE(OFFSET($EN$3,0,0,'Données projet'!$E$15+1,1))-AVERAGE(OFFSET($H$3,0,0,'Données projet'!$E$15+1,1))</f>
        <v>436.23918637269577</v>
      </c>
      <c r="EP196" s="62">
        <f t="shared" si="154"/>
        <v>611.43967996341894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0.18629295240098767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0.18629295240098767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1.9895196601282805E-13</v>
      </c>
      <c r="FF196" s="18">
        <f>FE196*VLOOKUP('Données projet'!$B$16,Paramètres!$A$1:$I$89,3,0)*VLOOKUP('Données projet'!$B$16,Paramètres!$A$1:$I$89,5,0)</f>
        <v>1.738044375088066E-13</v>
      </c>
      <c r="FG196" s="14">
        <f t="shared" si="182"/>
        <v>2.4483293633950478E-12</v>
      </c>
      <c r="FH196" s="22">
        <f t="shared" si="183"/>
        <v>4.566883036574213E-12</v>
      </c>
      <c r="FI196" s="62">
        <f t="shared" ref="FI196:FI203" si="199">FH196+(EZ196+FA196)*44/12</f>
        <v>293.33333333333786</v>
      </c>
      <c r="FJ196" s="62">
        <f ca="1">AVERAGE(OFFSET($FI$3,0,0,'Données projet'!$E$16+1,1))-AVERAGE(OFFSET($H$3,0,0,'Données projet'!$E$16+1,1))</f>
        <v>321.23599968992932</v>
      </c>
      <c r="FK196" s="62">
        <f t="shared" si="156"/>
        <v>388.05195847800502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6.3550942286383367E-14</v>
      </c>
      <c r="P197" s="14">
        <f t="shared" ref="P197:P203" si="203">EXP(-1.0587+0.8836*LN(O197)+0.284)</f>
        <v>1.0064464192543978E-12</v>
      </c>
      <c r="Q197" s="22">
        <f t="shared" si="162"/>
        <v>1.8635787380168604E-12</v>
      </c>
      <c r="R197" s="62">
        <f t="shared" si="191"/>
        <v>293.33333333333519</v>
      </c>
      <c r="S197" s="62">
        <f ca="1">AVERAGE(OFFSET($R$3,0,0,'Données projet'!$E$9+1,1))-AVERAGE(OFFSET($H$3,0,0,'Données projet'!$E$9+1,1))</f>
        <v>389.06620927245814</v>
      </c>
      <c r="T197" s="62">
        <f t="shared" ref="T197:T203" si="204">$T$3</f>
        <v>356.08144160383193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0.32864396021774372</v>
      </c>
      <c r="AB197" s="23">
        <f>EXP(-LN(2)/2)*AB196+(1-EXP(-LN(2)/2))/(LN(2)/2)*V197*Y197*VLOOKUP('Données projet'!$B$9,Paramètres!$A$1:$I$89,3,0)*0.475*44/12</f>
        <v>1.0716849235255703E-24</v>
      </c>
      <c r="AC197" s="24">
        <f t="shared" si="163"/>
        <v>0.32864396021774372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-3.1036506698001178E-14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293.73480285950245</v>
      </c>
      <c r="AO197" s="62">
        <f t="shared" ref="AO197:AO203" si="205">$AO$3</f>
        <v>425.99823184414191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0.22393247296842711</v>
      </c>
      <c r="AW197" s="23">
        <f>EXP(-LN(2)/2)*AW196+(1-EXP(-LN(2)/2))/(LN(2)/2)*AQ197*AT197*VLOOKUP('Données projet'!$B$10,Paramètres!$A$1:$I$89,3,0)*0.475*44/12</f>
        <v>3.9973285986367851E-24</v>
      </c>
      <c r="AX197" s="23">
        <f t="shared" si="166"/>
        <v>0.22393247296842711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-5.1431925385259088E-14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438.70522838726322</v>
      </c>
      <c r="BJ197" s="62">
        <f t="shared" ref="BJ197:BJ203" si="206">$BJ$3</f>
        <v>278.21741231699929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-5.4978954722173515E-14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466.10838191274445</v>
      </c>
      <c r="CE197" s="62">
        <f t="shared" ref="CE197:CE203" si="207">$CE$3</f>
        <v>294.45557293177131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-3.4106051316484809E-13</v>
      </c>
      <c r="CU197" s="18">
        <f>CT197*VLOOKUP('Données projet'!$B$13,Paramètres!$A$1:$I$89,3,0)*VLOOKUP('Données projet'!$B$13,Paramètres!$A$1:$I$89,5,0)</f>
        <v>-2.5006556825246659E-13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376.5422416541544</v>
      </c>
      <c r="CZ197" s="62">
        <f t="shared" ref="CZ197:CZ203" si="208">$CZ$3</f>
        <v>365.76175372075869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-2.8421709430404007E-13</v>
      </c>
      <c r="DP197" s="18">
        <f>DO197*VLOOKUP('Données projet'!$B$14,Paramètres!$A$1:$I$89,3,0)*VLOOKUP('Données projet'!$B$14,Paramètres!$A$1:$I$89,5,0)</f>
        <v>-2.2612312022829427E-13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352.5736659365665</v>
      </c>
      <c r="DU197" s="62">
        <f t="shared" ref="DU197:DU203" si="209">$DU$3</f>
        <v>343.77208530767069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2.2737367544323206E-13</v>
      </c>
      <c r="EK197" s="18">
        <f>EJ197*VLOOKUP('Données projet'!$B$15,Paramètres!$A$1:$I$89,3,0)*VLOOKUP('Données projet'!$B$15,Paramètres!$A$1:$I$89,5,0)</f>
        <v>2.0572770154103635E-13</v>
      </c>
      <c r="EL197" s="14">
        <f t="shared" si="179"/>
        <v>2.8416956338469711E-12</v>
      </c>
      <c r="EM197" s="22">
        <f t="shared" si="180"/>
        <v>5.3075956424674458E-12</v>
      </c>
      <c r="EN197" s="62">
        <f t="shared" si="198"/>
        <v>293.3333333333386</v>
      </c>
      <c r="EO197" s="62">
        <f ca="1">AVERAGE(OFFSET($EN$3,0,0,'Données projet'!$E$15+1,1))-AVERAGE(OFFSET($H$3,0,0,'Données projet'!$E$15+1,1))</f>
        <v>436.23918637269577</v>
      </c>
      <c r="EP197" s="62">
        <f t="shared" ref="EP197:EP203" si="210">$EP$3</f>
        <v>611.43967996341894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0.1826398612318855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0.1826398612318855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1.9895196601282805E-13</v>
      </c>
      <c r="FF197" s="18">
        <f>FE197*VLOOKUP('Données projet'!$B$16,Paramètres!$A$1:$I$89,3,0)*VLOOKUP('Données projet'!$B$16,Paramètres!$A$1:$I$89,5,0)</f>
        <v>1.738044375088066E-13</v>
      </c>
      <c r="FG197" s="14">
        <f t="shared" si="182"/>
        <v>2.4483293633950478E-12</v>
      </c>
      <c r="FH197" s="22">
        <f t="shared" si="183"/>
        <v>4.566883036574213E-12</v>
      </c>
      <c r="FI197" s="62">
        <f t="shared" si="199"/>
        <v>293.33333333333786</v>
      </c>
      <c r="FJ197" s="62">
        <f ca="1">AVERAGE(OFFSET($FI$3,0,0,'Données projet'!$E$16+1,1))-AVERAGE(OFFSET($H$3,0,0,'Données projet'!$E$16+1,1))</f>
        <v>321.23599968992932</v>
      </c>
      <c r="FK197" s="62">
        <f t="shared" ref="FK197:FK203" si="211">$FK$3</f>
        <v>388.05195847800502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6.3550942286383367E-14</v>
      </c>
      <c r="P198" s="14">
        <f t="shared" si="203"/>
        <v>1.0064464192543978E-12</v>
      </c>
      <c r="Q198" s="22">
        <f t="shared" si="162"/>
        <v>1.8635787380168604E-12</v>
      </c>
      <c r="R198" s="62">
        <f t="shared" si="191"/>
        <v>293.33333333333519</v>
      </c>
      <c r="S198" s="62">
        <f ca="1">AVERAGE(OFFSET($R$3,0,0,'Données projet'!$E$9+1,1))-AVERAGE(OFFSET($H$3,0,0,'Données projet'!$E$9+1,1))</f>
        <v>389.06620927245814</v>
      </c>
      <c r="T198" s="62">
        <f t="shared" si="204"/>
        <v>356.08144160383193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0.31965717384295478</v>
      </c>
      <c r="AB198" s="23">
        <f>EXP(-LN(2)/2)*AB197+(1-EXP(-LN(2)/2))/(LN(2)/2)*V198*Y198*VLOOKUP('Données projet'!$B$9,Paramètres!$A$1:$I$89,3,0)*0.475*44/12</f>
        <v>7.5779567672031739E-25</v>
      </c>
      <c r="AC198" s="24">
        <f t="shared" si="163"/>
        <v>0.31965717384295478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-3.1036506698001178E-14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293.73480285950245</v>
      </c>
      <c r="AO198" s="62">
        <f t="shared" si="205"/>
        <v>425.99823184414191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0.21780902771900854</v>
      </c>
      <c r="AW198" s="23">
        <f>EXP(-LN(2)/2)*AW197+(1-EXP(-LN(2)/2))/(LN(2)/2)*AQ198*AT198*VLOOKUP('Données projet'!$B$10,Paramètres!$A$1:$I$89,3,0)*0.475*44/12</f>
        <v>2.8265381587269899E-24</v>
      </c>
      <c r="AX198" s="23">
        <f t="shared" si="166"/>
        <v>0.21780902771900854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-5.1431925385259088E-14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438.70522838726322</v>
      </c>
      <c r="BJ198" s="62">
        <f t="shared" si="206"/>
        <v>278.21741231699929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-5.4978954722173515E-14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466.10838191274445</v>
      </c>
      <c r="CE198" s="62">
        <f t="shared" si="207"/>
        <v>294.45557293177131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-3.4106051316484809E-13</v>
      </c>
      <c r="CU198" s="18">
        <f>CT198*VLOOKUP('Données projet'!$B$13,Paramètres!$A$1:$I$89,3,0)*VLOOKUP('Données projet'!$B$13,Paramètres!$A$1:$I$89,5,0)</f>
        <v>-2.5006556825246659E-13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376.5422416541544</v>
      </c>
      <c r="CZ198" s="62">
        <f t="shared" si="208"/>
        <v>365.76175372075869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-2.8421709430404007E-13</v>
      </c>
      <c r="DP198" s="18">
        <f>DO198*VLOOKUP('Données projet'!$B$14,Paramètres!$A$1:$I$89,3,0)*VLOOKUP('Données projet'!$B$14,Paramètres!$A$1:$I$89,5,0)</f>
        <v>-2.2612312022829427E-13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352.5736659365665</v>
      </c>
      <c r="DU198" s="62">
        <f t="shared" si="209"/>
        <v>343.77208530767069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2.2737367544323206E-13</v>
      </c>
      <c r="EK198" s="18">
        <f>EJ198*VLOOKUP('Données projet'!$B$15,Paramètres!$A$1:$I$89,3,0)*VLOOKUP('Données projet'!$B$15,Paramètres!$A$1:$I$89,5,0)</f>
        <v>2.0572770154103635E-13</v>
      </c>
      <c r="EL198" s="14">
        <f t="shared" si="179"/>
        <v>2.8416956338469711E-12</v>
      </c>
      <c r="EM198" s="22">
        <f t="shared" si="180"/>
        <v>5.3075956424674458E-12</v>
      </c>
      <c r="EN198" s="62">
        <f t="shared" si="198"/>
        <v>293.3333333333386</v>
      </c>
      <c r="EO198" s="62">
        <f ca="1">AVERAGE(OFFSET($EN$3,0,0,'Données projet'!$E$15+1,1))-AVERAGE(OFFSET($H$3,0,0,'Données projet'!$E$15+1,1))</f>
        <v>436.23918637269577</v>
      </c>
      <c r="EP198" s="62">
        <f t="shared" si="210"/>
        <v>611.43967996341894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0.17905840495244379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0.17905840495244379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1.9895196601282805E-13</v>
      </c>
      <c r="FF198" s="18">
        <f>FE198*VLOOKUP('Données projet'!$B$16,Paramètres!$A$1:$I$89,3,0)*VLOOKUP('Données projet'!$B$16,Paramètres!$A$1:$I$89,5,0)</f>
        <v>1.738044375088066E-13</v>
      </c>
      <c r="FG198" s="14">
        <f t="shared" si="182"/>
        <v>2.4483293633950478E-12</v>
      </c>
      <c r="FH198" s="22">
        <f t="shared" si="183"/>
        <v>4.566883036574213E-12</v>
      </c>
      <c r="FI198" s="62">
        <f t="shared" si="199"/>
        <v>293.33333333333786</v>
      </c>
      <c r="FJ198" s="62">
        <f ca="1">AVERAGE(OFFSET($FI$3,0,0,'Données projet'!$E$16+1,1))-AVERAGE(OFFSET($H$3,0,0,'Données projet'!$E$16+1,1))</f>
        <v>321.23599968992932</v>
      </c>
      <c r="FK198" s="62">
        <f t="shared" si="211"/>
        <v>388.05195847800502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6.3550942286383367E-14</v>
      </c>
      <c r="P199" s="14">
        <f t="shared" si="203"/>
        <v>1.0064464192543978E-12</v>
      </c>
      <c r="Q199" s="22">
        <f t="shared" si="162"/>
        <v>1.8635787380168604E-12</v>
      </c>
      <c r="R199" s="62">
        <f t="shared" si="191"/>
        <v>293.33333333333519</v>
      </c>
      <c r="S199" s="62">
        <f ca="1">AVERAGE(OFFSET($R$3,0,0,'Données projet'!$E$9+1,1))-AVERAGE(OFFSET($H$3,0,0,'Données projet'!$E$9+1,1))</f>
        <v>389.06620927245814</v>
      </c>
      <c r="T199" s="62">
        <f t="shared" si="204"/>
        <v>356.08144160383193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0.31091613161417897</v>
      </c>
      <c r="AB199" s="23">
        <f>EXP(-LN(2)/2)*AB198+(1-EXP(-LN(2)/2))/(LN(2)/2)*V199*Y199*VLOOKUP('Données projet'!$B$9,Paramètres!$A$1:$I$89,3,0)*0.475*44/12</f>
        <v>5.3584246176278516E-25</v>
      </c>
      <c r="AC199" s="24">
        <f t="shared" si="163"/>
        <v>0.31091613161417897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-3.1036506698001178E-14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293.73480285950245</v>
      </c>
      <c r="AO199" s="62">
        <f t="shared" si="205"/>
        <v>425.99823184414191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0.21185302840195328</v>
      </c>
      <c r="AW199" s="23">
        <f>EXP(-LN(2)/2)*AW198+(1-EXP(-LN(2)/2))/(LN(2)/2)*AQ199*AT199*VLOOKUP('Données projet'!$B$10,Paramètres!$A$1:$I$89,3,0)*0.475*44/12</f>
        <v>1.9986642993183925E-24</v>
      </c>
      <c r="AX199" s="23">
        <f t="shared" si="166"/>
        <v>0.21185302840195328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-5.1431925385259088E-14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438.70522838726322</v>
      </c>
      <c r="BJ199" s="62">
        <f t="shared" si="206"/>
        <v>278.21741231699929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-5.4978954722173515E-14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466.10838191274445</v>
      </c>
      <c r="CE199" s="62">
        <f t="shared" si="207"/>
        <v>294.45557293177131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-3.4106051316484809E-13</v>
      </c>
      <c r="CU199" s="18">
        <f>CT199*VLOOKUP('Données projet'!$B$13,Paramètres!$A$1:$I$89,3,0)*VLOOKUP('Données projet'!$B$13,Paramètres!$A$1:$I$89,5,0)</f>
        <v>-2.5006556825246659E-13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376.5422416541544</v>
      </c>
      <c r="CZ199" s="62">
        <f t="shared" si="208"/>
        <v>365.76175372075869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-2.8421709430404007E-13</v>
      </c>
      <c r="DP199" s="18">
        <f>DO199*VLOOKUP('Données projet'!$B$14,Paramètres!$A$1:$I$89,3,0)*VLOOKUP('Données projet'!$B$14,Paramètres!$A$1:$I$89,5,0)</f>
        <v>-2.2612312022829427E-13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352.5736659365665</v>
      </c>
      <c r="DU199" s="62">
        <f t="shared" si="209"/>
        <v>343.77208530767069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2.2737367544323206E-13</v>
      </c>
      <c r="EK199" s="18">
        <f>EJ199*VLOOKUP('Données projet'!$B$15,Paramètres!$A$1:$I$89,3,0)*VLOOKUP('Données projet'!$B$15,Paramètres!$A$1:$I$89,5,0)</f>
        <v>2.0572770154103635E-13</v>
      </c>
      <c r="EL199" s="14">
        <f t="shared" si="179"/>
        <v>2.8416956338469711E-12</v>
      </c>
      <c r="EM199" s="22">
        <f t="shared" si="180"/>
        <v>5.3075956424674458E-12</v>
      </c>
      <c r="EN199" s="62">
        <f t="shared" si="198"/>
        <v>293.3333333333386</v>
      </c>
      <c r="EO199" s="62">
        <f ca="1">AVERAGE(OFFSET($EN$3,0,0,'Données projet'!$E$15+1,1))-AVERAGE(OFFSET($H$3,0,0,'Données projet'!$E$15+1,1))</f>
        <v>436.23918637269577</v>
      </c>
      <c r="EP199" s="62">
        <f t="shared" si="210"/>
        <v>611.43967996341894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0.17554717884616933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0.17554717884616933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1.9895196601282805E-13</v>
      </c>
      <c r="FF199" s="18">
        <f>FE199*VLOOKUP('Données projet'!$B$16,Paramètres!$A$1:$I$89,3,0)*VLOOKUP('Données projet'!$B$16,Paramètres!$A$1:$I$89,5,0)</f>
        <v>1.738044375088066E-13</v>
      </c>
      <c r="FG199" s="14">
        <f t="shared" si="182"/>
        <v>2.4483293633950478E-12</v>
      </c>
      <c r="FH199" s="22">
        <f t="shared" si="183"/>
        <v>4.566883036574213E-12</v>
      </c>
      <c r="FI199" s="62">
        <f t="shared" si="199"/>
        <v>293.33333333333786</v>
      </c>
      <c r="FJ199" s="62">
        <f ca="1">AVERAGE(OFFSET($FI$3,0,0,'Données projet'!$E$16+1,1))-AVERAGE(OFFSET($H$3,0,0,'Données projet'!$E$16+1,1))</f>
        <v>321.23599968992932</v>
      </c>
      <c r="FK199" s="62">
        <f t="shared" si="211"/>
        <v>388.05195847800502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6.3550942286383367E-14</v>
      </c>
      <c r="P200" s="14">
        <f t="shared" si="203"/>
        <v>1.0064464192543978E-12</v>
      </c>
      <c r="Q200" s="22">
        <f t="shared" si="162"/>
        <v>1.8635787380168604E-12</v>
      </c>
      <c r="R200" s="62">
        <f t="shared" si="191"/>
        <v>293.33333333333519</v>
      </c>
      <c r="S200" s="62">
        <f ca="1">AVERAGE(OFFSET($R$3,0,0,'Données projet'!$E$9+1,1))-AVERAGE(OFFSET($H$3,0,0,'Données projet'!$E$9+1,1))</f>
        <v>389.06620927245814</v>
      </c>
      <c r="T200" s="62">
        <f t="shared" si="204"/>
        <v>356.08144160383193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0.30241411364482051</v>
      </c>
      <c r="AB200" s="23">
        <f>EXP(-LN(2)/2)*AB199+(1-EXP(-LN(2)/2))/(LN(2)/2)*V200*Y200*VLOOKUP('Données projet'!$B$9,Paramètres!$A$1:$I$89,3,0)*0.475*44/12</f>
        <v>3.7889783836015869E-25</v>
      </c>
      <c r="AC200" s="24">
        <f t="shared" si="163"/>
        <v>0.30241411364482051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-3.1036506698001178E-14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293.73480285950245</v>
      </c>
      <c r="AO200" s="62">
        <f t="shared" si="205"/>
        <v>425.99823184414191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0.20605989619943529</v>
      </c>
      <c r="AW200" s="23">
        <f>EXP(-LN(2)/2)*AW199+(1-EXP(-LN(2)/2))/(LN(2)/2)*AQ200*AT200*VLOOKUP('Données projet'!$B$10,Paramètres!$A$1:$I$89,3,0)*0.475*44/12</f>
        <v>1.4132690793634949E-24</v>
      </c>
      <c r="AX200" s="23">
        <f t="shared" si="166"/>
        <v>0.20605989619943529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-5.1431925385259088E-14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438.70522838726322</v>
      </c>
      <c r="BJ200" s="62">
        <f t="shared" si="206"/>
        <v>278.21741231699929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-5.4978954722173515E-14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466.10838191274445</v>
      </c>
      <c r="CE200" s="62">
        <f t="shared" si="207"/>
        <v>294.45557293177131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-3.4106051316484809E-13</v>
      </c>
      <c r="CU200" s="18">
        <f>CT200*VLOOKUP('Données projet'!$B$13,Paramètres!$A$1:$I$89,3,0)*VLOOKUP('Données projet'!$B$13,Paramètres!$A$1:$I$89,5,0)</f>
        <v>-2.5006556825246659E-13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376.5422416541544</v>
      </c>
      <c r="CZ200" s="62">
        <f t="shared" si="208"/>
        <v>365.76175372075869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-2.8421709430404007E-13</v>
      </c>
      <c r="DP200" s="18">
        <f>DO200*VLOOKUP('Données projet'!$B$14,Paramètres!$A$1:$I$89,3,0)*VLOOKUP('Données projet'!$B$14,Paramètres!$A$1:$I$89,5,0)</f>
        <v>-2.2612312022829427E-13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352.5736659365665</v>
      </c>
      <c r="DU200" s="62">
        <f t="shared" si="209"/>
        <v>343.77208530767069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2.2737367544323206E-13</v>
      </c>
      <c r="EK200" s="18">
        <f>EJ200*VLOOKUP('Données projet'!$B$15,Paramètres!$A$1:$I$89,3,0)*VLOOKUP('Données projet'!$B$15,Paramètres!$A$1:$I$89,5,0)</f>
        <v>2.0572770154103635E-13</v>
      </c>
      <c r="EL200" s="14">
        <f t="shared" si="179"/>
        <v>2.8416956338469711E-12</v>
      </c>
      <c r="EM200" s="22">
        <f t="shared" si="180"/>
        <v>5.3075956424674458E-12</v>
      </c>
      <c r="EN200" s="62">
        <f t="shared" si="198"/>
        <v>293.3333333333386</v>
      </c>
      <c r="EO200" s="62">
        <f ca="1">AVERAGE(OFFSET($EN$3,0,0,'Données projet'!$E$15+1,1))-AVERAGE(OFFSET($H$3,0,0,'Données projet'!$E$15+1,1))</f>
        <v>436.23918637269577</v>
      </c>
      <c r="EP200" s="62">
        <f t="shared" si="210"/>
        <v>611.43967996341894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0.17210480574220244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0.17210480574220244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1.9895196601282805E-13</v>
      </c>
      <c r="FF200" s="18">
        <f>FE200*VLOOKUP('Données projet'!$B$16,Paramètres!$A$1:$I$89,3,0)*VLOOKUP('Données projet'!$B$16,Paramètres!$A$1:$I$89,5,0)</f>
        <v>1.738044375088066E-13</v>
      </c>
      <c r="FG200" s="14">
        <f t="shared" si="182"/>
        <v>2.4483293633950478E-12</v>
      </c>
      <c r="FH200" s="22">
        <f t="shared" si="183"/>
        <v>4.566883036574213E-12</v>
      </c>
      <c r="FI200" s="62">
        <f t="shared" si="199"/>
        <v>293.33333333333786</v>
      </c>
      <c r="FJ200" s="62">
        <f ca="1">AVERAGE(OFFSET($FI$3,0,0,'Données projet'!$E$16+1,1))-AVERAGE(OFFSET($H$3,0,0,'Données projet'!$E$16+1,1))</f>
        <v>321.23599968992932</v>
      </c>
      <c r="FK200" s="62">
        <f t="shared" si="211"/>
        <v>388.05195847800502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6.3550942286383367E-14</v>
      </c>
      <c r="P201" s="14">
        <f t="shared" si="203"/>
        <v>1.0064464192543978E-12</v>
      </c>
      <c r="Q201" s="22">
        <f t="shared" si="162"/>
        <v>1.8635787380168604E-12</v>
      </c>
      <c r="R201" s="62">
        <f t="shared" si="191"/>
        <v>293.33333333333519</v>
      </c>
      <c r="S201" s="62">
        <f ca="1">AVERAGE(OFFSET($R$3,0,0,'Données projet'!$E$9+1,1))-AVERAGE(OFFSET($H$3,0,0,'Données projet'!$E$9+1,1))</f>
        <v>389.06620927245814</v>
      </c>
      <c r="T201" s="62">
        <f t="shared" si="204"/>
        <v>356.08144160383193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0.29414458380393582</v>
      </c>
      <c r="AB201" s="23">
        <f>EXP(-LN(2)/2)*AB200+(1-EXP(-LN(2)/2))/(LN(2)/2)*V201*Y201*VLOOKUP('Données projet'!$B$9,Paramètres!$A$1:$I$89,3,0)*0.475*44/12</f>
        <v>2.6792123088139258E-25</v>
      </c>
      <c r="AC201" s="24">
        <f t="shared" si="163"/>
        <v>0.29414458380393582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-3.1036506698001178E-14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293.73480285950245</v>
      </c>
      <c r="AO201" s="62">
        <f t="shared" si="205"/>
        <v>425.99823184414191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0.20042517750164274</v>
      </c>
      <c r="AW201" s="23">
        <f>EXP(-LN(2)/2)*AW200+(1-EXP(-LN(2)/2))/(LN(2)/2)*AQ201*AT201*VLOOKUP('Données projet'!$B$10,Paramètres!$A$1:$I$89,3,0)*0.475*44/12</f>
        <v>9.9933214965919626E-25</v>
      </c>
      <c r="AX201" s="23">
        <f t="shared" si="166"/>
        <v>0.20042517750164274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-5.1431925385259088E-14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438.70522838726322</v>
      </c>
      <c r="BJ201" s="62">
        <f t="shared" si="206"/>
        <v>278.21741231699929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-5.4978954722173515E-14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466.10838191274445</v>
      </c>
      <c r="CE201" s="62">
        <f t="shared" si="207"/>
        <v>294.45557293177131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-3.4106051316484809E-13</v>
      </c>
      <c r="CU201" s="18">
        <f>CT201*VLOOKUP('Données projet'!$B$13,Paramètres!$A$1:$I$89,3,0)*VLOOKUP('Données projet'!$B$13,Paramètres!$A$1:$I$89,5,0)</f>
        <v>-2.5006556825246659E-13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376.5422416541544</v>
      </c>
      <c r="CZ201" s="62">
        <f t="shared" si="208"/>
        <v>365.76175372075869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-2.8421709430404007E-13</v>
      </c>
      <c r="DP201" s="18">
        <f>DO201*VLOOKUP('Données projet'!$B$14,Paramètres!$A$1:$I$89,3,0)*VLOOKUP('Données projet'!$B$14,Paramètres!$A$1:$I$89,5,0)</f>
        <v>-2.2612312022829427E-13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352.5736659365665</v>
      </c>
      <c r="DU201" s="62">
        <f t="shared" si="209"/>
        <v>343.77208530767069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2.2737367544323206E-13</v>
      </c>
      <c r="EK201" s="18">
        <f>EJ201*VLOOKUP('Données projet'!$B$15,Paramètres!$A$1:$I$89,3,0)*VLOOKUP('Données projet'!$B$15,Paramètres!$A$1:$I$89,5,0)</f>
        <v>2.0572770154103635E-13</v>
      </c>
      <c r="EL201" s="14">
        <f t="shared" si="179"/>
        <v>2.8416956338469711E-12</v>
      </c>
      <c r="EM201" s="22">
        <f t="shared" si="180"/>
        <v>5.3075956424674458E-12</v>
      </c>
      <c r="EN201" s="62">
        <f t="shared" si="198"/>
        <v>293.3333333333386</v>
      </c>
      <c r="EO201" s="62">
        <f ca="1">AVERAGE(OFFSET($EN$3,0,0,'Données projet'!$E$15+1,1))-AVERAGE(OFFSET($H$3,0,0,'Données projet'!$E$15+1,1))</f>
        <v>436.23918637269577</v>
      </c>
      <c r="EP201" s="62">
        <f t="shared" si="210"/>
        <v>611.43967996341894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0.16872993547516407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0.16872993547516407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1.9895196601282805E-13</v>
      </c>
      <c r="FF201" s="18">
        <f>FE201*VLOOKUP('Données projet'!$B$16,Paramètres!$A$1:$I$89,3,0)*VLOOKUP('Données projet'!$B$16,Paramètres!$A$1:$I$89,5,0)</f>
        <v>1.738044375088066E-13</v>
      </c>
      <c r="FG201" s="14">
        <f t="shared" si="182"/>
        <v>2.4483293633950478E-12</v>
      </c>
      <c r="FH201" s="22">
        <f t="shared" si="183"/>
        <v>4.566883036574213E-12</v>
      </c>
      <c r="FI201" s="62">
        <f t="shared" si="199"/>
        <v>293.33333333333786</v>
      </c>
      <c r="FJ201" s="62">
        <f ca="1">AVERAGE(OFFSET($FI$3,0,0,'Données projet'!$E$16+1,1))-AVERAGE(OFFSET($H$3,0,0,'Données projet'!$E$16+1,1))</f>
        <v>321.23599968992932</v>
      </c>
      <c r="FK201" s="62">
        <f t="shared" si="211"/>
        <v>388.05195847800502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6.3550942286383367E-14</v>
      </c>
      <c r="P202" s="14">
        <f t="shared" si="203"/>
        <v>1.0064464192543978E-12</v>
      </c>
      <c r="Q202" s="22">
        <f t="shared" si="162"/>
        <v>1.8635787380168604E-12</v>
      </c>
      <c r="R202" s="62">
        <f t="shared" si="191"/>
        <v>293.33333333333519</v>
      </c>
      <c r="S202" s="62">
        <f ca="1">AVERAGE(OFFSET($R$3,0,0,'Données projet'!$E$9+1,1))-AVERAGE(OFFSET($H$3,0,0,'Données projet'!$E$9+1,1))</f>
        <v>389.06620927245814</v>
      </c>
      <c r="T202" s="62">
        <f t="shared" si="204"/>
        <v>356.08144160383193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0.28610118469142581</v>
      </c>
      <c r="AB202" s="23">
        <f>EXP(-LN(2)/2)*AB201+(1-EXP(-LN(2)/2))/(LN(2)/2)*V202*Y202*VLOOKUP('Données projet'!$B$9,Paramètres!$A$1:$I$89,3,0)*0.475*44/12</f>
        <v>1.8944891918007935E-25</v>
      </c>
      <c r="AC202" s="24">
        <f t="shared" si="163"/>
        <v>0.28610118469142581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-3.1036506698001178E-14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293.73480285950245</v>
      </c>
      <c r="AO202" s="62">
        <f t="shared" si="205"/>
        <v>425.99823184414191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0.19494454048295831</v>
      </c>
      <c r="AW202" s="23">
        <f>EXP(-LN(2)/2)*AW201+(1-EXP(-LN(2)/2))/(LN(2)/2)*AQ202*AT202*VLOOKUP('Données projet'!$B$10,Paramètres!$A$1:$I$89,3,0)*0.475*44/12</f>
        <v>7.0663453968174747E-25</v>
      </c>
      <c r="AX202" s="23">
        <f t="shared" si="166"/>
        <v>0.19494454048295831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-5.1431925385259088E-14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438.70522838726322</v>
      </c>
      <c r="BJ202" s="62">
        <f t="shared" si="206"/>
        <v>278.21741231699929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-5.4978954722173515E-14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466.10838191274445</v>
      </c>
      <c r="CE202" s="62">
        <f t="shared" si="207"/>
        <v>294.45557293177131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-3.4106051316484809E-13</v>
      </c>
      <c r="CU202" s="18">
        <f>CT202*VLOOKUP('Données projet'!$B$13,Paramètres!$A$1:$I$89,3,0)*VLOOKUP('Données projet'!$B$13,Paramètres!$A$1:$I$89,5,0)</f>
        <v>-2.5006556825246659E-13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376.5422416541544</v>
      </c>
      <c r="CZ202" s="62">
        <f t="shared" si="208"/>
        <v>365.76175372075869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-2.8421709430404007E-13</v>
      </c>
      <c r="DP202" s="18">
        <f>DO202*VLOOKUP('Données projet'!$B$14,Paramètres!$A$1:$I$89,3,0)*VLOOKUP('Données projet'!$B$14,Paramètres!$A$1:$I$89,5,0)</f>
        <v>-2.2612312022829427E-13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352.5736659365665</v>
      </c>
      <c r="DU202" s="62">
        <f t="shared" si="209"/>
        <v>343.77208530767069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2.2737367544323206E-13</v>
      </c>
      <c r="EK202" s="18">
        <f>EJ202*VLOOKUP('Données projet'!$B$15,Paramètres!$A$1:$I$89,3,0)*VLOOKUP('Données projet'!$B$15,Paramètres!$A$1:$I$89,5,0)</f>
        <v>2.0572770154103635E-13</v>
      </c>
      <c r="EL202" s="14">
        <f t="shared" si="179"/>
        <v>2.8416956338469711E-12</v>
      </c>
      <c r="EM202" s="22">
        <f t="shared" si="180"/>
        <v>5.3075956424674458E-12</v>
      </c>
      <c r="EN202" s="62">
        <f t="shared" si="198"/>
        <v>293.3333333333386</v>
      </c>
      <c r="EO202" s="62">
        <f ca="1">AVERAGE(OFFSET($EN$3,0,0,'Données projet'!$E$15+1,1))-AVERAGE(OFFSET($H$3,0,0,'Données projet'!$E$15+1,1))</f>
        <v>436.23918637269577</v>
      </c>
      <c r="EP202" s="62">
        <f t="shared" si="210"/>
        <v>611.43967996341894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0.16542124435559472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0.16542124435559472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1.9895196601282805E-13</v>
      </c>
      <c r="FF202" s="18">
        <f>FE202*VLOOKUP('Données projet'!$B$16,Paramètres!$A$1:$I$89,3,0)*VLOOKUP('Données projet'!$B$16,Paramètres!$A$1:$I$89,5,0)</f>
        <v>1.738044375088066E-13</v>
      </c>
      <c r="FG202" s="14">
        <f t="shared" si="182"/>
        <v>2.4483293633950478E-12</v>
      </c>
      <c r="FH202" s="22">
        <f t="shared" si="183"/>
        <v>4.566883036574213E-12</v>
      </c>
      <c r="FI202" s="62">
        <f t="shared" si="199"/>
        <v>293.33333333333786</v>
      </c>
      <c r="FJ202" s="62">
        <f ca="1">AVERAGE(OFFSET($FI$3,0,0,'Données projet'!$E$16+1,1))-AVERAGE(OFFSET($H$3,0,0,'Données projet'!$E$16+1,1))</f>
        <v>321.23599968992932</v>
      </c>
      <c r="FK202" s="62">
        <f t="shared" si="211"/>
        <v>388.05195847800502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6.3550942286383367E-14</v>
      </c>
      <c r="P203" s="14">
        <f t="shared" si="203"/>
        <v>1.0064464192543978E-12</v>
      </c>
      <c r="Q203" s="22">
        <f t="shared" si="162"/>
        <v>1.8635787380168604E-12</v>
      </c>
      <c r="R203" s="62">
        <f t="shared" si="191"/>
        <v>293.33333333333519</v>
      </c>
      <c r="S203" s="62">
        <f ca="1">AVERAGE(OFFSET($R$3,0,0,'Données projet'!$E$9+1,1))-AVERAGE(OFFSET($H$3,0,0,'Données projet'!$E$9+1,1))</f>
        <v>389.06620927245814</v>
      </c>
      <c r="T203" s="62">
        <f t="shared" si="204"/>
        <v>356.08144160383193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0.27827773275063139</v>
      </c>
      <c r="AB203" s="23">
        <f>EXP(-LN(2)/2)*AB202+(1-EXP(-LN(2)/2))/(LN(2)/2)*V203*Y203*VLOOKUP('Données projet'!$B$9,Paramètres!$A$1:$I$89,3,0)*0.475*44/12</f>
        <v>1.3396061544069629E-25</v>
      </c>
      <c r="AC203" s="24">
        <f t="shared" si="163"/>
        <v>0.27827773275063139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-3.1036506698001178E-14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293.73480285950245</v>
      </c>
      <c r="AO203" s="62">
        <f t="shared" si="205"/>
        <v>425.99823184414191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0.18961377177176397</v>
      </c>
      <c r="AW203" s="23">
        <f>EXP(-LN(2)/2)*AW202+(1-EXP(-LN(2)/2))/(LN(2)/2)*AQ203*AT203*VLOOKUP('Données projet'!$B$10,Paramètres!$A$1:$I$89,3,0)*0.475*44/12</f>
        <v>4.9966607482959813E-25</v>
      </c>
      <c r="AX203" s="23">
        <f t="shared" si="166"/>
        <v>0.18961377177176397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-5.1431925385259088E-14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438.70522838726322</v>
      </c>
      <c r="BJ203" s="62">
        <f t="shared" si="206"/>
        <v>278.21741231699929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-5.4978954722173515E-14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466.10838191274445</v>
      </c>
      <c r="CE203" s="62">
        <f t="shared" si="207"/>
        <v>294.45557293177131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-3.4106051316484809E-13</v>
      </c>
      <c r="CU203" s="18">
        <f>CT203*VLOOKUP('Données projet'!$B$13,Paramètres!$A$1:$I$89,3,0)*VLOOKUP('Données projet'!$B$13,Paramètres!$A$1:$I$89,5,0)</f>
        <v>-2.5006556825246659E-13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376.5422416541544</v>
      </c>
      <c r="CZ203" s="62">
        <f t="shared" si="208"/>
        <v>365.76175372075869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-2.8421709430404007E-13</v>
      </c>
      <c r="DP203" s="18">
        <f>DO203*VLOOKUP('Données projet'!$B$14,Paramètres!$A$1:$I$89,3,0)*VLOOKUP('Données projet'!$B$14,Paramètres!$A$1:$I$89,5,0)</f>
        <v>-2.2612312022829427E-13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352.5736659365665</v>
      </c>
      <c r="DU203" s="62">
        <f t="shared" si="209"/>
        <v>343.77208530767069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2.2737367544323206E-13</v>
      </c>
      <c r="EK203" s="18">
        <f>EJ203*VLOOKUP('Données projet'!$B$15,Paramètres!$A$1:$I$89,3,0)*VLOOKUP('Données projet'!$B$15,Paramètres!$A$1:$I$89,5,0)</f>
        <v>2.0572770154103635E-13</v>
      </c>
      <c r="EL203" s="14">
        <f t="shared" si="179"/>
        <v>2.8416956338469711E-12</v>
      </c>
      <c r="EM203" s="22">
        <f t="shared" si="180"/>
        <v>5.3075956424674458E-12</v>
      </c>
      <c r="EN203" s="62">
        <f t="shared" si="198"/>
        <v>293.3333333333386</v>
      </c>
      <c r="EO203" s="62">
        <f ca="1">AVERAGE(OFFSET($EN$3,0,0,'Données projet'!$E$15+1,1))-AVERAGE(OFFSET($H$3,0,0,'Données projet'!$E$15+1,1))</f>
        <v>436.23918637269577</v>
      </c>
      <c r="EP203" s="62">
        <f t="shared" si="210"/>
        <v>611.43967996341894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0.1621774346507778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0.1621774346507778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1.9895196601282805E-13</v>
      </c>
      <c r="FF203" s="18">
        <f>FE203*VLOOKUP('Données projet'!$B$16,Paramètres!$A$1:$I$89,3,0)*VLOOKUP('Données projet'!$B$16,Paramètres!$A$1:$I$89,5,0)</f>
        <v>1.738044375088066E-13</v>
      </c>
      <c r="FG203" s="14">
        <f t="shared" si="182"/>
        <v>2.4483293633950478E-12</v>
      </c>
      <c r="FH203" s="22">
        <f t="shared" si="183"/>
        <v>4.566883036574213E-12</v>
      </c>
      <c r="FI203" s="62">
        <f t="shared" si="199"/>
        <v>293.33333333333786</v>
      </c>
      <c r="FJ203" s="62">
        <f ca="1">AVERAGE(OFFSET($FI$3,0,0,'Données projet'!$E$16+1,1))-AVERAGE(OFFSET($H$3,0,0,'Données projet'!$E$16+1,1))</f>
        <v>321.23599968992932</v>
      </c>
      <c r="FK203" s="62">
        <f t="shared" si="211"/>
        <v>388.05195847800502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1.3037606943669584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1.5556353708263266</v>
      </c>
      <c r="BA205" s="88">
        <f>EXP(LN('Données projet'!B88)/'Données projet'!A88)</f>
        <v>1.2392705892426346</v>
      </c>
      <c r="BV205" s="88">
        <f>EXP(LN('Données projet'!B114)/'Données projet'!A114)</f>
        <v>1.2392705892426346</v>
      </c>
      <c r="CQ205" s="88">
        <f>EXP(LN('Données projet'!B140)/'Données projet'!A140)</f>
        <v>1.3423796509621049</v>
      </c>
      <c r="DL205" s="88">
        <f>EXP(LN('Données projet'!B166)/'Données projet'!A166)</f>
        <v>1.2709816152101407</v>
      </c>
      <c r="EG205" s="88">
        <f>EXP(LN('Données projet'!B192)/'Données projet'!A192)</f>
        <v>2.1016324782757847</v>
      </c>
      <c r="FB205" s="88">
        <f>EXP(LN('Données projet'!B218)/'Données projet'!A218)</f>
        <v>1.3467943429205997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N21" sqref="N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2.4499999999999997</v>
      </c>
      <c r="C6" s="156">
        <f ca="1">IF(OR('Données projet'!B9="",'Données projet'!C9="",'Données projet'!C9=0%),0,Calculateur!S3)</f>
        <v>389.06620927245814</v>
      </c>
      <c r="D6" s="156">
        <f>IF(OR('Données projet'!B9="",'Données projet'!C9="",'Données projet'!C9=0%),0,Calculateur!T3)</f>
        <v>356.08144160383193</v>
      </c>
      <c r="E6" s="156">
        <f ca="1">MIN(C6,D6)</f>
        <v>356.08144160383193</v>
      </c>
      <c r="F6" s="156">
        <f ca="1">E6*B6</f>
        <v>872.3995319293881</v>
      </c>
      <c r="G6" s="156">
        <f ca="1">F6*(100%-'Données projet'!$C$24)*(100%-'Données projet'!$C$25)*(100%-'Données projet'!$C$26)*(100%-'Données projet'!$C$27)</f>
        <v>785.15957873644936</v>
      </c>
      <c r="H6" s="157">
        <f>IF(OR('Données projet'!B9="",'Données projet'!C9="",'Données projet'!C9=0%),0,AVERAGE(Calculateur!$AC$3:$AC$33)*B6)</f>
        <v>21.083866195243566</v>
      </c>
      <c r="I6" s="158">
        <f>H6*(100%-'Données projet'!$C$24)*(100%-'Données projet'!$C$25)*(100%-'Données projet'!$C$26)*(100%-'Données projet'!$C$27)</f>
        <v>18.975479575719209</v>
      </c>
      <c r="J6" s="159">
        <f>IF(OR('Données projet'!B9="",'Données projet'!C9="",'Données projet'!C9=0%),0,SUM(Calculateur!$V$3:$V$33)*VLOOKUP('Données projet'!$B$9,Paramètres!$A$1:$I$89,9,0)*B6)</f>
        <v>139.26216499999998</v>
      </c>
      <c r="K6" s="160">
        <f>J6*(100%-'Données projet'!$C$24)*(100%-'Données projet'!$C$25)*(100%-'Données projet'!$C$26)*(100%-'Données projet'!$C$27)</f>
        <v>125.33594849999999</v>
      </c>
      <c r="L6" s="161">
        <f ca="1">G6+I6+K6</f>
        <v>929.47100681216853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Mélèze hybride</v>
      </c>
      <c r="B7" s="163">
        <f>'Données projet'!D10</f>
        <v>1.54</v>
      </c>
      <c r="C7" s="156">
        <f ca="1">IF(OR('Données projet'!B10="",'Données projet'!C10="",'Données projet'!C10=0%),0,Calculateur!AN3)</f>
        <v>293.73480285950245</v>
      </c>
      <c r="D7" s="156">
        <f>IF(OR('Données projet'!B10="",'Données projet'!C10="",'Données projet'!C10=0%),0,Calculateur!AO3)</f>
        <v>425.99823184414191</v>
      </c>
      <c r="E7" s="156">
        <f t="shared" ref="E7:E15" ca="1" si="0">MIN(C7,D7)</f>
        <v>293.73480285950245</v>
      </c>
      <c r="F7" s="156">
        <f t="shared" ref="F7:F15" ca="1" si="1">E7*B7</f>
        <v>452.35159640363378</v>
      </c>
      <c r="G7" s="156">
        <f ca="1">F7*(100%-'Données projet'!$C$24)*(100%-'Données projet'!$C$25)*(100%-'Données projet'!$C$26)*(100%-'Données projet'!$C$27)</f>
        <v>407.11643676327043</v>
      </c>
      <c r="H7" s="164">
        <f>IF(OR('Données projet'!B10="",'Données projet'!C10="",'Données projet'!C10=0%),0,AVERAGE(Calculateur!$AX$3:$AX$33)*B7)</f>
        <v>21.921511162592694</v>
      </c>
      <c r="I7" s="158">
        <f>H7*(100%-'Données projet'!$C$24)*(100%-'Données projet'!$C$25)*(100%-'Données projet'!$C$26)*(100%-'Données projet'!$C$27)</f>
        <v>19.729360046333426</v>
      </c>
      <c r="J7" s="159">
        <f>IF(OR('Données projet'!B10="",'Données projet'!C10="",'Données projet'!C10=0%),0,SUM(Calculateur!$AQ$3:$AQ$33)*VLOOKUP('Données projet'!$B$10,Paramètres!$A$1:$I$89,9,0)*B7)</f>
        <v>162.90120000000002</v>
      </c>
      <c r="K7" s="160">
        <f>J7*(100%-'Données projet'!$C$24)*(100%-'Données projet'!$C$25)*(100%-'Données projet'!$C$26)*(100%-'Données projet'!$C$27)</f>
        <v>146.61108000000002</v>
      </c>
      <c r="L7" s="161">
        <f t="shared" ref="L7:L15" ca="1" si="2">G7+I7+K7</f>
        <v>573.45687680960384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1.33</v>
      </c>
      <c r="C8" s="156">
        <f ca="1">IF(OR('Données projet'!B11="",'Données projet'!C11="",'Données projet'!C11=0%),0,Calculateur!BI3)</f>
        <v>438.70522838726322</v>
      </c>
      <c r="D8" s="156">
        <f>IF(OR('Données projet'!B11="",'Données projet'!C11="",'Données projet'!C11=0%),0,Calculateur!BJ3)</f>
        <v>278.21741231699929</v>
      </c>
      <c r="E8" s="156">
        <f t="shared" ca="1" si="0"/>
        <v>278.21741231699929</v>
      </c>
      <c r="F8" s="156">
        <f t="shared" ca="1" si="1"/>
        <v>370.02915838160908</v>
      </c>
      <c r="G8" s="156">
        <f ca="1">F8*(100%-'Données projet'!$C$24)*(100%-'Données projet'!$C$25)*(100%-'Données projet'!$C$26)*(100%-'Données projet'!$C$27)</f>
        <v>333.02624254344818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20.615000000000002</v>
      </c>
      <c r="K8" s="160">
        <f>J8*(100%-'Données projet'!$C$24)*(100%-'Données projet'!$C$25)*(100%-'Données projet'!$C$26)*(100%-'Données projet'!$C$27)</f>
        <v>18.553500000000003</v>
      </c>
      <c r="L8" s="161">
        <f t="shared" ca="1" si="2"/>
        <v>351.57974254344816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Alisier torminal</v>
      </c>
      <c r="B9" s="163">
        <f>'Données projet'!D12</f>
        <v>0.49000000000000005</v>
      </c>
      <c r="C9" s="156">
        <f ca="1">IF(OR('Données projet'!B12="",'Données projet'!C12="",'Données projet'!C12=0%),0,Calculateur!CD3)</f>
        <v>466.10838191274445</v>
      </c>
      <c r="D9" s="156">
        <f>IF(OR('Données projet'!B12="",'Données projet'!C12="",'Données projet'!C12=0%),0,Calculateur!CE3)</f>
        <v>294.45557293177131</v>
      </c>
      <c r="E9" s="156">
        <f t="shared" ca="1" si="0"/>
        <v>294.45557293177131</v>
      </c>
      <c r="F9" s="156">
        <f t="shared" ca="1" si="1"/>
        <v>144.28323073656796</v>
      </c>
      <c r="G9" s="156">
        <f ca="1">F9*(100%-'Données projet'!$C$24)*(100%-'Données projet'!$C$25)*(100%-'Données projet'!$C$26)*(100%-'Données projet'!$C$27)</f>
        <v>129.85490766291116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7.5950000000000006</v>
      </c>
      <c r="K9" s="160">
        <f>J9*(100%-'Données projet'!$C$24)*(100%-'Données projet'!$C$25)*(100%-'Données projet'!$C$26)*(100%-'Données projet'!$C$27)</f>
        <v>6.8355000000000006</v>
      </c>
      <c r="L9" s="161">
        <f t="shared" ca="1" si="2"/>
        <v>136.69040766291116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Châtaignier</v>
      </c>
      <c r="B10" s="163">
        <f>'Données projet'!D13</f>
        <v>0.49000000000000005</v>
      </c>
      <c r="C10" s="156">
        <f ca="1">IF(OR('Données projet'!B13="",'Données projet'!C13="",'Données projet'!C13=0%),0,Calculateur!CY3)</f>
        <v>376.5422416541544</v>
      </c>
      <c r="D10" s="156">
        <f>IF(OR('Données projet'!B13="",'Données projet'!C13="",'Données projet'!C13=0%),0,Calculateur!CZ3)</f>
        <v>365.76175372075869</v>
      </c>
      <c r="E10" s="156">
        <f t="shared" ca="1" si="0"/>
        <v>365.76175372075869</v>
      </c>
      <c r="F10" s="156">
        <f t="shared" ca="1" si="1"/>
        <v>179.22325932317179</v>
      </c>
      <c r="G10" s="156">
        <f ca="1">F10*(100%-'Données projet'!$C$24)*(100%-'Données projet'!$C$25)*(100%-'Données projet'!$C$26)*(100%-'Données projet'!$C$27)</f>
        <v>161.30093339085462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21.437500000000004</v>
      </c>
      <c r="K10" s="160">
        <f>J10*(100%-'Données projet'!$C$24)*(100%-'Données projet'!$C$25)*(100%-'Données projet'!$C$26)*(100%-'Données projet'!$C$27)</f>
        <v>19.293750000000003</v>
      </c>
      <c r="L10" s="161">
        <f t="shared" ca="1" si="2"/>
        <v>180.59468339085464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Erable sycomore</v>
      </c>
      <c r="B11" s="163">
        <f>'Données projet'!D14</f>
        <v>0.23310000000000003</v>
      </c>
      <c r="C11" s="156">
        <f ca="1">IF(OR('Données projet'!B14="",'Données projet'!C14="",'Données projet'!C14=0%),0,Calculateur!DT3)</f>
        <v>352.5736659365665</v>
      </c>
      <c r="D11" s="156">
        <f>IF(OR('Données projet'!B14="",'Données projet'!C14="",'Données projet'!C14=0%),0,Calculateur!DU3)</f>
        <v>343.77208530767069</v>
      </c>
      <c r="E11" s="156">
        <f t="shared" ca="1" si="0"/>
        <v>343.77208530767069</v>
      </c>
      <c r="F11" s="156">
        <f t="shared" ca="1" si="1"/>
        <v>80.13327308521805</v>
      </c>
      <c r="G11" s="156">
        <f ca="1">F11*(100%-'Données projet'!$C$24)*(100%-'Données projet'!$C$25)*(100%-'Données projet'!$C$26)*(100%-'Données projet'!$C$27)</f>
        <v>72.119945776696241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7.9836750000000007</v>
      </c>
      <c r="K11" s="160">
        <f>J11*(100%-'Données projet'!$C$24)*(100%-'Données projet'!$C$25)*(100%-'Données projet'!$C$26)*(100%-'Données projet'!$C$27)</f>
        <v>7.1853075000000004</v>
      </c>
      <c r="L11" s="161">
        <f t="shared" ca="1" si="2"/>
        <v>79.305253276696249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Robinier faux-acacia</v>
      </c>
      <c r="B12" s="163">
        <f>'Données projet'!D15</f>
        <v>0.23310000000000003</v>
      </c>
      <c r="C12" s="156">
        <f ca="1">IF(OR('Données projet'!B15="",'Données projet'!C15="",'Données projet'!C15=0%),0,Calculateur!EO3)</f>
        <v>436.23918637269577</v>
      </c>
      <c r="D12" s="156">
        <f>IF(OR('Données projet'!B15="",'Données projet'!C15="",'Données projet'!C15=0%),0,Calculateur!EP3)</f>
        <v>611.43967996341894</v>
      </c>
      <c r="E12" s="156">
        <f t="shared" ca="1" si="0"/>
        <v>436.23918637269577</v>
      </c>
      <c r="F12" s="156">
        <f t="shared" ca="1" si="1"/>
        <v>101.68735434347539</v>
      </c>
      <c r="G12" s="156">
        <f ca="1">F12*(100%-'Données projet'!$C$24)*(100%-'Données projet'!$C$25)*(100%-'Données projet'!$C$26)*(100%-'Données projet'!$C$27)</f>
        <v>91.518618909127852</v>
      </c>
      <c r="H12" s="164">
        <f>IF(OR('Données projet'!B15="",'Données projet'!C15="",'Données projet'!C15=0%),0,AVERAGE(Calculateur!$EY$3:$EY$33)*B12)</f>
        <v>0.18901704439167266</v>
      </c>
      <c r="I12" s="158">
        <f>H12*(100%-'Données projet'!$C$24)*(100%-'Données projet'!$C$25)*(100%-'Données projet'!$C$26)*(100%-'Données projet'!$C$27)</f>
        <v>0.17011533995250541</v>
      </c>
      <c r="J12" s="159">
        <f>IF(OR('Données projet'!B15="",'Données projet'!C15="",'Données projet'!C15=0%),0,SUM(Calculateur!$ER$3:$ER$33)*VLOOKUP('Données projet'!$B$15,Paramètres!$A$1:$I$89,9,0)*B12)</f>
        <v>7.517475000000001</v>
      </c>
      <c r="K12" s="160">
        <f>J12*(100%-'Données projet'!$C$24)*(100%-'Données projet'!$C$25)*(100%-'Données projet'!$C$26)*(100%-'Données projet'!$C$27)</f>
        <v>6.7657275000000014</v>
      </c>
      <c r="L12" s="161">
        <f t="shared" ca="1" si="2"/>
        <v>98.454461749080352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Chêne rouge d'Amérique</v>
      </c>
      <c r="B13" s="163">
        <f>'Données projet'!D16</f>
        <v>0.23310000000000003</v>
      </c>
      <c r="C13" s="156">
        <f ca="1">IF(OR('Données projet'!B16="",'Données projet'!C16="",'Données projet'!C16=0%),0,Calculateur!FJ3)</f>
        <v>321.23599968992932</v>
      </c>
      <c r="D13" s="156">
        <f>IF(OR('Données projet'!B16="",'Données projet'!C16="",'Données projet'!C16=0%),0,Calculateur!FK3)</f>
        <v>388.05195847800502</v>
      </c>
      <c r="E13" s="156">
        <f t="shared" ca="1" si="0"/>
        <v>321.23599968992932</v>
      </c>
      <c r="F13" s="156">
        <f t="shared" ca="1" si="1"/>
        <v>74.880111527722534</v>
      </c>
      <c r="G13" s="156">
        <f ca="1">F13*(100%-'Données projet'!$C$24)*(100%-'Données projet'!$C$25)*(100%-'Données projet'!$C$26)*(100%-'Données projet'!$C$27)</f>
        <v>67.392100374950289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8.857800000000001</v>
      </c>
      <c r="K13" s="160">
        <f>J13*(100%-'Données projet'!$C$24)*(100%-'Données projet'!$C$25)*(100%-'Données projet'!$C$26)*(100%-'Données projet'!$C$27)</f>
        <v>7.9720200000000014</v>
      </c>
      <c r="L13" s="161">
        <f t="shared" ca="1" si="2"/>
        <v>75.364120374950289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2274.9875157307865</v>
      </c>
      <c r="G16" s="175">
        <f t="shared" ca="1" si="3"/>
        <v>2047.4887641577081</v>
      </c>
      <c r="H16" s="176">
        <f t="shared" si="3"/>
        <v>43.194394402227935</v>
      </c>
      <c r="I16" s="176">
        <f t="shared" si="3"/>
        <v>38.874954962005134</v>
      </c>
      <c r="J16" s="177">
        <f t="shared" si="3"/>
        <v>376.16981500000003</v>
      </c>
      <c r="K16" s="177">
        <f t="shared" si="3"/>
        <v>338.55283350000002</v>
      </c>
      <c r="L16" s="178">
        <f t="shared" ca="1" si="3"/>
        <v>2424.9165526197135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Mélèze hybride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Alisier torminal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Châtaignier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Erable sycomore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Robinier faux-acacia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Chêne rouge d'Amérique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5" zoomScale="90" zoomScaleNormal="90" workbookViewId="0">
      <selection activeCell="I20" sqref="I20:I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4175.7592764799374</v>
      </c>
      <c r="U10" s="190">
        <f>'Données projet'!D9</f>
        <v>2.4499999999999997</v>
      </c>
      <c r="V10" s="189">
        <f>U10*T10</f>
        <v>10230.610227375846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Mélèze hybride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5034.4627511534272</v>
      </c>
      <c r="U11" s="190">
        <f>'Données projet'!D10</f>
        <v>1.54</v>
      </c>
      <c r="V11" s="189">
        <f t="shared" ref="V11" si="0">U11*T11</f>
        <v>7753.0726367762782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901.56288615561471</v>
      </c>
      <c r="U12" s="190">
        <f>'Données projet'!D11</f>
        <v>1.33</v>
      </c>
      <c r="V12" s="189">
        <f t="shared" ref="V12:V19" si="1">U12*T12</f>
        <v>1199.0786385869676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Alisier torminal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901.56288615561471</v>
      </c>
      <c r="U13" s="190">
        <f>'Données projet'!D12</f>
        <v>0.49000000000000005</v>
      </c>
      <c r="V13" s="189">
        <f t="shared" si="1"/>
        <v>441.76581421625127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Châtaignier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1872.0070334231589</v>
      </c>
      <c r="U14" s="190">
        <f>'Données projet'!D13</f>
        <v>0.49000000000000005</v>
      </c>
      <c r="V14" s="189">
        <f t="shared" si="1"/>
        <v>917.2834463773479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Erable sycomore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1624.693729075459</v>
      </c>
      <c r="U15" s="190">
        <f>'Données projet'!D14</f>
        <v>0.23310000000000003</v>
      </c>
      <c r="V15" s="189">
        <f t="shared" si="1"/>
        <v>378.71610824748956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>Robinier faux-acacia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3158.2447389130302</v>
      </c>
      <c r="U16" s="190">
        <f>'Données projet'!D15</f>
        <v>0.23310000000000003</v>
      </c>
      <c r="V16" s="189">
        <f t="shared" si="1"/>
        <v>736.18684864062743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Chêne rouge d'Amérique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1763.8631548071935</v>
      </c>
      <c r="U17" s="190">
        <f>'Données projet'!D16</f>
        <v>0.23310000000000003</v>
      </c>
      <c r="V17" s="189">
        <f t="shared" si="1"/>
        <v>411.15650138555685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4419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571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571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19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v>571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-19852.740302672039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21</v>
      </c>
      <c r="B24" s="193">
        <f>'Données projet'!D37</f>
        <v>64.58</v>
      </c>
      <c r="C24" s="206">
        <v>7</v>
      </c>
      <c r="D24" s="194">
        <f t="shared" ref="D24:D42" si="2">B24*C24</f>
        <v>452.06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28</v>
      </c>
      <c r="B25" s="193">
        <f>'Données projet'!D38</f>
        <v>67.61</v>
      </c>
      <c r="C25" s="206">
        <v>12</v>
      </c>
      <c r="D25" s="194">
        <f t="shared" si="2"/>
        <v>811.31999999999994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-19852.740302672039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86.68</v>
      </c>
      <c r="C26" s="206">
        <v>25</v>
      </c>
      <c r="D26" s="194">
        <f t="shared" si="2"/>
        <v>2167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42</v>
      </c>
      <c r="B27" s="193">
        <f>'Données projet'!D40</f>
        <v>99.98</v>
      </c>
      <c r="C27" s="206">
        <v>35</v>
      </c>
      <c r="D27" s="194">
        <f t="shared" si="2"/>
        <v>3499.3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49</v>
      </c>
      <c r="B28" s="193">
        <f>'Données projet'!D41</f>
        <v>112.61</v>
      </c>
      <c r="C28" s="206">
        <v>40</v>
      </c>
      <c r="D28" s="194">
        <f t="shared" si="2"/>
        <v>4504.3999999999996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56</v>
      </c>
      <c r="B29" s="193">
        <f>'Données projet'!D42</f>
        <v>94.57</v>
      </c>
      <c r="C29" s="206">
        <v>50</v>
      </c>
      <c r="D29" s="194">
        <f t="shared" si="2"/>
        <v>4728.5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63</v>
      </c>
      <c r="B30" s="193">
        <f>'Données projet'!D43</f>
        <v>99.49</v>
      </c>
      <c r="C30" s="206">
        <v>55</v>
      </c>
      <c r="D30" s="194">
        <f t="shared" si="2"/>
        <v>5471.95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69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586.05999999999995</v>
      </c>
      <c r="C32" s="206">
        <v>55</v>
      </c>
      <c r="D32" s="194">
        <f t="shared" si="2"/>
        <v>32233.299999999996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Mélèze hybride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10</v>
      </c>
      <c r="B54" s="193">
        <f>'Données projet'!D62</f>
        <v>26</v>
      </c>
      <c r="C54" s="204">
        <v>7</v>
      </c>
      <c r="D54" s="191">
        <f>B54*C54</f>
        <v>182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15</v>
      </c>
      <c r="B55" s="193">
        <f>'Données projet'!D63</f>
        <v>54</v>
      </c>
      <c r="C55" s="204">
        <v>12</v>
      </c>
      <c r="D55" s="191">
        <f t="shared" ref="D55:D73" si="4">B55*C55</f>
        <v>648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20</v>
      </c>
      <c r="B56" s="193">
        <f>'Données projet'!D64</f>
        <v>61</v>
      </c>
      <c r="C56" s="204">
        <v>25</v>
      </c>
      <c r="D56" s="191">
        <f t="shared" si="4"/>
        <v>1525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25</v>
      </c>
      <c r="B57" s="193">
        <f>'Données projet'!D65</f>
        <v>57</v>
      </c>
      <c r="C57" s="204">
        <v>35</v>
      </c>
      <c r="D57" s="191">
        <f t="shared" si="4"/>
        <v>1995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30</v>
      </c>
      <c r="B58" s="193">
        <f>'Données projet'!D66</f>
        <v>48</v>
      </c>
      <c r="C58" s="204">
        <v>40</v>
      </c>
      <c r="D58" s="191">
        <f t="shared" si="4"/>
        <v>1920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35</v>
      </c>
      <c r="B59" s="193">
        <f>'Données projet'!D67</f>
        <v>38</v>
      </c>
      <c r="C59" s="204">
        <v>50</v>
      </c>
      <c r="D59" s="191">
        <f t="shared" si="4"/>
        <v>1900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40</v>
      </c>
      <c r="B60" s="193">
        <f>'Données projet'!D68</f>
        <v>28</v>
      </c>
      <c r="C60" s="204">
        <v>55</v>
      </c>
      <c r="D60" s="191">
        <f t="shared" si="4"/>
        <v>1540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45</v>
      </c>
      <c r="B61" s="193">
        <f>'Données projet'!D69</f>
        <v>21</v>
      </c>
      <c r="C61" s="204">
        <v>55</v>
      </c>
      <c r="D61" s="191">
        <f t="shared" si="4"/>
        <v>1155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50</v>
      </c>
      <c r="B62" s="193">
        <f>'Données projet'!D70</f>
        <v>374</v>
      </c>
      <c r="C62" s="204">
        <v>55</v>
      </c>
      <c r="D62" s="191">
        <f t="shared" si="4"/>
        <v>20570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6</v>
      </c>
      <c r="C85" s="204">
        <v>4</v>
      </c>
      <c r="D85" s="191">
        <f>B85*C85</f>
        <v>24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28</v>
      </c>
      <c r="C86" s="204">
        <v>8</v>
      </c>
      <c r="D86" s="191">
        <f t="shared" ref="D86:D104" si="6">B86*C86</f>
        <v>224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28</v>
      </c>
      <c r="C87" s="204">
        <v>10</v>
      </c>
      <c r="D87" s="191">
        <f t="shared" si="6"/>
        <v>280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28</v>
      </c>
      <c r="C88" s="204">
        <v>10</v>
      </c>
      <c r="D88" s="191">
        <f t="shared" si="6"/>
        <v>280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28</v>
      </c>
      <c r="C89" s="204">
        <v>10</v>
      </c>
      <c r="D89" s="191">
        <f t="shared" si="6"/>
        <v>280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28</v>
      </c>
      <c r="C90" s="204">
        <v>10</v>
      </c>
      <c r="D90" s="191">
        <f t="shared" si="6"/>
        <v>280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04">
        <v>15</v>
      </c>
      <c r="D91" s="191">
        <f t="shared" si="6"/>
        <v>420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28</v>
      </c>
      <c r="C92" s="204">
        <v>15</v>
      </c>
      <c r="D92" s="191">
        <f t="shared" si="6"/>
        <v>420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28</v>
      </c>
      <c r="C93" s="204">
        <v>15</v>
      </c>
      <c r="D93" s="191">
        <f t="shared" si="6"/>
        <v>420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28</v>
      </c>
      <c r="C94" s="204">
        <v>20</v>
      </c>
      <c r="D94" s="191">
        <f t="shared" si="6"/>
        <v>560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28</v>
      </c>
      <c r="C95" s="204">
        <v>20</v>
      </c>
      <c r="D95" s="191">
        <f t="shared" si="6"/>
        <v>560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28</v>
      </c>
      <c r="C96" s="204">
        <v>20</v>
      </c>
      <c r="D96" s="191">
        <f t="shared" si="6"/>
        <v>560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28</v>
      </c>
      <c r="C97" s="204">
        <v>20</v>
      </c>
      <c r="D97" s="191">
        <f t="shared" si="6"/>
        <v>560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28</v>
      </c>
      <c r="C98" s="204">
        <v>20</v>
      </c>
      <c r="D98" s="191">
        <f t="shared" si="6"/>
        <v>560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28</v>
      </c>
      <c r="C99" s="204">
        <v>30</v>
      </c>
      <c r="D99" s="191">
        <f t="shared" si="6"/>
        <v>840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28</v>
      </c>
      <c r="C100" s="204">
        <v>30</v>
      </c>
      <c r="D100" s="191">
        <f t="shared" si="6"/>
        <v>840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27</v>
      </c>
      <c r="C101" s="204">
        <v>40</v>
      </c>
      <c r="D101" s="191">
        <f t="shared" si="6"/>
        <v>1080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105</v>
      </c>
      <c r="B102" s="193">
        <f>'Données projet'!D105</f>
        <v>26</v>
      </c>
      <c r="C102" s="204">
        <v>50</v>
      </c>
      <c r="D102" s="191">
        <f t="shared" si="6"/>
        <v>1300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25</v>
      </c>
      <c r="C103" s="204">
        <v>70</v>
      </c>
      <c r="D103" s="191">
        <f t="shared" si="6"/>
        <v>1750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115</v>
      </c>
      <c r="B104" s="193">
        <f>'Données projet'!D107</f>
        <v>321</v>
      </c>
      <c r="C104" s="204">
        <v>150</v>
      </c>
      <c r="D104" s="191">
        <f t="shared" si="6"/>
        <v>48150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Alisier torminal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6</v>
      </c>
      <c r="C116" s="204">
        <v>4</v>
      </c>
      <c r="D116" s="191">
        <f>B116*C116</f>
        <v>24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28</v>
      </c>
      <c r="C117" s="204">
        <v>8</v>
      </c>
      <c r="D117" s="191">
        <f t="shared" ref="D117:D135" si="8">B117*C117</f>
        <v>224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28</v>
      </c>
      <c r="C118" s="204">
        <v>10</v>
      </c>
      <c r="D118" s="191">
        <f t="shared" si="8"/>
        <v>280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28</v>
      </c>
      <c r="C119" s="204">
        <v>10</v>
      </c>
      <c r="D119" s="191">
        <f t="shared" si="8"/>
        <v>280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28</v>
      </c>
      <c r="C120" s="204">
        <v>10</v>
      </c>
      <c r="D120" s="191">
        <f t="shared" si="8"/>
        <v>280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28</v>
      </c>
      <c r="C121" s="204">
        <v>10</v>
      </c>
      <c r="D121" s="191">
        <f t="shared" si="8"/>
        <v>280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28</v>
      </c>
      <c r="C122" s="204">
        <v>15</v>
      </c>
      <c r="D122" s="191">
        <f t="shared" si="8"/>
        <v>420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28</v>
      </c>
      <c r="C123" s="204">
        <v>15</v>
      </c>
      <c r="D123" s="191">
        <f t="shared" si="8"/>
        <v>420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28</v>
      </c>
      <c r="C124" s="204">
        <v>15</v>
      </c>
      <c r="D124" s="191">
        <f t="shared" si="8"/>
        <v>420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28</v>
      </c>
      <c r="C125" s="204">
        <v>20</v>
      </c>
      <c r="D125" s="191">
        <f t="shared" si="8"/>
        <v>560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28</v>
      </c>
      <c r="C126" s="204">
        <v>20</v>
      </c>
      <c r="D126" s="191">
        <f t="shared" si="8"/>
        <v>560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28</v>
      </c>
      <c r="C127" s="204">
        <v>20</v>
      </c>
      <c r="D127" s="191">
        <f t="shared" si="8"/>
        <v>560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28</v>
      </c>
      <c r="C128" s="204">
        <v>20</v>
      </c>
      <c r="D128" s="191">
        <f t="shared" si="8"/>
        <v>560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85</v>
      </c>
      <c r="B129" s="193">
        <f>'Données projet'!D127</f>
        <v>28</v>
      </c>
      <c r="C129" s="204">
        <v>20</v>
      </c>
      <c r="D129" s="191">
        <f t="shared" si="8"/>
        <v>560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90</v>
      </c>
      <c r="B130" s="193">
        <f>'Données projet'!D128</f>
        <v>28</v>
      </c>
      <c r="C130" s="204">
        <v>30</v>
      </c>
      <c r="D130" s="191">
        <f t="shared" si="8"/>
        <v>840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95</v>
      </c>
      <c r="B131" s="193">
        <f>'Données projet'!D129</f>
        <v>28</v>
      </c>
      <c r="C131" s="204">
        <v>30</v>
      </c>
      <c r="D131" s="191">
        <f t="shared" si="8"/>
        <v>840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100</v>
      </c>
      <c r="B132" s="193">
        <f>'Données projet'!D130</f>
        <v>27</v>
      </c>
      <c r="C132" s="204">
        <v>40</v>
      </c>
      <c r="D132" s="191">
        <f t="shared" si="8"/>
        <v>1080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105</v>
      </c>
      <c r="B133" s="193">
        <f>'Données projet'!D131</f>
        <v>26</v>
      </c>
      <c r="C133" s="204">
        <v>50</v>
      </c>
      <c r="D133" s="191">
        <f t="shared" si="8"/>
        <v>1300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110</v>
      </c>
      <c r="B134" s="193">
        <f>'Données projet'!D132</f>
        <v>25</v>
      </c>
      <c r="C134" s="204">
        <v>70</v>
      </c>
      <c r="D134" s="191">
        <f t="shared" si="8"/>
        <v>1750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115</v>
      </c>
      <c r="B135" s="193">
        <f>'Données projet'!D133</f>
        <v>321</v>
      </c>
      <c r="C135" s="204">
        <v>150</v>
      </c>
      <c r="D135" s="191">
        <f t="shared" si="8"/>
        <v>48150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Châtaignier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10</v>
      </c>
      <c r="B147" s="187">
        <f>'Données projet'!D140</f>
        <v>7</v>
      </c>
      <c r="C147" s="204">
        <v>5</v>
      </c>
      <c r="D147" s="194">
        <f>B147*C147</f>
        <v>35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15</v>
      </c>
      <c r="B148" s="187">
        <f>'Données projet'!D141</f>
        <v>42</v>
      </c>
      <c r="C148" s="204">
        <v>7</v>
      </c>
      <c r="D148" s="194">
        <f t="shared" ref="D148:D166" si="10">B148*C148</f>
        <v>294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20</v>
      </c>
      <c r="B149" s="187">
        <f>'Données projet'!D142</f>
        <v>42</v>
      </c>
      <c r="C149" s="204">
        <v>9</v>
      </c>
      <c r="D149" s="194">
        <f t="shared" si="10"/>
        <v>378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25</v>
      </c>
      <c r="B150" s="187">
        <f>'Données projet'!D143</f>
        <v>42</v>
      </c>
      <c r="C150" s="204">
        <v>9</v>
      </c>
      <c r="D150" s="194">
        <f t="shared" si="10"/>
        <v>378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30</v>
      </c>
      <c r="B151" s="187">
        <f>'Données projet'!D144</f>
        <v>42</v>
      </c>
      <c r="C151" s="204">
        <v>9</v>
      </c>
      <c r="D151" s="194">
        <f t="shared" si="10"/>
        <v>378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35</v>
      </c>
      <c r="B152" s="187">
        <f>'Données projet'!D145</f>
        <v>42</v>
      </c>
      <c r="C152" s="204">
        <v>14</v>
      </c>
      <c r="D152" s="194">
        <f t="shared" si="10"/>
        <v>588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40</v>
      </c>
      <c r="B153" s="187">
        <f>'Données projet'!D146</f>
        <v>40</v>
      </c>
      <c r="C153" s="204">
        <v>14</v>
      </c>
      <c r="D153" s="194">
        <f t="shared" si="10"/>
        <v>560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45</v>
      </c>
      <c r="B154" s="187">
        <f>'Données projet'!D147</f>
        <v>26</v>
      </c>
      <c r="C154" s="204">
        <v>14</v>
      </c>
      <c r="D154" s="194">
        <f t="shared" si="10"/>
        <v>364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50</v>
      </c>
      <c r="B155" s="187">
        <f>'Données projet'!D148</f>
        <v>21</v>
      </c>
      <c r="C155" s="204">
        <v>17</v>
      </c>
      <c r="D155" s="194">
        <f t="shared" si="10"/>
        <v>357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55</v>
      </c>
      <c r="B156" s="187">
        <f>'Données projet'!D149</f>
        <v>18</v>
      </c>
      <c r="C156" s="204">
        <v>17</v>
      </c>
      <c r="D156" s="194">
        <f t="shared" si="10"/>
        <v>306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60</v>
      </c>
      <c r="B157" s="187">
        <f>'Données projet'!D150</f>
        <v>17</v>
      </c>
      <c r="C157" s="204">
        <v>17</v>
      </c>
      <c r="D157" s="194">
        <f t="shared" si="10"/>
        <v>289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65</v>
      </c>
      <c r="B158" s="187">
        <f>'Données projet'!D151</f>
        <v>16</v>
      </c>
      <c r="C158" s="204">
        <v>20</v>
      </c>
      <c r="D158" s="194">
        <f t="shared" si="10"/>
        <v>320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70</v>
      </c>
      <c r="B159" s="187">
        <f>'Données projet'!D152</f>
        <v>15</v>
      </c>
      <c r="C159" s="204">
        <v>25</v>
      </c>
      <c r="D159" s="194">
        <f t="shared" si="10"/>
        <v>375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75</v>
      </c>
      <c r="B160" s="187">
        <f>'Données projet'!D153</f>
        <v>14</v>
      </c>
      <c r="C160" s="204">
        <v>30</v>
      </c>
      <c r="D160" s="194">
        <f t="shared" si="10"/>
        <v>420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80</v>
      </c>
      <c r="B161" s="187">
        <f>'Données projet'!D154</f>
        <v>382</v>
      </c>
      <c r="C161" s="204">
        <v>80</v>
      </c>
      <c r="D161" s="194">
        <f t="shared" si="10"/>
        <v>30560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Erable sycomore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10</v>
      </c>
      <c r="B178" s="193">
        <f>'Données projet'!D166</f>
        <v>0</v>
      </c>
      <c r="C178" s="206">
        <v>5</v>
      </c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15</v>
      </c>
      <c r="B179" s="193">
        <f>'Données projet'!D167</f>
        <v>32</v>
      </c>
      <c r="C179" s="206">
        <v>7</v>
      </c>
      <c r="D179" s="191">
        <f t="shared" ref="D179:D197" si="11">B179*C179</f>
        <v>224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20</v>
      </c>
      <c r="B180" s="193">
        <f>'Données projet'!D168</f>
        <v>35</v>
      </c>
      <c r="C180" s="206">
        <v>9</v>
      </c>
      <c r="D180" s="191">
        <f t="shared" si="11"/>
        <v>315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25</v>
      </c>
      <c r="B181" s="193">
        <f>'Données projet'!D169</f>
        <v>35</v>
      </c>
      <c r="C181" s="206">
        <v>9</v>
      </c>
      <c r="D181" s="191">
        <f t="shared" si="11"/>
        <v>315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30</v>
      </c>
      <c r="B182" s="193">
        <f>'Données projet'!D170</f>
        <v>35</v>
      </c>
      <c r="C182" s="206">
        <v>9</v>
      </c>
      <c r="D182" s="191">
        <f t="shared" si="11"/>
        <v>315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35</v>
      </c>
      <c r="B183" s="193">
        <f>'Données projet'!D171</f>
        <v>35</v>
      </c>
      <c r="C183" s="206">
        <v>14</v>
      </c>
      <c r="D183" s="191">
        <f t="shared" si="11"/>
        <v>490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40</v>
      </c>
      <c r="B184" s="193">
        <f>'Données projet'!D172</f>
        <v>35</v>
      </c>
      <c r="C184" s="206">
        <v>14</v>
      </c>
      <c r="D184" s="191">
        <f t="shared" si="11"/>
        <v>490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45</v>
      </c>
      <c r="B185" s="193">
        <f>'Données projet'!D173</f>
        <v>24</v>
      </c>
      <c r="C185" s="206">
        <v>14</v>
      </c>
      <c r="D185" s="191">
        <f t="shared" si="11"/>
        <v>336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50</v>
      </c>
      <c r="B186" s="193">
        <f>'Données projet'!D174</f>
        <v>19</v>
      </c>
      <c r="C186" s="206">
        <v>20</v>
      </c>
      <c r="D186" s="191">
        <f t="shared" si="11"/>
        <v>380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55</v>
      </c>
      <c r="B187" s="193">
        <f>'Données projet'!D175</f>
        <v>16</v>
      </c>
      <c r="C187" s="206">
        <v>25</v>
      </c>
      <c r="D187" s="191">
        <f t="shared" si="11"/>
        <v>400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60</v>
      </c>
      <c r="B188" s="193">
        <f>'Données projet'!D176</f>
        <v>14</v>
      </c>
      <c r="C188" s="206">
        <v>30</v>
      </c>
      <c r="D188" s="191">
        <f t="shared" si="11"/>
        <v>420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65</v>
      </c>
      <c r="B189" s="193">
        <f>'Données projet'!D177</f>
        <v>13</v>
      </c>
      <c r="C189" s="206">
        <v>30</v>
      </c>
      <c r="D189" s="191">
        <f t="shared" si="11"/>
        <v>390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70</v>
      </c>
      <c r="B190" s="193">
        <f>'Données projet'!D178</f>
        <v>13</v>
      </c>
      <c r="C190" s="206">
        <v>40</v>
      </c>
      <c r="D190" s="191">
        <f t="shared" si="11"/>
        <v>520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75</v>
      </c>
      <c r="B191" s="193">
        <f>'Données projet'!D179</f>
        <v>12</v>
      </c>
      <c r="C191" s="206">
        <v>50</v>
      </c>
      <c r="D191" s="191">
        <f t="shared" si="11"/>
        <v>600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80</v>
      </c>
      <c r="B192" s="193">
        <f>'Données projet'!D180</f>
        <v>329</v>
      </c>
      <c r="C192" s="206">
        <v>80</v>
      </c>
      <c r="D192" s="191">
        <f t="shared" si="11"/>
        <v>26320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Robinier faux-acacia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5</v>
      </c>
      <c r="B209" s="193">
        <f>'Données projet'!D192</f>
        <v>8</v>
      </c>
      <c r="C209" s="206">
        <v>7</v>
      </c>
      <c r="D209" s="191">
        <f>B209*C209</f>
        <v>56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10</v>
      </c>
      <c r="B210" s="193">
        <f>'Données projet'!D193</f>
        <v>37</v>
      </c>
      <c r="C210" s="206">
        <v>8</v>
      </c>
      <c r="D210" s="191">
        <f t="shared" ref="D210:D228" si="12">B210*C210</f>
        <v>296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15</v>
      </c>
      <c r="B211" s="193">
        <f>'Données projet'!D194</f>
        <v>29</v>
      </c>
      <c r="C211" s="206">
        <v>8</v>
      </c>
      <c r="D211" s="191">
        <f t="shared" si="12"/>
        <v>232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20</v>
      </c>
      <c r="B212" s="193">
        <f>'Données projet'!D195</f>
        <v>23</v>
      </c>
      <c r="C212" s="206">
        <v>23</v>
      </c>
      <c r="D212" s="191">
        <f t="shared" si="12"/>
        <v>529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25</v>
      </c>
      <c r="B213" s="193">
        <f>'Données projet'!D196</f>
        <v>18</v>
      </c>
      <c r="C213" s="206">
        <v>25</v>
      </c>
      <c r="D213" s="191">
        <f t="shared" si="12"/>
        <v>450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30</v>
      </c>
      <c r="B214" s="193">
        <f>'Données projet'!D197</f>
        <v>14</v>
      </c>
      <c r="C214" s="206">
        <v>29</v>
      </c>
      <c r="D214" s="191">
        <f t="shared" si="12"/>
        <v>406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35</v>
      </c>
      <c r="B215" s="193">
        <f>'Données projet'!D198</f>
        <v>11</v>
      </c>
      <c r="C215" s="206">
        <v>33</v>
      </c>
      <c r="D215" s="191">
        <f t="shared" si="12"/>
        <v>363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40</v>
      </c>
      <c r="B216" s="193">
        <f>'Données projet'!D199</f>
        <v>9</v>
      </c>
      <c r="C216" s="206">
        <v>37</v>
      </c>
      <c r="D216" s="191">
        <f t="shared" si="12"/>
        <v>333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45</v>
      </c>
      <c r="B217" s="193">
        <f>'Données projet'!D200</f>
        <v>378</v>
      </c>
      <c r="C217" s="206">
        <v>42</v>
      </c>
      <c r="D217" s="191">
        <f t="shared" si="12"/>
        <v>15876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Chêne rouge d'Amérique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15</v>
      </c>
      <c r="B240" s="193">
        <f>'Données projet'!D218</f>
        <v>21</v>
      </c>
      <c r="C240" s="206">
        <v>5</v>
      </c>
      <c r="D240" s="191">
        <f>B240*C240</f>
        <v>105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20</v>
      </c>
      <c r="B241" s="193">
        <f>'Données projet'!D219</f>
        <v>43</v>
      </c>
      <c r="C241" s="206">
        <v>7</v>
      </c>
      <c r="D241" s="191">
        <f t="shared" ref="D241:D259" si="13">B241*C241</f>
        <v>301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25</v>
      </c>
      <c r="B242" s="193">
        <f>'Données projet'!D220</f>
        <v>44</v>
      </c>
      <c r="C242" s="206">
        <v>9</v>
      </c>
      <c r="D242" s="191">
        <f t="shared" si="13"/>
        <v>396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30</v>
      </c>
      <c r="B243" s="193">
        <f>'Données projet'!D221</f>
        <v>44</v>
      </c>
      <c r="C243" s="206">
        <v>9</v>
      </c>
      <c r="D243" s="191">
        <f t="shared" si="13"/>
        <v>396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35</v>
      </c>
      <c r="B244" s="193">
        <f>'Données projet'!D222</f>
        <v>42</v>
      </c>
      <c r="C244" s="206">
        <v>9</v>
      </c>
      <c r="D244" s="191">
        <f t="shared" si="13"/>
        <v>378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40</v>
      </c>
      <c r="B245" s="193">
        <f>'Données projet'!D223</f>
        <v>39</v>
      </c>
      <c r="C245" s="206">
        <v>14</v>
      </c>
      <c r="D245" s="191">
        <f t="shared" si="13"/>
        <v>546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45</v>
      </c>
      <c r="B246" s="193">
        <f>'Données projet'!D224</f>
        <v>36</v>
      </c>
      <c r="C246" s="206">
        <v>14</v>
      </c>
      <c r="D246" s="191">
        <f t="shared" si="13"/>
        <v>504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50</v>
      </c>
      <c r="B247" s="193">
        <f>'Données projet'!D225</f>
        <v>33</v>
      </c>
      <c r="C247" s="206">
        <v>14</v>
      </c>
      <c r="D247" s="191">
        <f t="shared" si="13"/>
        <v>462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55</v>
      </c>
      <c r="B248" s="193">
        <f>'Données projet'!D226</f>
        <v>29</v>
      </c>
      <c r="C248" s="206">
        <v>20</v>
      </c>
      <c r="D248" s="191">
        <f t="shared" si="13"/>
        <v>580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60</v>
      </c>
      <c r="B249" s="193">
        <f>'Données projet'!D227</f>
        <v>26</v>
      </c>
      <c r="C249" s="206">
        <v>25</v>
      </c>
      <c r="D249" s="191">
        <f t="shared" si="13"/>
        <v>650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65</v>
      </c>
      <c r="B250" s="193">
        <f>'Données projet'!D228</f>
        <v>23</v>
      </c>
      <c r="C250" s="206">
        <v>30</v>
      </c>
      <c r="D250" s="191">
        <f t="shared" si="13"/>
        <v>690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70</v>
      </c>
      <c r="B251" s="193">
        <f>'Données projet'!D229</f>
        <v>249</v>
      </c>
      <c r="C251" s="206">
        <v>80</v>
      </c>
      <c r="D251" s="191">
        <f t="shared" si="13"/>
        <v>19920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2024-07-19T08:19:23Z</dcterms:modified>
</cp:coreProperties>
</file>