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Evreux\CERENCES (50) -Indivision Mournaud - Hummingbirds\Dossier déposé le 12 10 2023\"/>
    </mc:Choice>
  </mc:AlternateContent>
  <xr:revisionPtr revIDLastSave="0" documentId="13_ncr:1_{2AE7A1F0-9A0C-4BEA-A6C3-9A1AD678651E}" xr6:coauthVersionLast="36" xr6:coauthVersionMax="36" xr10:uidLastSave="{00000000-0000-0000-0000-000000000000}"/>
  <bookViews>
    <workbookView xWindow="0" yWindow="0" windowWidth="21570" windowHeight="933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I163" i="2" l="1"/>
  <c r="DH164" i="2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 l="1"/>
  <c r="EA201" i="2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47" i="2" a="1"/>
  <c r="BC47" i="2" s="1"/>
  <c r="BC126" i="2" a="1"/>
  <c r="BC126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BC84" i="2" a="1"/>
  <c r="BC84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FD82" i="2" a="1"/>
  <c r="FD82" i="2" s="1"/>
  <c r="DN187" i="2" a="1"/>
  <c r="DN187" i="2" s="1"/>
  <c r="HJ202" i="2"/>
  <c r="EY202" i="2"/>
  <c r="AX200" i="2"/>
  <c r="BC68" i="2" l="1" a="1"/>
  <c r="BC68" i="2" s="1"/>
  <c r="AH62" i="2" a="1"/>
  <c r="AH62" i="2" s="1"/>
  <c r="AH90" i="2" a="1"/>
  <c r="AH90" i="2" s="1"/>
  <c r="BX107" i="2" a="1"/>
  <c r="BX107" i="2" s="1"/>
  <c r="CS120" i="2" a="1"/>
  <c r="CS120" i="2" s="1"/>
  <c r="CS52" i="2" a="1"/>
  <c r="CS52" i="2" s="1"/>
  <c r="CS66" i="2" a="1"/>
  <c r="CS66" i="2" s="1"/>
  <c r="CS72" i="2" a="1"/>
  <c r="CS72" i="2" s="1"/>
  <c r="CS114" i="2" a="1"/>
  <c r="CS114" i="2" s="1"/>
  <c r="CS105" i="2" a="1"/>
  <c r="CS105" i="2" s="1"/>
  <c r="CS134" i="2" a="1"/>
  <c r="CS134" i="2" s="1"/>
  <c r="CS24" i="2" a="1"/>
  <c r="CS24" i="2" s="1"/>
  <c r="CS56" i="2" a="1"/>
  <c r="CS56" i="2" s="1"/>
  <c r="CS38" i="2" a="1"/>
  <c r="CS38" i="2" s="1"/>
  <c r="CS161" i="2" a="1"/>
  <c r="CS161" i="2" s="1"/>
  <c r="CS77" i="2" a="1"/>
  <c r="CS77" i="2" s="1"/>
  <c r="CS185" i="2" a="1"/>
  <c r="CS185" i="2" s="1"/>
  <c r="BC164" i="2" a="1"/>
  <c r="BC164" i="2" s="1"/>
  <c r="BC65" i="2" a="1"/>
  <c r="BC65" i="2" s="1"/>
  <c r="BC192" i="2" a="1"/>
  <c r="BC192" i="2" s="1"/>
  <c r="BC114" i="2" a="1"/>
  <c r="BC114" i="2" s="1"/>
  <c r="BC130" i="2" a="1"/>
  <c r="BC130" i="2" s="1"/>
  <c r="BC82" i="2" a="1"/>
  <c r="BC82" i="2" s="1"/>
  <c r="BC7" i="2" a="1"/>
  <c r="BC7" i="2" s="1"/>
  <c r="BC58" i="2" a="1"/>
  <c r="BC58" i="2" s="1"/>
  <c r="BC185" i="2" a="1"/>
  <c r="BC185" i="2" s="1"/>
  <c r="BC34" i="2" a="1"/>
  <c r="BC34" i="2" s="1"/>
  <c r="BC143" i="2" a="1"/>
  <c r="BC143" i="2" s="1"/>
  <c r="BC31" i="2" a="1"/>
  <c r="BC31" i="2" s="1"/>
  <c r="AH19" i="2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DI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75" i="2" l="1"/>
  <c r="CD62" i="2"/>
  <c r="CD78" i="2"/>
  <c r="CD88" i="2"/>
  <c r="CD40" i="2"/>
  <c r="CD185" i="2"/>
  <c r="CD7" i="2"/>
  <c r="CD41" i="2"/>
  <c r="CD172" i="2"/>
  <c r="CD98" i="2"/>
  <c r="CD85" i="2"/>
  <c r="CD97" i="2"/>
  <c r="CD158" i="2"/>
  <c r="CD34" i="2"/>
  <c r="CD178" i="2"/>
  <c r="CD122" i="2"/>
  <c r="CD73" i="2"/>
  <c r="CD189" i="2"/>
  <c r="CD14" i="2"/>
  <c r="CD171" i="2"/>
  <c r="CD110" i="2"/>
  <c r="CD133" i="2"/>
  <c r="CD29" i="2"/>
  <c r="CD117" i="2"/>
  <c r="CD60" i="2"/>
  <c r="CD151" i="2"/>
  <c r="CD27" i="2"/>
  <c r="CD160" i="2"/>
  <c r="CD175" i="2"/>
  <c r="CD167" i="2"/>
  <c r="CD136" i="2"/>
  <c r="CD92" i="2"/>
  <c r="CD24" i="2"/>
  <c r="CD33" i="2"/>
  <c r="CD119" i="2"/>
  <c r="CD196" i="2"/>
  <c r="CD200" i="2"/>
  <c r="CD38" i="2"/>
  <c r="CD191" i="2"/>
  <c r="CD195" i="2"/>
  <c r="CD95" i="2"/>
  <c r="CD21" i="2"/>
  <c r="CD63" i="2"/>
  <c r="CD152" i="2"/>
  <c r="CD145" i="2"/>
  <c r="CD25" i="2"/>
  <c r="CD11" i="2"/>
  <c r="CD10" i="2"/>
  <c r="CD192" i="2"/>
  <c r="CD9" i="2"/>
  <c r="CD6" i="2"/>
  <c r="CD12" i="2"/>
  <c r="CD182" i="2"/>
  <c r="CD94" i="2"/>
  <c r="CD140" i="2"/>
  <c r="CD186" i="2"/>
  <c r="CD201" i="2"/>
  <c r="CD106" i="2"/>
  <c r="CD181" i="2"/>
  <c r="CD45" i="2"/>
  <c r="CD132" i="2"/>
  <c r="CD31" i="2"/>
  <c r="CD101" i="2"/>
  <c r="CD68" i="2"/>
  <c r="CD154" i="2"/>
  <c r="CD47" i="2"/>
  <c r="CD157" i="2"/>
  <c r="CD99" i="2"/>
  <c r="CD35" i="2"/>
  <c r="CD131" i="2"/>
  <c r="CD113" i="2"/>
  <c r="CD96" i="2"/>
  <c r="CD39" i="2"/>
  <c r="CD108" i="2"/>
  <c r="CD36" i="2"/>
  <c r="CD87" i="2"/>
  <c r="CD128" i="2"/>
  <c r="CD46" i="2"/>
  <c r="CD139" i="2"/>
  <c r="CD134" i="2"/>
  <c r="CD59" i="2"/>
  <c r="CD146" i="2"/>
  <c r="CD198" i="2"/>
  <c r="CD105" i="2"/>
  <c r="CD177" i="2"/>
  <c r="CD23" i="2"/>
  <c r="CD89" i="2"/>
  <c r="CD156" i="2"/>
  <c r="CD203" i="2"/>
  <c r="CD127" i="2"/>
  <c r="CD114" i="2"/>
  <c r="CD65" i="2"/>
  <c r="CD18" i="2"/>
  <c r="CD13" i="2"/>
  <c r="CD8" i="2"/>
  <c r="CD141" i="2"/>
  <c r="CD19" i="2"/>
  <c r="CD90" i="2"/>
  <c r="CD67" i="2"/>
  <c r="CD81" i="2"/>
  <c r="CD61" i="2"/>
  <c r="CD118" i="2"/>
  <c r="CD144" i="2"/>
  <c r="CD54" i="2"/>
  <c r="CD84" i="2"/>
  <c r="CD42" i="2"/>
  <c r="CD69" i="2"/>
  <c r="CD20" i="2"/>
  <c r="CD176" i="2"/>
  <c r="CD76" i="2"/>
  <c r="CD48" i="2"/>
  <c r="CD129" i="2"/>
  <c r="CD109" i="2"/>
  <c r="CD82" i="2"/>
  <c r="CD15" i="2"/>
  <c r="CD153" i="2"/>
  <c r="CD194" i="2"/>
  <c r="CD51" i="2"/>
  <c r="CD80" i="2"/>
  <c r="CD77" i="2"/>
  <c r="CD187" i="2"/>
  <c r="CD184" i="2"/>
  <c r="CD120" i="2"/>
  <c r="CD57" i="2"/>
  <c r="CD162" i="2"/>
  <c r="CD56" i="2"/>
  <c r="CD135" i="2"/>
  <c r="CD72" i="2"/>
  <c r="CD149" i="2"/>
  <c r="CD168" i="2"/>
  <c r="CD28" i="2"/>
  <c r="CD103" i="2"/>
  <c r="CD159" i="2"/>
  <c r="CD166" i="2"/>
  <c r="CD112" i="2"/>
  <c r="CD37" i="2"/>
  <c r="CD5" i="2"/>
  <c r="CD121" i="2"/>
  <c r="CD202" i="2"/>
  <c r="CD199" i="2"/>
  <c r="CD70" i="2"/>
  <c r="CD183" i="2"/>
  <c r="CD3" i="2"/>
  <c r="C9" i="4" s="1"/>
  <c r="E9" i="4" s="1"/>
  <c r="F9" i="4" s="1"/>
  <c r="G9" i="4" s="1"/>
  <c r="L9" i="4" s="1"/>
  <c r="CD79" i="2"/>
  <c r="CD4" i="2"/>
  <c r="CD124" i="2"/>
  <c r="CD188" i="2"/>
  <c r="CD74" i="2"/>
  <c r="CD111" i="2"/>
  <c r="CD52" i="2"/>
  <c r="CD170" i="2"/>
  <c r="CD173" i="2"/>
  <c r="CD58" i="2"/>
  <c r="CD179" i="2"/>
  <c r="CD164" i="2"/>
  <c r="CD148" i="2"/>
  <c r="CD138" i="2"/>
  <c r="CD83" i="2"/>
  <c r="CD193" i="2"/>
  <c r="CD147" i="2"/>
  <c r="CD104" i="2"/>
  <c r="CD91" i="2"/>
  <c r="CD150" i="2"/>
  <c r="CD71" i="2"/>
  <c r="CD43" i="2"/>
  <c r="CD50" i="2"/>
  <c r="CD26" i="2"/>
  <c r="CD169" i="2"/>
  <c r="CD102" i="2"/>
  <c r="CD100" i="2"/>
  <c r="CD123" i="2"/>
  <c r="CD115" i="2"/>
  <c r="CD53" i="2"/>
  <c r="CD16" i="2"/>
  <c r="CD180" i="2"/>
  <c r="CD130" i="2"/>
  <c r="CD30" i="2"/>
  <c r="CD116" i="2"/>
  <c r="CD161" i="2"/>
  <c r="CD66" i="2"/>
  <c r="CD163" i="2"/>
  <c r="CD32" i="2"/>
  <c r="CD190" i="2"/>
  <c r="CD22" i="2"/>
  <c r="CD86" i="2"/>
  <c r="CD55" i="2"/>
  <c r="CD143" i="2"/>
  <c r="CD137" i="2"/>
  <c r="CD174" i="2"/>
  <c r="CD17" i="2"/>
  <c r="CD49" i="2"/>
  <c r="CD165" i="2"/>
  <c r="CD44" i="2"/>
  <c r="CD126" i="2"/>
  <c r="CD155" i="2"/>
  <c r="CD197" i="2"/>
  <c r="CD125" i="2"/>
  <c r="CD142" i="2"/>
  <c r="CD93" i="2"/>
  <c r="CD107" i="2"/>
  <c r="CD64" i="2"/>
  <c r="CY24" i="2"/>
  <c r="CY54" i="2"/>
  <c r="CY187" i="2"/>
  <c r="CY104" i="2"/>
  <c r="CY80" i="2"/>
  <c r="CY173" i="2"/>
  <c r="CY148" i="2"/>
  <c r="CY47" i="2"/>
  <c r="CY43" i="2"/>
  <c r="CY56" i="2"/>
  <c r="CY62" i="2"/>
  <c r="CY63" i="2"/>
  <c r="CY175" i="2"/>
  <c r="CY171" i="2"/>
  <c r="CY176" i="2"/>
  <c r="CY91" i="2"/>
  <c r="CY168" i="2"/>
  <c r="CY177" i="2"/>
  <c r="CY88" i="2"/>
  <c r="CY129" i="2"/>
  <c r="CY182" i="2"/>
  <c r="CY135" i="2"/>
  <c r="CY153" i="2"/>
  <c r="CY51" i="2"/>
  <c r="CY189" i="2"/>
  <c r="CY133" i="2"/>
  <c r="CY128" i="2"/>
  <c r="CY105" i="2"/>
  <c r="CY65" i="2"/>
  <c r="CY10" i="2"/>
  <c r="CY14" i="2"/>
  <c r="CY95" i="2"/>
  <c r="CY154" i="2"/>
  <c r="CY113" i="2"/>
  <c r="CY44" i="2"/>
  <c r="CY122" i="2"/>
  <c r="CY194" i="2"/>
  <c r="CY103" i="2"/>
  <c r="CY200" i="2"/>
  <c r="CY3" i="2"/>
  <c r="C10" i="4" s="1"/>
  <c r="E10" i="4" s="1"/>
  <c r="F10" i="4" s="1"/>
  <c r="G10" i="4" s="1"/>
  <c r="L10" i="4" s="1"/>
  <c r="CY165" i="2"/>
  <c r="CY174" i="2"/>
  <c r="CY31" i="2"/>
  <c r="CY16" i="2"/>
  <c r="CY50" i="2"/>
  <c r="CY79" i="2"/>
  <c r="CY100" i="2"/>
  <c r="CY39" i="2"/>
  <c r="CY159" i="2"/>
  <c r="CY172" i="2"/>
  <c r="CY156" i="2"/>
  <c r="CY8" i="2"/>
  <c r="CY157" i="2"/>
  <c r="CY163" i="2"/>
  <c r="CY191" i="2"/>
  <c r="CY170" i="2"/>
  <c r="CY71" i="2"/>
  <c r="CY93" i="2"/>
  <c r="CY12" i="2"/>
  <c r="CY18" i="2"/>
  <c r="CY126" i="2"/>
  <c r="CY30" i="2"/>
  <c r="CY81" i="2"/>
  <c r="CY19" i="2"/>
  <c r="CY134" i="2"/>
  <c r="CY58" i="2"/>
  <c r="CY83" i="2"/>
  <c r="CY66" i="2"/>
  <c r="CY20" i="2"/>
  <c r="CY53" i="2"/>
  <c r="CY36" i="2"/>
  <c r="CY46" i="2"/>
  <c r="CY29" i="2"/>
  <c r="CY119" i="2"/>
  <c r="CY106" i="2"/>
  <c r="CY64" i="2"/>
  <c r="CY82" i="2"/>
  <c r="CY59" i="2"/>
  <c r="CY160" i="2"/>
  <c r="CY151" i="2"/>
  <c r="CY149" i="2"/>
  <c r="CY142" i="2"/>
  <c r="CY27" i="2"/>
  <c r="CY183" i="2"/>
  <c r="CY108" i="2"/>
  <c r="CY90" i="2"/>
  <c r="CY73" i="2"/>
  <c r="CY42" i="2"/>
  <c r="CY6" i="2"/>
  <c r="CY138" i="2"/>
  <c r="CY162" i="2"/>
  <c r="CY112" i="2"/>
  <c r="CY186" i="2"/>
  <c r="CY97" i="2"/>
  <c r="CY33" i="2"/>
  <c r="CY9" i="2"/>
  <c r="CY72" i="2"/>
  <c r="CY116" i="2"/>
  <c r="CY94" i="2"/>
  <c r="CY130" i="2"/>
  <c r="CY155" i="2"/>
  <c r="CY123" i="2"/>
  <c r="CY124" i="2"/>
  <c r="CY184" i="2"/>
  <c r="CY110" i="2"/>
  <c r="CY164" i="2"/>
  <c r="CY201" i="2"/>
  <c r="CY49" i="2"/>
  <c r="CY152" i="2"/>
  <c r="CY61" i="2"/>
  <c r="CY41" i="2"/>
  <c r="CY89" i="2"/>
  <c r="CY114" i="2"/>
  <c r="CY34" i="2"/>
  <c r="CY70" i="2"/>
  <c r="CY196" i="2"/>
  <c r="CY115" i="2"/>
  <c r="CY202" i="2"/>
  <c r="CY77" i="2"/>
  <c r="CY121" i="2"/>
  <c r="CY102" i="2"/>
  <c r="CY107" i="2"/>
  <c r="CY28" i="2"/>
  <c r="CY179" i="2"/>
  <c r="CY96" i="2"/>
  <c r="CY75" i="2"/>
  <c r="CY60" i="2"/>
  <c r="CY136" i="2"/>
  <c r="CY23" i="2"/>
  <c r="CY131" i="2"/>
  <c r="CY69" i="2"/>
  <c r="CY68" i="2"/>
  <c r="CY35" i="2"/>
  <c r="CY22" i="2"/>
  <c r="CY40" i="2"/>
  <c r="CY87" i="2"/>
  <c r="CY118" i="2"/>
  <c r="CY125" i="2"/>
  <c r="CY181" i="2"/>
  <c r="CY37" i="2"/>
  <c r="CY67" i="2"/>
  <c r="CY85" i="2"/>
  <c r="CY21" i="2"/>
  <c r="CY84" i="2"/>
  <c r="CY7" i="2"/>
  <c r="CY78" i="2"/>
  <c r="CY15" i="2"/>
  <c r="CY137" i="2"/>
  <c r="CY48" i="2"/>
  <c r="CY52" i="2"/>
  <c r="CY199" i="2"/>
  <c r="CY17" i="2"/>
  <c r="CY86" i="2"/>
  <c r="CY141" i="2"/>
  <c r="CY150" i="2"/>
  <c r="CY167" i="2"/>
  <c r="CY178" i="2"/>
  <c r="CY45" i="2"/>
  <c r="CY203" i="2"/>
  <c r="CY55" i="2"/>
  <c r="CY5" i="2"/>
  <c r="CY195" i="2"/>
  <c r="CY26" i="2"/>
  <c r="CY140" i="2"/>
  <c r="CY132" i="2"/>
  <c r="CY139" i="2"/>
  <c r="CY99" i="2"/>
  <c r="CY144" i="2"/>
  <c r="CY147" i="2"/>
  <c r="CY101" i="2"/>
  <c r="CY117" i="2"/>
  <c r="CY188" i="2"/>
  <c r="CY98" i="2"/>
  <c r="CY32" i="2"/>
  <c r="CY38" i="2"/>
  <c r="CY193" i="2"/>
  <c r="CY166" i="2"/>
  <c r="CY190" i="2"/>
  <c r="CY158" i="2"/>
  <c r="CY74" i="2"/>
  <c r="CY169" i="2"/>
  <c r="CY111" i="2"/>
  <c r="CY180" i="2"/>
  <c r="CY185" i="2"/>
  <c r="CY192" i="2"/>
  <c r="CY57" i="2"/>
  <c r="CY76" i="2"/>
  <c r="CY120" i="2"/>
  <c r="CY143" i="2"/>
  <c r="CY92" i="2"/>
  <c r="CY13" i="2"/>
  <c r="CY4" i="2"/>
  <c r="CY198" i="2"/>
  <c r="CY161" i="2"/>
  <c r="CY127" i="2"/>
  <c r="CY25" i="2"/>
  <c r="CY197" i="2"/>
  <c r="CY11" i="2"/>
  <c r="CY109" i="2"/>
  <c r="CY146" i="2"/>
  <c r="CY145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<sst xmlns="http://schemas.openxmlformats.org/spreadsheetml/2006/main" count="1174" uniqueCount="324">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</sst>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2.0145808773528358</c:v>
                </c:pt>
                <c:pt idx="2">
                  <c:v>2.7928351000252465</c:v>
                </c:pt>
                <c:pt idx="3">
                  <c:v>3.8730351804186167</c:v>
                </c:pt>
                <c:pt idx="4">
                  <c:v>5.3728036608147471</c:v>
                </c:pt>
                <c:pt idx="5">
                  <c:v>7.4557551705464205</c:v>
                </c:pt>
                <c:pt idx="6">
                  <c:v>10.349542435124553</c:v>
                </c:pt>
                <c:pt idx="7">
                  <c:v>14.37100557008751</c:v>
                </c:pt>
                <c:pt idx="8">
                  <c:v>19.961228764171775</c:v>
                </c:pt>
                <c:pt idx="9">
                  <c:v>27.734418314448106</c:v>
                </c:pt>
                <c:pt idx="10">
                  <c:v>38.546066151679575</c:v>
                </c:pt>
                <c:pt idx="11">
                  <c:v>53.58802854611551</c:v>
                </c:pt>
                <c:pt idx="12">
                  <c:v>74.521175401475503</c:v>
                </c:pt>
                <c:pt idx="13">
                  <c:v>103.66049376987102</c:v>
                </c:pt>
                <c:pt idx="14">
                  <c:v>144.23343878702573</c:v>
                </c:pt>
                <c:pt idx="15">
                  <c:v>200.74058596732007</c:v>
                </c:pt>
                <c:pt idx="16">
                  <c:v>234.7496082755471</c:v>
                </c:pt>
                <c:pt idx="17">
                  <c:v>268.64606128457052</c:v>
                </c:pt>
                <c:pt idx="18">
                  <c:v>302.44614715027416</c:v>
                </c:pt>
                <c:pt idx="19">
                  <c:v>336.16214403365615</c:v>
                </c:pt>
                <c:pt idx="20">
                  <c:v>369.80366387000646</c:v>
                </c:pt>
                <c:pt idx="21">
                  <c:v>356.4508794308851</c:v>
                </c:pt>
                <c:pt idx="22">
                  <c:v>394.33609960316602</c:v>
                </c:pt>
                <c:pt idx="23">
                  <c:v>432.14242504303394</c:v>
                </c:pt>
                <c:pt idx="24">
                  <c:v>469.87771773906962</c:v>
                </c:pt>
                <c:pt idx="25">
                  <c:v>507.54847471808063</c:v>
                </c:pt>
                <c:pt idx="26">
                  <c:v>475.56786051841215</c:v>
                </c:pt>
                <c:pt idx="27">
                  <c:v>514.64938862406325</c:v>
                </c:pt>
                <c:pt idx="28">
                  <c:v>553.66829141515586</c:v>
                </c:pt>
                <c:pt idx="29">
                  <c:v>592.62959437384313</c:v>
                </c:pt>
                <c:pt idx="30">
                  <c:v>631.53760923584082</c:v>
                </c:pt>
                <c:pt idx="31">
                  <c:v>558.86635911008875</c:v>
                </c:pt>
                <c:pt idx="32">
                  <c:v>592.39362980732722</c:v>
                </c:pt>
                <c:pt idx="33">
                  <c:v>625.88142421411692</c:v>
                </c:pt>
                <c:pt idx="34">
                  <c:v>659.33214781659433</c:v>
                </c:pt>
                <c:pt idx="35">
                  <c:v>692.74794249826891</c:v>
                </c:pt>
                <c:pt idx="36">
                  <c:v>639.78433756926631</c:v>
                </c:pt>
                <c:pt idx="37">
                  <c:v>671.57286529064845</c:v>
                </c:pt>
                <c:pt idx="38">
                  <c:v>703.33048120908506</c:v>
                </c:pt>
                <c:pt idx="39">
                  <c:v>735.0587749737989</c:v>
                </c:pt>
                <c:pt idx="40">
                  <c:v>766.75918804010871</c:v>
                </c:pt>
                <c:pt idx="41">
                  <c:v>705.44659634791776</c:v>
                </c:pt>
                <c:pt idx="42">
                  <c:v>734.58893303330581</c:v>
                </c:pt>
                <c:pt idx="43">
                  <c:v>763.70773166149456</c:v>
                </c:pt>
                <c:pt idx="44">
                  <c:v>792.80401446874805</c:v>
                </c:pt>
                <c:pt idx="45">
                  <c:v>821.87872266404372</c:v>
                </c:pt>
                <c:pt idx="46">
                  <c:v>770.74918264325152</c:v>
                </c:pt>
                <c:pt idx="47">
                  <c:v>794.6804434861192</c:v>
                </c:pt>
                <c:pt idx="48">
                  <c:v>818.59714676160195</c:v>
                </c:pt>
                <c:pt idx="49">
                  <c:v>842.49977705174535</c:v>
                </c:pt>
                <c:pt idx="50">
                  <c:v>866.38878924101971</c:v>
                </c:pt>
                <c:pt idx="51">
                  <c:v>811.79875206098052</c:v>
                </c:pt>
                <c:pt idx="52">
                  <c:v>829.84716796681175</c:v>
                </c:pt>
                <c:pt idx="53">
                  <c:v>847.8876885854861</c:v>
                </c:pt>
                <c:pt idx="54">
                  <c:v>865.92050537441344</c:v>
                </c:pt>
                <c:pt idx="55">
                  <c:v>883.94580117605472</c:v>
                </c:pt>
                <c:pt idx="56">
                  <c:v>844.37391150362998</c:v>
                </c:pt>
                <c:pt idx="57">
                  <c:v>858.66145471369293</c:v>
                </c:pt>
                <c:pt idx="58">
                  <c:v>872.94423239314926</c:v>
                </c:pt>
                <c:pt idx="59">
                  <c:v>887.22233342614447</c:v>
                </c:pt>
                <c:pt idx="60">
                  <c:v>901.49584360554616</c:v>
                </c:pt>
                <c:pt idx="61">
                  <c:v>872.24191076199133</c:v>
                </c:pt>
                <c:pt idx="62">
                  <c:v>883.94580117605494</c:v>
                </c:pt>
                <c:pt idx="63">
                  <c:v>895.64659417172061</c:v>
                </c:pt>
                <c:pt idx="64">
                  <c:v>907.34433588355262</c:v>
                </c:pt>
                <c:pt idx="65">
                  <c:v>919.03907116057201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4.5603227029592857</c:v>
                </c:pt>
                <c:pt idx="2">
                  <c:v>9.0132952331201093</c:v>
                </c:pt>
                <c:pt idx="3">
                  <c:v>17.838817144878906</c:v>
                </c:pt>
                <c:pt idx="4">
                  <c:v>35.352605371028027</c:v>
                </c:pt>
                <c:pt idx="5">
                  <c:v>70.149974013263474</c:v>
                </c:pt>
                <c:pt idx="6">
                  <c:v>86.557695432218452</c:v>
                </c:pt>
                <c:pt idx="7">
                  <c:v>114.79386073387418</c:v>
                </c:pt>
                <c:pt idx="8">
                  <c:v>142.85889776559074</c:v>
                </c:pt>
                <c:pt idx="9">
                  <c:v>170.79137460696464</c:v>
                </c:pt>
                <c:pt idx="10">
                  <c:v>198.61608801133966</c:v>
                </c:pt>
                <c:pt idx="11">
                  <c:v>170.79137460696464</c:v>
                </c:pt>
                <c:pt idx="12">
                  <c:v>197.83360065109466</c:v>
                </c:pt>
                <c:pt idx="13">
                  <c:v>224.78996180947172</c:v>
                </c:pt>
                <c:pt idx="14">
                  <c:v>251.67220666437959</c:v>
                </c:pt>
                <c:pt idx="15">
                  <c:v>278.48936400091264</c:v>
                </c:pt>
                <c:pt idx="16">
                  <c:v>258.28507230454863</c:v>
                </c:pt>
                <c:pt idx="17">
                  <c:v>282.75904421972086</c:v>
                </c:pt>
                <c:pt idx="18">
                  <c:v>307.18556432776853</c:v>
                </c:pt>
                <c:pt idx="19">
                  <c:v>331.56893409573678</c:v>
                </c:pt>
                <c:pt idx="20">
                  <c:v>355.91277070439497</c:v>
                </c:pt>
                <c:pt idx="21">
                  <c:v>341.23373557401311</c:v>
                </c:pt>
                <c:pt idx="22">
                  <c:v>361.31746248867267</c:v>
                </c:pt>
                <c:pt idx="23">
                  <c:v>381.37678831502052</c:v>
                </c:pt>
                <c:pt idx="24">
                  <c:v>401.41317632821421</c:v>
                </c:pt>
                <c:pt idx="25">
                  <c:v>421.42793186976093</c:v>
                </c:pt>
                <c:pt idx="26">
                  <c:v>411.03827995947972</c:v>
                </c:pt>
                <c:pt idx="27">
                  <c:v>427.58215058986383</c:v>
                </c:pt>
                <c:pt idx="28">
                  <c:v>444.11226191866245</c:v>
                </c:pt>
                <c:pt idx="29">
                  <c:v>460.62919798538474</c:v>
                </c:pt>
                <c:pt idx="30">
                  <c:v>477.13349754486762</c:v>
                </c:pt>
                <c:pt idx="31">
                  <c:v>469.45861841140714</c:v>
                </c:pt>
                <c:pt idx="32">
                  <c:v>482.88793138455003</c:v>
                </c:pt>
                <c:pt idx="33">
                  <c:v>496.30931275327697</c:v>
                </c:pt>
                <c:pt idx="34">
                  <c:v>509.72300718239177</c:v>
                </c:pt>
                <c:pt idx="35">
                  <c:v>523.12924541243819</c:v>
                </c:pt>
                <c:pt idx="36">
                  <c:v>517.76763064124987</c:v>
                </c:pt>
                <c:pt idx="37">
                  <c:v>529.6382221432558</c:v>
                </c:pt>
                <c:pt idx="38">
                  <c:v>541.50321514452014</c:v>
                </c:pt>
                <c:pt idx="39">
                  <c:v>553.36274958383854</c:v>
                </c:pt>
                <c:pt idx="40">
                  <c:v>565.21695891368074</c:v>
                </c:pt>
                <c:pt idx="41">
                  <c:v>563.30534449457025</c:v>
                </c:pt>
                <c:pt idx="42">
                  <c:v>574.77301329675208</c:v>
                </c:pt>
                <c:pt idx="43">
                  <c:v>586.23590668718805</c:v>
                </c:pt>
                <c:pt idx="44">
                  <c:v>597.6941311815882</c:v>
                </c:pt>
                <c:pt idx="45">
                  <c:v>609.14778887966042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149.95176191502506</c:v>
                </c:pt>
                <c:pt idx="22">
                  <c:v>164.11390630042692</c:v>
                </c:pt>
                <c:pt idx="23">
                  <c:v>178.24716715271646</c:v>
                </c:pt>
                <c:pt idx="24">
                  <c:v>192.35415851868379</c:v>
                </c:pt>
                <c:pt idx="25">
                  <c:v>206.43707921846078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208.00044644770739</c:v>
                </c:pt>
                <c:pt idx="32">
                  <c:v>229.08024217931529</c:v>
                </c:pt>
                <c:pt idx="33">
                  <c:v>250.11566977871598</c:v>
                </c:pt>
                <c:pt idx="34">
                  <c:v>271.11098488765998</c:v>
                </c:pt>
                <c:pt idx="35">
                  <c:v>292.06972985560316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</c:v>
                </c:pt>
                <c:pt idx="39">
                  <c:v>324.60643807826506</c:v>
                </c:pt>
                <c:pt idx="40">
                  <c:v>346.25704166537031</c:v>
                </c:pt>
                <c:pt idx="41">
                  <c:v>314.15647495690467</c:v>
                </c:pt>
                <c:pt idx="42">
                  <c:v>336.20880231759617</c:v>
                </c:pt>
                <c:pt idx="43">
                  <c:v>358.22928558083089</c:v>
                </c:pt>
                <c:pt idx="44">
                  <c:v>380.22015624917964</c:v>
                </c:pt>
                <c:pt idx="45">
                  <c:v>402.18336673633218</c:v>
                </c:pt>
                <c:pt idx="46">
                  <c:v>369.42119511414558</c:v>
                </c:pt>
                <c:pt idx="47">
                  <c:v>390.62711987431999</c:v>
                </c:pt>
                <c:pt idx="48">
                  <c:v>411.80807637868764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419.88907590240791</c:v>
                </c:pt>
                <c:pt idx="52">
                  <c:v>439.50055712660469</c:v>
                </c:pt>
                <c:pt idx="53">
                  <c:v>459.09327985807062</c:v>
                </c:pt>
                <c:pt idx="54">
                  <c:v>478.66815678776129</c:v>
                </c:pt>
                <c:pt idx="55">
                  <c:v>498.22601991660639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497.84269099902531</c:v>
                </c:pt>
                <c:pt idx="62">
                  <c:v>514.70332559574479</c:v>
                </c:pt>
                <c:pt idx="63">
                  <c:v>531.55230561741564</c:v>
                </c:pt>
                <c:pt idx="64">
                  <c:v>548.39005229891859</c:v>
                </c:pt>
                <c:pt idx="65">
                  <c:v>565.21695891368086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551.067775468881</c:v>
                </c:pt>
                <c:pt idx="72">
                  <c:v>565.5992655562859</c:v>
                </c:pt>
                <c:pt idx="73">
                  <c:v>580.12295123245474</c:v>
                </c:pt>
                <c:pt idx="74">
                  <c:v>594.63905531968851</c:v>
                </c:pt>
                <c:pt idx="75">
                  <c:v>609.14778887966054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583.94370486394735</c:v>
                </c:pt>
                <c:pt idx="82">
                  <c:v>596.93039273337797</c:v>
                </c:pt>
                <c:pt idx="83">
                  <c:v>609.91120610652649</c:v>
                </c:pt>
                <c:pt idx="84">
                  <c:v>622.88628757946492</c:v>
                </c:pt>
                <c:pt idx="85">
                  <c:v>635.85577332565333</c:v>
                </c:pt>
                <c:pt idx="86">
                  <c:v>594.63905531968851</c:v>
                </c:pt>
                <c:pt idx="87">
                  <c:v>606.85741792448357</c:v>
                </c:pt>
                <c:pt idx="88">
                  <c:v>619.07067399707296</c:v>
                </c:pt>
                <c:pt idx="89">
                  <c:v>631.27893844334869</c:v>
                </c:pt>
                <c:pt idx="90">
                  <c:v>643.48232136416652</c:v>
                </c:pt>
                <c:pt idx="91">
                  <c:v>601.8943306586167</c:v>
                </c:pt>
                <c:pt idx="92">
                  <c:v>613.72799533010163</c:v>
                </c:pt>
                <c:pt idx="93">
                  <c:v>625.55692889431919</c:v>
                </c:pt>
                <c:pt idx="94">
                  <c:v>637.3812333927383</c:v>
                </c:pt>
                <c:pt idx="95">
                  <c:v>649.20100677344158</c:v>
                </c:pt>
                <c:pt idx="96">
                  <c:v>606.4756720002963</c:v>
                </c:pt>
                <c:pt idx="97">
                  <c:v>617.16268463508527</c:v>
                </c:pt>
                <c:pt idx="98">
                  <c:v>627.84586213083401</c:v>
                </c:pt>
                <c:pt idx="99">
                  <c:v>638.52527892770956</c:v>
                </c:pt>
                <c:pt idx="100">
                  <c:v>649.2010067734418</c:v>
                </c:pt>
                <c:pt idx="101">
                  <c:v>608.00262579276773</c:v>
                </c:pt>
                <c:pt idx="102">
                  <c:v>618.30749289907283</c:v>
                </c:pt>
                <c:pt idx="103">
                  <c:v>628.60880146856778</c:v>
                </c:pt>
                <c:pt idx="104">
                  <c:v>638.90661802503598</c:v>
                </c:pt>
                <c:pt idx="105">
                  <c:v>649.20100677344158</c:v>
                </c:pt>
                <c:pt idx="106">
                  <c:v>609.14778887966042</c:v>
                </c:pt>
                <c:pt idx="107">
                  <c:v>618.68908588691181</c:v>
                </c:pt>
                <c:pt idx="108">
                  <c:v>628.22733419630015</c:v>
                </c:pt>
                <c:pt idx="109">
                  <c:v>637.76258661477357</c:v>
                </c:pt>
                <c:pt idx="110">
                  <c:v>647.29489424172459</c:v>
                </c:pt>
                <c:pt idx="111">
                  <c:v>604.94863836746174</c:v>
                </c:pt>
                <c:pt idx="112">
                  <c:v>610.29290728129274</c:v>
                </c:pt>
                <c:pt idx="113">
                  <c:v>615.63620511985016</c:v>
                </c:pt>
                <c:pt idx="114">
                  <c:v>620.97854150271473</c:v>
                </c:pt>
                <c:pt idx="115">
                  <c:v>626.31992587040452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3.1707548346542</c:v>
                </c:pt>
                <c:pt idx="2">
                  <c:v>3.8994070069335893</c:v>
                </c:pt>
                <c:pt idx="3">
                  <c:v>4.7961395743139903</c:v>
                </c:pt>
                <c:pt idx="4">
                  <c:v>5.8998617479716442</c:v>
                </c:pt>
                <c:pt idx="5">
                  <c:v>7.2585196858425398</c:v>
                </c:pt>
                <c:pt idx="6">
                  <c:v>8.9312018151497536</c:v>
                </c:pt>
                <c:pt idx="7">
                  <c:v>10.990736010102614</c:v>
                </c:pt>
                <c:pt idx="8">
                  <c:v>13.526893830411311</c:v>
                </c:pt>
                <c:pt idx="9">
                  <c:v>16.650344073811482</c:v>
                </c:pt>
                <c:pt idx="10">
                  <c:v>20.497531306964643</c:v>
                </c:pt>
                <c:pt idx="11">
                  <c:v>25.23669631396508</c:v>
                </c:pt>
                <c:pt idx="12">
                  <c:v>31.075306394532003</c:v>
                </c:pt>
                <c:pt idx="13">
                  <c:v>38.269226447074438</c:v>
                </c:pt>
                <c:pt idx="14">
                  <c:v>47.134039619059727</c:v>
                </c:pt>
                <c:pt idx="15">
                  <c:v>58.059022502120392</c:v>
                </c:pt>
                <c:pt idx="16">
                  <c:v>71.524398723990075</c:v>
                </c:pt>
                <c:pt idx="17">
                  <c:v>88.122641699910204</c:v>
                </c:pt>
                <c:pt idx="18">
                  <c:v>108.58477887574996</c:v>
                </c:pt>
                <c:pt idx="19">
                  <c:v>133.81287421387319</c:v>
                </c:pt>
                <c:pt idx="20">
                  <c:v>164.92014306911736</c:v>
                </c:pt>
                <c:pt idx="21">
                  <c:v>167.56178150748116</c:v>
                </c:pt>
                <c:pt idx="22">
                  <c:v>183.39157071786599</c:v>
                </c:pt>
                <c:pt idx="23">
                  <c:v>199.18941693696172</c:v>
                </c:pt>
                <c:pt idx="24">
                  <c:v>214.95821110174333</c:v>
                </c:pt>
                <c:pt idx="25">
                  <c:v>230.70038494007636</c:v>
                </c:pt>
                <c:pt idx="26">
                  <c:v>189.53880266603645</c:v>
                </c:pt>
                <c:pt idx="27">
                  <c:v>209.70501606431188</c:v>
                </c:pt>
                <c:pt idx="28">
                  <c:v>229.82648145953826</c:v>
                </c:pt>
                <c:pt idx="29">
                  <c:v>249.9076676355476</c:v>
                </c:pt>
                <c:pt idx="30">
                  <c:v>269.95226599480003</c:v>
                </c:pt>
                <c:pt idx="31">
                  <c:v>232.44796515158808</c:v>
                </c:pt>
                <c:pt idx="32">
                  <c:v>256.01191793762854</c:v>
                </c:pt>
                <c:pt idx="33">
                  <c:v>279.52680294324563</c:v>
                </c:pt>
                <c:pt idx="34">
                  <c:v>302.99732658461176</c:v>
                </c:pt>
                <c:pt idx="35">
                  <c:v>326.42740643086182</c:v>
                </c:pt>
                <c:pt idx="36">
                  <c:v>289.96337472940422</c:v>
                </c:pt>
                <c:pt idx="37">
                  <c:v>314.28330815365302</c:v>
                </c:pt>
                <c:pt idx="38">
                  <c:v>338.56152844098665</c:v>
                </c:pt>
                <c:pt idx="39">
                  <c:v>362.80144525672227</c:v>
                </c:pt>
                <c:pt idx="40">
                  <c:v>387.0059755941316</c:v>
                </c:pt>
                <c:pt idx="41">
                  <c:v>351.11892985232771</c:v>
                </c:pt>
                <c:pt idx="42">
                  <c:v>375.77238986983883</c:v>
                </c:pt>
                <c:pt idx="43">
                  <c:v>400.3906327370201</c:v>
                </c:pt>
                <c:pt idx="44">
                  <c:v>424.97612632602949</c:v>
                </c:pt>
                <c:pt idx="45">
                  <c:v>449.53102985794379</c:v>
                </c:pt>
                <c:pt idx="46">
                  <c:v>412.90299192267599</c:v>
                </c:pt>
                <c:pt idx="47">
                  <c:v>436.61108755732994</c:v>
                </c:pt>
                <c:pt idx="48">
                  <c:v>460.29157019967312</c:v>
                </c:pt>
                <c:pt idx="49">
                  <c:v>483.94605890429256</c:v>
                </c:pt>
                <c:pt idx="50">
                  <c:v>507.57600167435953</c:v>
                </c:pt>
                <c:pt idx="51">
                  <c:v>469.3262695994801</c:v>
                </c:pt>
                <c:pt idx="52">
                  <c:v>491.25241699045142</c:v>
                </c:pt>
                <c:pt idx="53">
                  <c:v>513.15781891487757</c:v>
                </c:pt>
                <c:pt idx="54">
                  <c:v>535.04348473955281</c:v>
                </c:pt>
                <c:pt idx="55">
                  <c:v>556.91033459423954</c:v>
                </c:pt>
                <c:pt idx="56">
                  <c:v>517.02140203717238</c:v>
                </c:pt>
                <c:pt idx="57">
                  <c:v>537.18811127897277</c:v>
                </c:pt>
                <c:pt idx="58">
                  <c:v>557.33891405416773</c:v>
                </c:pt>
                <c:pt idx="59">
                  <c:v>577.47446592353515</c:v>
                </c:pt>
                <c:pt idx="60">
                  <c:v>597.59537304263779</c:v>
                </c:pt>
                <c:pt idx="61">
                  <c:v>556.48174822611588</c:v>
                </c:pt>
                <c:pt idx="62">
                  <c:v>575.33309228627434</c:v>
                </c:pt>
                <c:pt idx="63">
                  <c:v>594.17154727265404</c:v>
                </c:pt>
                <c:pt idx="64">
                  <c:v>612.99757903900309</c:v>
                </c:pt>
                <c:pt idx="65">
                  <c:v>631.81162251582646</c:v>
                </c:pt>
                <c:pt idx="66">
                  <c:v>589.46311584770126</c:v>
                </c:pt>
                <c:pt idx="67">
                  <c:v>607.00879854794766</c:v>
                </c:pt>
                <c:pt idx="68">
                  <c:v>624.54395486132705</c:v>
                </c:pt>
                <c:pt idx="69">
                  <c:v>642.06892172602977</c:v>
                </c:pt>
                <c:pt idx="70">
                  <c:v>659.58401620212555</c:v>
                </c:pt>
                <c:pt idx="71">
                  <c:v>615.99151338618674</c:v>
                </c:pt>
                <c:pt idx="72">
                  <c:v>632.23907832556176</c:v>
                </c:pt>
                <c:pt idx="73">
                  <c:v>648.4780121795651</c:v>
                </c:pt>
                <c:pt idx="74">
                  <c:v>664.70856137271755</c:v>
                </c:pt>
                <c:pt idx="75">
                  <c:v>680.93095932318113</c:v>
                </c:pt>
                <c:pt idx="76">
                  <c:v>636.51330847982445</c:v>
                </c:pt>
                <c:pt idx="77">
                  <c:v>651.89565867529132</c:v>
                </c:pt>
                <c:pt idx="78">
                  <c:v>667.27052872062916</c:v>
                </c:pt>
                <c:pt idx="79">
                  <c:v>682.63811513058772</c:v>
                </c:pt>
                <c:pt idx="80">
                  <c:v>697.99860485695501</c:v>
                </c:pt>
                <c:pt idx="81">
                  <c:v>652.75001250200114</c:v>
                </c:pt>
                <c:pt idx="82">
                  <c:v>667.27052872062916</c:v>
                </c:pt>
                <c:pt idx="83">
                  <c:v>681.78454819307183</c:v>
                </c:pt>
                <c:pt idx="84">
                  <c:v>696.29222861974176</c:v>
                </c:pt>
                <c:pt idx="85">
                  <c:v>710.79372059813113</c:v>
                </c:pt>
                <c:pt idx="86">
                  <c:v>664.70856137271755</c:v>
                </c:pt>
                <c:pt idx="87">
                  <c:v>678.37006080489357</c:v>
                </c:pt>
                <c:pt idx="88">
                  <c:v>692.0259128007566</c:v>
                </c:pt>
                <c:pt idx="89">
                  <c:v>705.67624443748446</c:v>
                </c:pt>
                <c:pt idx="90">
                  <c:v>719.32117747825203</c:v>
                </c:pt>
                <c:pt idx="91">
                  <c:v>672.82076514505172</c:v>
                </c:pt>
                <c:pt idx="92">
                  <c:v>686.05216418180908</c:v>
                </c:pt>
                <c:pt idx="93">
                  <c:v>699.27833097368728</c:v>
                </c:pt>
                <c:pt idx="94">
                  <c:v>712.49937837079085</c:v>
                </c:pt>
                <c:pt idx="95">
                  <c:v>725.71541469625174</c:v>
                </c:pt>
                <c:pt idx="96">
                  <c:v>677.94322510709128</c:v>
                </c:pt>
                <c:pt idx="97">
                  <c:v>689.89255298185071</c:v>
                </c:pt>
                <c:pt idx="98">
                  <c:v>701.83763948445983</c:v>
                </c:pt>
                <c:pt idx="99">
                  <c:v>713.77856694008267</c:v>
                </c:pt>
                <c:pt idx="100">
                  <c:v>725.71541469625208</c:v>
                </c:pt>
                <c:pt idx="101">
                  <c:v>679.6505348264443</c:v>
                </c:pt>
                <c:pt idx="102">
                  <c:v>691.17258507143549</c:v>
                </c:pt>
                <c:pt idx="103">
                  <c:v>702.69069984530972</c:v>
                </c:pt>
                <c:pt idx="104">
                  <c:v>714.20495271831226</c:v>
                </c:pt>
                <c:pt idx="105">
                  <c:v>725.71541469625174</c:v>
                </c:pt>
                <c:pt idx="106">
                  <c:v>680.93095932318067</c:v>
                </c:pt>
                <c:pt idx="107">
                  <c:v>691.59925163326625</c:v>
                </c:pt>
                <c:pt idx="108">
                  <c:v>702.26417231534106</c:v>
                </c:pt>
                <c:pt idx="109">
                  <c:v>712.92577976987479</c:v>
                </c:pt>
                <c:pt idx="110">
                  <c:v>723.58413050890942</c:v>
                </c:pt>
                <c:pt idx="111">
                  <c:v>676.23582709036771</c:v>
                </c:pt>
                <c:pt idx="112">
                  <c:v>682.2113344014175</c:v>
                </c:pt>
                <c:pt idx="113">
                  <c:v>688.18576777705664</c:v>
                </c:pt>
                <c:pt idx="114">
                  <c:v>694.15913785580926</c:v>
                </c:pt>
                <c:pt idx="115">
                  <c:v>700.1314550781708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E21" sqref="E21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15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18</v>
      </c>
      <c r="C9" s="35">
        <v>0.2666</v>
      </c>
      <c r="D9" s="36">
        <f t="shared" ref="D9:D18" si="0">C9*$C$5</f>
        <v>3.9990000000000001</v>
      </c>
      <c r="E9" s="37">
        <v>65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138</v>
      </c>
      <c r="C10" s="35">
        <v>0.13333</v>
      </c>
      <c r="D10" s="36">
        <f t="shared" si="0"/>
        <v>1.9999500000000001</v>
      </c>
      <c r="E10" s="37">
        <v>34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44</v>
      </c>
      <c r="C11" s="35">
        <v>7.0000000000000007E-2</v>
      </c>
      <c r="D11" s="36">
        <f t="shared" si="0"/>
        <v>1.05</v>
      </c>
      <c r="E11" s="37">
        <v>45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14</v>
      </c>
      <c r="C12" s="35">
        <v>0.18</v>
      </c>
      <c r="D12" s="36">
        <f t="shared" si="0"/>
        <v>2.6999999999999997</v>
      </c>
      <c r="E12" s="37">
        <v>115</v>
      </c>
      <c r="F12" s="38" t="str">
        <f t="array" ref="F12">IF(E12="","",IF(INDEX(A:A,MAX(IF(ISNUMBER($A$114:$A$133),ROW($A$114:$A$133),"")))&lt;&gt;E12,"Corrigez : révolution incorrecte","OK"))</f>
        <v>OK</v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12</v>
      </c>
      <c r="C13" s="35">
        <v>0.13333</v>
      </c>
      <c r="D13" s="36">
        <f t="shared" si="0"/>
        <v>1.9999500000000001</v>
      </c>
      <c r="E13" s="37">
        <v>115</v>
      </c>
      <c r="F13" s="38" t="str">
        <f t="array" ref="F13">IF(E13="","",IF(INDEX(A:A,MAX(IF(ISNUMBER($A$140:$A$159),ROW($A$140:$A$159),"")))&lt;&gt;E13,"Corrigez : révolution incorrecte","OK"))</f>
        <v>OK</v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0.78326000000000007</v>
      </c>
      <c r="D19" s="41">
        <f>SUM(D9:D18)</f>
        <v>11.748900000000001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Douglas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15</v>
      </c>
      <c r="B36" s="63">
        <v>162</v>
      </c>
      <c r="C36" s="63">
        <v>1</v>
      </c>
      <c r="D36" s="63">
        <v>0</v>
      </c>
      <c r="E36" s="54"/>
      <c r="F36" s="54"/>
      <c r="G36" s="54"/>
      <c r="H36" s="54"/>
      <c r="I36" s="52">
        <f>IFERROR(B36/A36,"")</f>
        <v>10.8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20</v>
      </c>
      <c r="B37" s="63">
        <v>303</v>
      </c>
      <c r="C37" s="63">
        <v>2</v>
      </c>
      <c r="D37" s="63">
        <v>43</v>
      </c>
      <c r="E37" s="54">
        <v>0.1</v>
      </c>
      <c r="F37" s="54">
        <v>0.4</v>
      </c>
      <c r="G37" s="54">
        <v>0.5</v>
      </c>
      <c r="H37" s="54">
        <v>0</v>
      </c>
      <c r="I37" s="56">
        <f t="shared" ref="I37:I55" si="1">IF(A37&lt;&gt;0,(B37-(B36-D36))/(A37-A36),"")</f>
        <v>28.2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419</v>
      </c>
      <c r="C38" s="63">
        <v>3</v>
      </c>
      <c r="D38" s="63">
        <v>60</v>
      </c>
      <c r="E38" s="54">
        <v>0.4</v>
      </c>
      <c r="F38" s="54">
        <v>0.3</v>
      </c>
      <c r="G38" s="54">
        <v>0.3</v>
      </c>
      <c r="H38" s="54">
        <v>0</v>
      </c>
      <c r="I38" s="56">
        <f t="shared" si="1"/>
        <v>31.8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524</v>
      </c>
      <c r="C39" s="63">
        <v>4</v>
      </c>
      <c r="D39" s="63">
        <v>90</v>
      </c>
      <c r="E39" s="54">
        <v>0.5</v>
      </c>
      <c r="F39" s="54">
        <v>0.3</v>
      </c>
      <c r="G39" s="54">
        <v>0.2</v>
      </c>
      <c r="H39" s="54">
        <v>0</v>
      </c>
      <c r="I39" s="52">
        <f t="shared" si="1"/>
        <v>33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35</v>
      </c>
      <c r="B40" s="63">
        <v>576</v>
      </c>
      <c r="C40" s="63">
        <v>5</v>
      </c>
      <c r="D40" s="63">
        <v>72</v>
      </c>
      <c r="E40" s="54"/>
      <c r="F40" s="54"/>
      <c r="G40" s="54"/>
      <c r="H40" s="54"/>
      <c r="I40" s="52">
        <f t="shared" si="1"/>
        <v>28.4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40</v>
      </c>
      <c r="B41" s="63">
        <v>639</v>
      </c>
      <c r="C41" s="63">
        <v>6</v>
      </c>
      <c r="D41" s="63">
        <v>77</v>
      </c>
      <c r="E41" s="54"/>
      <c r="F41" s="54"/>
      <c r="G41" s="54"/>
      <c r="H41" s="54"/>
      <c r="I41" s="56">
        <f t="shared" si="1"/>
        <v>27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45</v>
      </c>
      <c r="B42" s="63">
        <v>686</v>
      </c>
      <c r="C42" s="63">
        <v>7</v>
      </c>
      <c r="D42" s="63">
        <v>64</v>
      </c>
      <c r="E42" s="54"/>
      <c r="F42" s="54"/>
      <c r="G42" s="54"/>
      <c r="H42" s="54"/>
      <c r="I42" s="56">
        <f t="shared" si="1"/>
        <v>24.8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50</v>
      </c>
      <c r="B43" s="63">
        <v>724</v>
      </c>
      <c r="C43" s="63">
        <v>8</v>
      </c>
      <c r="D43" s="63">
        <v>62</v>
      </c>
      <c r="E43" s="54"/>
      <c r="F43" s="54"/>
      <c r="G43" s="54"/>
      <c r="H43" s="54"/>
      <c r="I43" s="52">
        <f t="shared" si="1"/>
        <v>20.399999999999999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55</v>
      </c>
      <c r="B44" s="63">
        <v>739</v>
      </c>
      <c r="C44" s="63">
        <v>9</v>
      </c>
      <c r="D44" s="63">
        <v>46</v>
      </c>
      <c r="E44" s="54"/>
      <c r="F44" s="54"/>
      <c r="G44" s="54"/>
      <c r="H44" s="54"/>
      <c r="I44" s="52">
        <f t="shared" si="1"/>
        <v>15.4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>
        <v>60</v>
      </c>
      <c r="B45" s="63">
        <v>754</v>
      </c>
      <c r="C45" s="63">
        <v>10</v>
      </c>
      <c r="D45" s="63">
        <v>35</v>
      </c>
      <c r="E45" s="54"/>
      <c r="F45" s="54"/>
      <c r="G45" s="54"/>
      <c r="H45" s="54"/>
      <c r="I45" s="52">
        <f t="shared" si="1"/>
        <v>12.2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>
        <v>65</v>
      </c>
      <c r="B46" s="63">
        <v>769</v>
      </c>
      <c r="C46" s="63">
        <v>11</v>
      </c>
      <c r="D46" s="63">
        <v>769</v>
      </c>
      <c r="E46" s="54"/>
      <c r="F46" s="54"/>
      <c r="G46" s="54"/>
      <c r="H46" s="54"/>
      <c r="I46" s="52">
        <f t="shared" si="1"/>
        <v>10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taeda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13</v>
      </c>
      <c r="B62" s="63">
        <v>101</v>
      </c>
      <c r="C62" s="63">
        <v>1</v>
      </c>
      <c r="D62" s="63">
        <v>28</v>
      </c>
      <c r="E62" s="54"/>
      <c r="F62" s="54"/>
      <c r="G62" s="54">
        <v>1</v>
      </c>
      <c r="H62" s="54"/>
      <c r="I62" s="56">
        <f>IFERROR(B62/A62,"")</f>
        <v>7.7692307692307692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18</v>
      </c>
      <c r="B63" s="63">
        <v>166</v>
      </c>
      <c r="C63" s="63">
        <v>2</v>
      </c>
      <c r="D63" s="63">
        <v>40</v>
      </c>
      <c r="E63" s="54">
        <v>0.25</v>
      </c>
      <c r="F63" s="54"/>
      <c r="G63" s="54">
        <v>0.75</v>
      </c>
      <c r="H63" s="54"/>
      <c r="I63" s="52">
        <f>IF(A63&lt;&gt;0,(B63-(B62-D62))/(A63-A62),"")</f>
        <v>18.600000000000001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23</v>
      </c>
      <c r="B64" s="63">
        <v>215</v>
      </c>
      <c r="C64" s="63">
        <v>3</v>
      </c>
      <c r="D64" s="63">
        <v>52</v>
      </c>
      <c r="E64" s="54">
        <v>0.5</v>
      </c>
      <c r="F64" s="54"/>
      <c r="G64" s="54">
        <v>0.5</v>
      </c>
      <c r="H64" s="54"/>
      <c r="I64" s="52">
        <f>IF(A64&lt;&gt;0,(B64-(B63-D63))/(A64-A63),"")</f>
        <v>17.8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269</v>
      </c>
      <c r="C65" s="63">
        <v>4</v>
      </c>
      <c r="D65" s="63">
        <v>0</v>
      </c>
      <c r="E65" s="54"/>
      <c r="F65" s="54"/>
      <c r="G65" s="54"/>
      <c r="H65" s="54"/>
      <c r="I65" s="52">
        <f>IF(A65&lt;&gt;0,(B65-(B64-D64))/(A65-A64),"")</f>
        <v>15.142857142857142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34</v>
      </c>
      <c r="B66" s="63">
        <v>325</v>
      </c>
      <c r="C66" s="63">
        <v>5</v>
      </c>
      <c r="D66" s="63">
        <v>325</v>
      </c>
      <c r="E66" s="54">
        <v>0.7</v>
      </c>
      <c r="F66" s="54"/>
      <c r="G66" s="54">
        <v>0.3</v>
      </c>
      <c r="H66" s="54"/>
      <c r="I66" s="52">
        <f t="shared" ref="I66:I81" si="2">IF(A66&lt;&gt;0,(B66-(B65-D65))/(A66-A65),"")</f>
        <v>14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Robinier faux-acacia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5</v>
      </c>
      <c r="B88" s="63">
        <v>34</v>
      </c>
      <c r="C88" s="63">
        <v>1</v>
      </c>
      <c r="D88" s="63">
        <v>6</v>
      </c>
      <c r="E88" s="54"/>
      <c r="F88" s="54"/>
      <c r="G88" s="54"/>
      <c r="H88" s="93">
        <v>1</v>
      </c>
      <c r="I88" s="56">
        <f>IFERROR(B88/A88,"")</f>
        <v>6.8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10</v>
      </c>
      <c r="B89" s="63">
        <v>99</v>
      </c>
      <c r="C89" s="63">
        <v>2</v>
      </c>
      <c r="D89" s="63">
        <v>28</v>
      </c>
      <c r="E89" s="54"/>
      <c r="F89" s="54"/>
      <c r="G89" s="54"/>
      <c r="H89" s="93">
        <v>1</v>
      </c>
      <c r="I89" s="56">
        <f t="shared" ref="I89:I107" si="3">IF(A89&lt;&gt;0,(B89-(B88-D88))/(A89-A88),"")</f>
        <v>14.2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15</v>
      </c>
      <c r="B90" s="63">
        <v>140</v>
      </c>
      <c r="C90" s="63">
        <v>3</v>
      </c>
      <c r="D90" s="63">
        <v>23</v>
      </c>
      <c r="E90" s="93">
        <v>0.2</v>
      </c>
      <c r="F90" s="93"/>
      <c r="G90" s="93"/>
      <c r="H90" s="93">
        <v>0.8</v>
      </c>
      <c r="I90" s="56">
        <f t="shared" si="3"/>
        <v>13.8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20</v>
      </c>
      <c r="B91" s="63">
        <v>180</v>
      </c>
      <c r="C91" s="63">
        <v>4</v>
      </c>
      <c r="D91" s="63">
        <v>18</v>
      </c>
      <c r="E91" s="93">
        <v>0.8</v>
      </c>
      <c r="F91" s="93"/>
      <c r="G91" s="93"/>
      <c r="H91" s="93">
        <v>0.2</v>
      </c>
      <c r="I91" s="56">
        <f t="shared" si="3"/>
        <v>12.6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25</v>
      </c>
      <c r="B92" s="63">
        <v>214</v>
      </c>
      <c r="C92" s="63">
        <v>5</v>
      </c>
      <c r="D92" s="63">
        <v>14</v>
      </c>
      <c r="E92" s="93">
        <v>0.8</v>
      </c>
      <c r="F92" s="93"/>
      <c r="G92" s="93"/>
      <c r="H92" s="93">
        <v>0.2</v>
      </c>
      <c r="I92" s="56">
        <f t="shared" si="3"/>
        <v>10.4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30</v>
      </c>
      <c r="B93" s="63">
        <v>243</v>
      </c>
      <c r="C93" s="63">
        <v>6</v>
      </c>
      <c r="D93" s="63">
        <v>11</v>
      </c>
      <c r="E93" s="93">
        <v>0.9</v>
      </c>
      <c r="F93" s="93"/>
      <c r="G93" s="93"/>
      <c r="H93" s="93">
        <v>0.1</v>
      </c>
      <c r="I93" s="56">
        <f t="shared" si="3"/>
        <v>8.6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35</v>
      </c>
      <c r="B94" s="63">
        <v>267</v>
      </c>
      <c r="C94" s="63">
        <v>7</v>
      </c>
      <c r="D94" s="63">
        <v>9</v>
      </c>
      <c r="E94" s="93"/>
      <c r="F94" s="93"/>
      <c r="G94" s="93"/>
      <c r="H94" s="93"/>
      <c r="I94" s="56">
        <f t="shared" si="3"/>
        <v>7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>
        <v>40</v>
      </c>
      <c r="B95" s="63">
        <v>289</v>
      </c>
      <c r="C95" s="63">
        <v>8</v>
      </c>
      <c r="D95" s="63">
        <v>7</v>
      </c>
      <c r="E95" s="93"/>
      <c r="F95" s="93"/>
      <c r="G95" s="93"/>
      <c r="H95" s="93"/>
      <c r="I95" s="56">
        <f t="shared" si="3"/>
        <v>6.2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>
        <v>45</v>
      </c>
      <c r="B96" s="63">
        <v>312</v>
      </c>
      <c r="C96" s="63">
        <v>9</v>
      </c>
      <c r="D96" s="63">
        <v>312</v>
      </c>
      <c r="E96" s="93"/>
      <c r="F96" s="93"/>
      <c r="G96" s="93"/>
      <c r="H96" s="93"/>
      <c r="I96" s="56">
        <f t="shared" si="3"/>
        <v>6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Chêne sessile</v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20</v>
      </c>
      <c r="B114" s="63">
        <v>73</v>
      </c>
      <c r="C114" s="53">
        <v>1</v>
      </c>
      <c r="D114" s="63">
        <v>6</v>
      </c>
      <c r="E114" s="54"/>
      <c r="F114" s="54"/>
      <c r="G114" s="54"/>
      <c r="H114" s="54">
        <v>1</v>
      </c>
      <c r="I114" s="56">
        <f>IFERROR(B114/A114,"")</f>
        <v>3.65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25</v>
      </c>
      <c r="B115" s="63">
        <v>103</v>
      </c>
      <c r="C115" s="53">
        <v>2</v>
      </c>
      <c r="D115" s="63">
        <v>28</v>
      </c>
      <c r="E115" s="54"/>
      <c r="F115" s="54"/>
      <c r="G115" s="54"/>
      <c r="H115" s="54">
        <v>1</v>
      </c>
      <c r="I115" s="56">
        <f t="shared" ref="I115:I133" si="4">IF(A115&lt;&gt;0,(B115-(B114-D114))/(A115-A114),"")</f>
        <v>7.2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30</v>
      </c>
      <c r="B116" s="63">
        <v>121</v>
      </c>
      <c r="C116" s="53">
        <v>3</v>
      </c>
      <c r="D116" s="63">
        <v>28</v>
      </c>
      <c r="E116" s="54"/>
      <c r="F116" s="54"/>
      <c r="G116" s="54"/>
      <c r="H116" s="54">
        <v>1</v>
      </c>
      <c r="I116" s="56">
        <f t="shared" si="4"/>
        <v>9.1999999999999993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>
        <v>35</v>
      </c>
      <c r="B117" s="63">
        <v>147</v>
      </c>
      <c r="C117" s="53">
        <v>4</v>
      </c>
      <c r="D117" s="63">
        <v>28</v>
      </c>
      <c r="E117" s="54"/>
      <c r="F117" s="54"/>
      <c r="G117" s="54"/>
      <c r="H117" s="54"/>
      <c r="I117" s="56">
        <f t="shared" si="4"/>
        <v>10.8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>
        <v>40</v>
      </c>
      <c r="B118" s="63">
        <v>175</v>
      </c>
      <c r="C118" s="53">
        <v>5</v>
      </c>
      <c r="D118" s="63">
        <v>28</v>
      </c>
      <c r="E118" s="54"/>
      <c r="F118" s="54"/>
      <c r="G118" s="54"/>
      <c r="H118" s="54"/>
      <c r="I118" s="56">
        <f t="shared" si="4"/>
        <v>11.2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>
        <v>45</v>
      </c>
      <c r="B119" s="63">
        <v>204</v>
      </c>
      <c r="C119" s="53">
        <v>6</v>
      </c>
      <c r="D119" s="63">
        <v>28</v>
      </c>
      <c r="E119" s="54"/>
      <c r="F119" s="54"/>
      <c r="G119" s="54"/>
      <c r="H119" s="54"/>
      <c r="I119" s="56">
        <f t="shared" si="4"/>
        <v>11.4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>
        <v>50</v>
      </c>
      <c r="B120" s="63">
        <v>231</v>
      </c>
      <c r="C120" s="63">
        <v>7</v>
      </c>
      <c r="D120" s="63">
        <v>28</v>
      </c>
      <c r="E120" s="93"/>
      <c r="F120" s="93"/>
      <c r="G120" s="93"/>
      <c r="H120" s="93"/>
      <c r="I120" s="56">
        <f t="shared" si="4"/>
        <v>11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>
        <v>55</v>
      </c>
      <c r="B121" s="63">
        <v>254</v>
      </c>
      <c r="C121" s="63">
        <v>8</v>
      </c>
      <c r="D121" s="63">
        <v>28</v>
      </c>
      <c r="E121" s="93"/>
      <c r="F121" s="93"/>
      <c r="G121" s="93"/>
      <c r="H121" s="93"/>
      <c r="I121" s="56">
        <f t="shared" si="4"/>
        <v>10.199999999999999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>
        <v>60</v>
      </c>
      <c r="B122" s="63">
        <v>273</v>
      </c>
      <c r="C122" s="63">
        <v>9</v>
      </c>
      <c r="D122" s="63">
        <v>28</v>
      </c>
      <c r="E122" s="93"/>
      <c r="F122" s="93"/>
      <c r="G122" s="93"/>
      <c r="H122" s="93"/>
      <c r="I122" s="56">
        <f t="shared" si="4"/>
        <v>9.4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>
        <v>65</v>
      </c>
      <c r="B123" s="63">
        <v>289</v>
      </c>
      <c r="C123" s="63">
        <v>10</v>
      </c>
      <c r="D123" s="63">
        <v>28</v>
      </c>
      <c r="E123" s="93"/>
      <c r="F123" s="93"/>
      <c r="G123" s="93"/>
      <c r="H123" s="93"/>
      <c r="I123" s="56">
        <f t="shared" si="4"/>
        <v>8.8000000000000007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>
        <v>70</v>
      </c>
      <c r="B124" s="63">
        <v>302</v>
      </c>
      <c r="C124" s="63">
        <v>11</v>
      </c>
      <c r="D124" s="63">
        <v>28</v>
      </c>
      <c r="E124" s="93"/>
      <c r="F124" s="93"/>
      <c r="G124" s="93"/>
      <c r="H124" s="93"/>
      <c r="I124" s="56">
        <f t="shared" si="4"/>
        <v>8.1999999999999993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>
        <v>75</v>
      </c>
      <c r="B125" s="63">
        <v>312</v>
      </c>
      <c r="C125" s="63">
        <v>12</v>
      </c>
      <c r="D125" s="63">
        <v>28</v>
      </c>
      <c r="E125" s="93"/>
      <c r="F125" s="93"/>
      <c r="G125" s="93"/>
      <c r="H125" s="93"/>
      <c r="I125" s="56">
        <f t="shared" si="4"/>
        <v>7.6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>
        <v>80</v>
      </c>
      <c r="B126" s="63">
        <v>320</v>
      </c>
      <c r="C126" s="63">
        <v>13</v>
      </c>
      <c r="D126" s="63">
        <v>28</v>
      </c>
      <c r="E126" s="68"/>
      <c r="F126" s="68"/>
      <c r="G126" s="68"/>
      <c r="H126" s="68"/>
      <c r="I126" s="56">
        <f t="shared" si="4"/>
        <v>7.2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>
        <v>85</v>
      </c>
      <c r="B127" s="63">
        <v>326</v>
      </c>
      <c r="C127" s="63">
        <v>14</v>
      </c>
      <c r="D127" s="63">
        <v>28</v>
      </c>
      <c r="E127" s="68"/>
      <c r="F127" s="68"/>
      <c r="G127" s="68"/>
      <c r="H127" s="68"/>
      <c r="I127" s="56">
        <f t="shared" si="4"/>
        <v>6.8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>
        <v>90</v>
      </c>
      <c r="B128" s="53">
        <v>330</v>
      </c>
      <c r="C128" s="53">
        <v>15</v>
      </c>
      <c r="D128" s="53">
        <v>28</v>
      </c>
      <c r="E128" s="57"/>
      <c r="F128" s="57"/>
      <c r="G128" s="57"/>
      <c r="H128" s="57"/>
      <c r="I128" s="56">
        <f t="shared" si="4"/>
        <v>6.4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>
        <v>95</v>
      </c>
      <c r="B129" s="53">
        <v>333</v>
      </c>
      <c r="C129" s="53">
        <v>16</v>
      </c>
      <c r="D129" s="53">
        <v>28</v>
      </c>
      <c r="E129" s="57"/>
      <c r="F129" s="57"/>
      <c r="G129" s="57"/>
      <c r="H129" s="57"/>
      <c r="I129" s="56">
        <f t="shared" si="4"/>
        <v>6.2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>
        <v>100</v>
      </c>
      <c r="B130" s="53">
        <v>333</v>
      </c>
      <c r="C130" s="53">
        <v>17</v>
      </c>
      <c r="D130" s="53">
        <v>27</v>
      </c>
      <c r="E130" s="57"/>
      <c r="F130" s="57"/>
      <c r="G130" s="57"/>
      <c r="H130" s="57"/>
      <c r="I130" s="56">
        <f t="shared" si="4"/>
        <v>5.6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>
        <v>105</v>
      </c>
      <c r="B131" s="53">
        <v>333</v>
      </c>
      <c r="C131" s="53">
        <v>18</v>
      </c>
      <c r="D131" s="53">
        <v>26</v>
      </c>
      <c r="E131" s="57"/>
      <c r="F131" s="57"/>
      <c r="G131" s="57"/>
      <c r="H131" s="57"/>
      <c r="I131" s="56">
        <f t="shared" si="4"/>
        <v>5.4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>
        <v>110</v>
      </c>
      <c r="B132" s="53">
        <v>332</v>
      </c>
      <c r="C132" s="53">
        <v>19</v>
      </c>
      <c r="D132" s="53">
        <v>25</v>
      </c>
      <c r="E132" s="57"/>
      <c r="F132" s="57"/>
      <c r="G132" s="57"/>
      <c r="H132" s="57"/>
      <c r="I132" s="56">
        <f t="shared" si="4"/>
        <v>5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>
        <v>115</v>
      </c>
      <c r="B133" s="53">
        <v>321</v>
      </c>
      <c r="C133" s="53">
        <v>20</v>
      </c>
      <c r="D133" s="53">
        <v>321</v>
      </c>
      <c r="E133" s="57"/>
      <c r="F133" s="57"/>
      <c r="G133" s="57"/>
      <c r="H133" s="57"/>
      <c r="I133" s="56">
        <f t="shared" si="4"/>
        <v>2.8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Chêne pubescent</v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20</v>
      </c>
      <c r="B140" s="63">
        <v>73</v>
      </c>
      <c r="C140" s="53">
        <v>1</v>
      </c>
      <c r="D140" s="63">
        <v>6</v>
      </c>
      <c r="E140" s="54"/>
      <c r="F140" s="54"/>
      <c r="G140" s="54"/>
      <c r="H140" s="54">
        <v>1</v>
      </c>
      <c r="I140" s="60">
        <f>IFERROR(B140/A140,"")</f>
        <v>3.65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25</v>
      </c>
      <c r="B141" s="63">
        <v>103</v>
      </c>
      <c r="C141" s="53">
        <v>2</v>
      </c>
      <c r="D141" s="63">
        <v>28</v>
      </c>
      <c r="E141" s="54"/>
      <c r="F141" s="54"/>
      <c r="G141" s="54"/>
      <c r="H141" s="54">
        <v>1</v>
      </c>
      <c r="I141" s="60">
        <f t="shared" ref="I141:I159" si="5">IF(A141&lt;&gt;0,(B141-(B140-D140))/(A141-A140),"")</f>
        <v>7.2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30</v>
      </c>
      <c r="B142" s="63">
        <v>121</v>
      </c>
      <c r="C142" s="53">
        <v>3</v>
      </c>
      <c r="D142" s="63">
        <v>28</v>
      </c>
      <c r="E142" s="54"/>
      <c r="F142" s="54"/>
      <c r="G142" s="54"/>
      <c r="H142" s="54">
        <v>1</v>
      </c>
      <c r="I142" s="60">
        <f t="shared" si="5"/>
        <v>9.1999999999999993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>
        <v>35</v>
      </c>
      <c r="B143" s="63">
        <v>147</v>
      </c>
      <c r="C143" s="53">
        <v>4</v>
      </c>
      <c r="D143" s="63">
        <v>28</v>
      </c>
      <c r="E143" s="54"/>
      <c r="F143" s="54"/>
      <c r="G143" s="54"/>
      <c r="H143" s="54"/>
      <c r="I143" s="60">
        <f t="shared" si="5"/>
        <v>10.8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>
        <v>40</v>
      </c>
      <c r="B144" s="63">
        <v>175</v>
      </c>
      <c r="C144" s="53">
        <v>5</v>
      </c>
      <c r="D144" s="63">
        <v>28</v>
      </c>
      <c r="E144" s="54"/>
      <c r="F144" s="54"/>
      <c r="G144" s="54"/>
      <c r="H144" s="54"/>
      <c r="I144" s="60">
        <f t="shared" si="5"/>
        <v>11.2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>
        <v>45</v>
      </c>
      <c r="B145" s="63">
        <v>204</v>
      </c>
      <c r="C145" s="53">
        <v>6</v>
      </c>
      <c r="D145" s="63">
        <v>28</v>
      </c>
      <c r="E145" s="54"/>
      <c r="F145" s="54"/>
      <c r="G145" s="54"/>
      <c r="H145" s="54"/>
      <c r="I145" s="60">
        <f t="shared" si="5"/>
        <v>11.4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>
        <v>50</v>
      </c>
      <c r="B146" s="63">
        <v>231</v>
      </c>
      <c r="C146" s="53">
        <v>7</v>
      </c>
      <c r="D146" s="63">
        <v>28</v>
      </c>
      <c r="E146" s="54"/>
      <c r="F146" s="54"/>
      <c r="G146" s="54"/>
      <c r="H146" s="54"/>
      <c r="I146" s="60">
        <f t="shared" si="5"/>
        <v>11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>
        <v>55</v>
      </c>
      <c r="B147" s="63">
        <v>254</v>
      </c>
      <c r="C147" s="53">
        <v>8</v>
      </c>
      <c r="D147" s="63">
        <v>28</v>
      </c>
      <c r="E147" s="54"/>
      <c r="F147" s="54"/>
      <c r="G147" s="54"/>
      <c r="H147" s="54"/>
      <c r="I147" s="60">
        <f>IF(A147&lt;&gt;0,(B147-(B146-D146))/(A147-A146),"")</f>
        <v>10.199999999999999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>
        <v>60</v>
      </c>
      <c r="B148" s="63">
        <v>273</v>
      </c>
      <c r="C148" s="53">
        <v>9</v>
      </c>
      <c r="D148" s="63">
        <v>28</v>
      </c>
      <c r="E148" s="54"/>
      <c r="F148" s="54"/>
      <c r="G148" s="54"/>
      <c r="H148" s="54"/>
      <c r="I148" s="60">
        <f t="shared" si="5"/>
        <v>9.4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>
        <v>65</v>
      </c>
      <c r="B149" s="63">
        <v>289</v>
      </c>
      <c r="C149" s="53">
        <v>10</v>
      </c>
      <c r="D149" s="63">
        <v>28</v>
      </c>
      <c r="E149" s="54"/>
      <c r="F149" s="54"/>
      <c r="G149" s="54"/>
      <c r="H149" s="54"/>
      <c r="I149" s="60">
        <f t="shared" si="5"/>
        <v>8.8000000000000007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>
        <v>70</v>
      </c>
      <c r="B150" s="63">
        <v>302</v>
      </c>
      <c r="C150" s="53">
        <v>11</v>
      </c>
      <c r="D150" s="63">
        <v>28</v>
      </c>
      <c r="E150" s="54"/>
      <c r="F150" s="54"/>
      <c r="G150" s="54"/>
      <c r="H150" s="54"/>
      <c r="I150" s="60">
        <f t="shared" si="5"/>
        <v>8.1999999999999993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>
        <v>75</v>
      </c>
      <c r="B151" s="63">
        <v>312</v>
      </c>
      <c r="C151" s="53">
        <v>12</v>
      </c>
      <c r="D151" s="63">
        <v>28</v>
      </c>
      <c r="E151" s="54"/>
      <c r="F151" s="54"/>
      <c r="G151" s="54"/>
      <c r="H151" s="54"/>
      <c r="I151" s="60">
        <f t="shared" si="5"/>
        <v>7.6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>
        <v>80</v>
      </c>
      <c r="B152" s="63">
        <v>320</v>
      </c>
      <c r="C152" s="53">
        <v>13</v>
      </c>
      <c r="D152" s="63">
        <v>28</v>
      </c>
      <c r="E152" s="57"/>
      <c r="F152" s="57"/>
      <c r="G152" s="57"/>
      <c r="H152" s="57"/>
      <c r="I152" s="60">
        <f t="shared" si="5"/>
        <v>7.2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>
        <v>85</v>
      </c>
      <c r="B153" s="63">
        <v>326</v>
      </c>
      <c r="C153" s="53">
        <v>14</v>
      </c>
      <c r="D153" s="63">
        <v>28</v>
      </c>
      <c r="E153" s="57"/>
      <c r="F153" s="57"/>
      <c r="G153" s="57"/>
      <c r="H153" s="57"/>
      <c r="I153" s="60">
        <f t="shared" si="5"/>
        <v>6.8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>
        <v>90</v>
      </c>
      <c r="B154" s="59">
        <v>330</v>
      </c>
      <c r="C154" s="53">
        <v>15</v>
      </c>
      <c r="D154" s="53">
        <v>28</v>
      </c>
      <c r="E154" s="57"/>
      <c r="F154" s="57"/>
      <c r="G154" s="57"/>
      <c r="H154" s="57"/>
      <c r="I154" s="60">
        <f t="shared" si="5"/>
        <v>6.4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>
        <v>95</v>
      </c>
      <c r="B155" s="59">
        <v>333</v>
      </c>
      <c r="C155" s="53">
        <v>16</v>
      </c>
      <c r="D155" s="53">
        <v>28</v>
      </c>
      <c r="E155" s="57"/>
      <c r="F155" s="57"/>
      <c r="G155" s="57"/>
      <c r="H155" s="57"/>
      <c r="I155" s="60">
        <f t="shared" si="5"/>
        <v>6.2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>
        <v>100</v>
      </c>
      <c r="B156" s="59">
        <v>333</v>
      </c>
      <c r="C156" s="53">
        <v>17</v>
      </c>
      <c r="D156" s="53">
        <v>27</v>
      </c>
      <c r="E156" s="57"/>
      <c r="F156" s="57"/>
      <c r="G156" s="57"/>
      <c r="H156" s="57"/>
      <c r="I156" s="60">
        <f t="shared" si="5"/>
        <v>5.6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>
        <v>105</v>
      </c>
      <c r="B157" s="59">
        <v>333</v>
      </c>
      <c r="C157" s="53">
        <v>18</v>
      </c>
      <c r="D157" s="53">
        <v>26</v>
      </c>
      <c r="E157" s="57"/>
      <c r="F157" s="57"/>
      <c r="G157" s="57"/>
      <c r="H157" s="57"/>
      <c r="I157" s="60">
        <f t="shared" si="5"/>
        <v>5.4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>
        <v>110</v>
      </c>
      <c r="B158" s="59">
        <v>332</v>
      </c>
      <c r="C158" s="53">
        <v>19</v>
      </c>
      <c r="D158" s="53">
        <v>25</v>
      </c>
      <c r="E158" s="57"/>
      <c r="F158" s="57"/>
      <c r="G158" s="57"/>
      <c r="H158" s="57"/>
      <c r="I158" s="60">
        <f t="shared" si="5"/>
        <v>5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>
        <v>115</v>
      </c>
      <c r="B159" s="59">
        <v>321</v>
      </c>
      <c r="C159" s="53">
        <v>20</v>
      </c>
      <c r="D159" s="61">
        <v>321</v>
      </c>
      <c r="E159" s="57"/>
      <c r="F159" s="57"/>
      <c r="G159" s="57"/>
      <c r="H159" s="57"/>
      <c r="I159" s="60">
        <f t="shared" si="5"/>
        <v>2.8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4" sqref="G24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138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Douglas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Pin taeda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Robinier faux-acacia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>Chêne sessile</v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>Chêne pubescent</v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555.15881087162279</v>
      </c>
      <c r="T3" s="62">
        <f>IF('Données projet'!E9&gt;30,$R$33-$H$33,LOOKUP('Données projet'!$E$9,$A$3:$A$203,R3:R203)-LOOKUP('Données projet'!$E$9,$A$3:$A$203,$H$3:$H$203))</f>
        <v>668.20427590250733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195.80903373714432</v>
      </c>
      <c r="AO3" s="62">
        <f>IF('Données projet'!E10&gt;30,$AM$33-$H$33,LOOKUP('Données projet'!$E$10,$A$3:$A$203,AM3:AM203)-LOOKUP('Données projet'!$E$10,$A$3:$A$203,$H$3:$H$203))</f>
        <v>388.30721786668977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366.86025470473652</v>
      </c>
      <c r="BJ3" s="62">
        <f>IF('Données projet'!E11&gt;30,$BH$33-$H$33,LOOKUP('Données projet'!$E$11,$A$3:$A$203,BH3:BH203)-LOOKUP('Données projet'!$E$11,$A$3:$A$203,$H$3:$H$203))</f>
        <v>513.80016421153414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256.66666666666669</v>
      </c>
      <c r="CD3" s="62">
        <f ca="1">AVERAGE(OFFSET($CC$3,0,0,'Données projet'!$E$12+1,1))-AVERAGE(OFFSET($H$3,0,0,'Données projet'!$E$12+1,1))</f>
        <v>438.70522838726322</v>
      </c>
      <c r="CE3" s="62">
        <f>IF('Données projet'!E12&gt;30,$CC$33-$H$33,LOOKUP('Données projet'!$E$12,$A$3:$A$203,CC3:CC203)-LOOKUP('Données projet'!$E$12,$A$3:$A$203,$H$3:$H$203))</f>
        <v>278.21741231699929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256.66666666666669</v>
      </c>
      <c r="CY3" s="62">
        <f ca="1">AVERAGE(OFFSET($CX$3,0,0,'Données projet'!$E$13+1,1))-AVERAGE(OFFSET($H$3,0,0,'Données projet'!$E$13+1,1))</f>
        <v>486.63673936259465</v>
      </c>
      <c r="CZ3" s="62">
        <f>IF('Données projet'!E13&gt;30,$CX$33-$H$33,LOOKUP('Données projet'!$E$13,$A$3:$A$203,CX3:CX203)-LOOKUP('Données projet'!$E$13,$A$3:$A$203,$H$3:$H$203))</f>
        <v>306.61893266146666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10.8</v>
      </c>
      <c r="N4" s="14">
        <f>IF('Données projet'!$A$36&gt;35,N3+M4-V3,IF(A4&lt;'Données projet'!$A$36,$K$205^A4,IF(A4='Données projet'!$A$36,'Données projet'!$B$36,N3+M4-V3)))</f>
        <v>1.4037863041747067</v>
      </c>
      <c r="O4" s="14">
        <f>N4*VLOOKUP('Données projet'!$B$9,Paramètres!$A$1:$I$89,3,0)*VLOOKUP('Données projet'!$B$9,Paramètres!$A$1:$I$89,5,0)</f>
        <v>0.78471654403366109</v>
      </c>
      <c r="P4" s="14">
        <f>EXP(-1.0587+0.8836*LN(O4)+0.284)</f>
        <v>0.37198061042729702</v>
      </c>
      <c r="Q4" s="22">
        <f t="shared" ref="Q4:Q34" si="2">(O4+P4)*0.475*44/12</f>
        <v>2.0145808773528358</v>
      </c>
      <c r="R4" s="62">
        <f t="shared" si="0"/>
        <v>259.9034697662417</v>
      </c>
      <c r="S4" s="62">
        <f ca="1">AVERAGE(OFFSET($R$3,0,0,'Données projet'!$E$9+1,1))-AVERAGE(OFFSET($H$3,0,0,'Données projet'!$E$9+1,1))</f>
        <v>555.15881087162279</v>
      </c>
      <c r="T4" s="62">
        <f>$T$3</f>
        <v>668.20427590250733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7.7692307692307692</v>
      </c>
      <c r="AI4" s="14">
        <f>IF('Données projet'!$A$62&gt;35,AI3+AH4-AQ3,IF(A4&lt;'Données projet'!$A$62,$AF$205^A4,IF(A4='Données projet'!$A$62,'Données projet'!$B$62,AI3+AH4-AQ3)))</f>
        <v>1.4261938757879591</v>
      </c>
      <c r="AJ4" s="14">
        <f>AI4*VLOOKUP('Données projet'!$B$10,Paramètres!$A$1:$I$89,3,0)*VLOOKUP('Données projet'!$B$10,Paramètres!$A$1:$I$89,5,0)</f>
        <v>0.85286393772119951</v>
      </c>
      <c r="AK4" s="14">
        <f>EXP(-1.0587+0.8836*LN(AJ4)+0.284)</f>
        <v>0.40038464441801103</v>
      </c>
      <c r="AL4" s="22">
        <f t="shared" ref="AL4:AL67" si="4">(AJ4+AK4)*0.475*44/12</f>
        <v>2.1827412805591249</v>
      </c>
      <c r="AM4" s="62">
        <f t="shared" ref="AM4:AM67" si="5">AL4+(AD4+AE4)*44/12</f>
        <v>260.07163016944799</v>
      </c>
      <c r="AN4" s="62">
        <f ca="1">AVERAGE(OFFSET($AM$3,0,0,'Données projet'!$E$10+1,1))-AVERAGE(OFFSET($H$3,0,0,'Données projet'!$E$10+1,1))</f>
        <v>195.80903373714432</v>
      </c>
      <c r="AO4" s="62">
        <f>$AO$3</f>
        <v>388.30721786668977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6.8</v>
      </c>
      <c r="BD4" s="13">
        <f>IF('Données projet'!$A$88&gt;35,BD3+BC4-BL3,IF(A4&lt;'Données projet'!$A$88,$BA$205^A4,IF(A4='Données projet'!$A$88,'Données projet'!$B$88,BD3+BC4-BL3)))</f>
        <v>2.0243974584998852</v>
      </c>
      <c r="BE4" s="14">
        <f>BD4*VLOOKUP('Données projet'!$B$11,Paramètres!$A$1:$I$89,3,0)*VLOOKUP('Données projet'!$B$11,Paramètres!$A$1:$I$89,5,0)</f>
        <v>1.8316748204506961</v>
      </c>
      <c r="BF4" s="14">
        <f>EXP(-1.0587+0.8836*LN(BE4)+0.284)</f>
        <v>0.78669228172688432</v>
      </c>
      <c r="BG4" s="22">
        <f t="shared" ref="BG4:BG67" si="7">(BE4+BF4)*0.475*44/12</f>
        <v>4.5603227029592857</v>
      </c>
      <c r="BH4" s="62">
        <f t="shared" ref="BH4:BH67" si="8">BG4+(AY4+AZ4)*44/12</f>
        <v>262.44921159184815</v>
      </c>
      <c r="BI4" s="62">
        <f ca="1">AVERAGE(OFFSET($BH$3,0,0,'Données projet'!$E$11+1,1))-AVERAGE(OFFSET($H$3,0,0,'Données projet'!$E$11+1,1))</f>
        <v>366.86025470473652</v>
      </c>
      <c r="BJ4" s="62">
        <f>$BJ$3</f>
        <v>513.80016421153414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3.65</v>
      </c>
      <c r="BY4" s="13">
        <f>IF('Données projet'!$A$114&gt;35,BY3+BX4-CG3,IF(A4&lt;'Données projet'!$A$114,$BV$205^A4,IF(A4='Données projet'!$A$114,'Données projet'!$B$114,BY3+BX4-CG3)))</f>
        <v>1.2392705892426346</v>
      </c>
      <c r="BZ4" s="14">
        <f>BY4*VLOOKUP('Données projet'!$B$12,Paramètres!$A$1:$I$89,3,0)*VLOOKUP('Données projet'!$B$12,Paramètres!$A$1:$I$89,5,0)</f>
        <v>1.1212920291467359</v>
      </c>
      <c r="CA4" s="14">
        <f>EXP(-1.0587+0.8836*LN(BZ4)+0.284)</f>
        <v>0.50989827066551541</v>
      </c>
      <c r="CB4" s="22">
        <f t="shared" ref="CB4:CB67" si="10">(BZ4+CA4)*0.475*44/12</f>
        <v>2.8409897721730037</v>
      </c>
      <c r="CC4" s="62">
        <f t="shared" ref="CC4:CC67" si="11">CB4+(BT4+BU4)*44/12</f>
        <v>260.72987866106189</v>
      </c>
      <c r="CD4" s="62">
        <f ca="1">AVERAGE(OFFSET($CC$3,0,0,'Données projet'!$E$12+1,1))-AVERAGE(OFFSET($H$3,0,0,'Données projet'!$E$12+1,1))</f>
        <v>438.70522838726322</v>
      </c>
      <c r="CE4" s="62">
        <f>$CE$3</f>
        <v>278.21741231699929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3.65</v>
      </c>
      <c r="CT4" s="13">
        <f>IF('Données projet'!$A$140&gt;35,CT3+CS4-DB3,IF(A4&lt;'Données projet'!$A$140,$CQ$205^A4,IF(A4='Données projet'!$A$140,'Données projet'!$B$140,CT3+CS4-DB3)))</f>
        <v>1.2392705892426346</v>
      </c>
      <c r="CU4" s="18">
        <f>CT4*VLOOKUP('Données projet'!$B$13,Paramètres!$A$1:$I$89,3,0)*VLOOKUP('Données projet'!$B$13,Paramètres!$A$1:$I$89,5,0)</f>
        <v>1.2566203774920315</v>
      </c>
      <c r="CV4" s="14">
        <f>EXP(-1.0587+0.8836*LN(CU4)+0.284)</f>
        <v>0.56390871417545174</v>
      </c>
      <c r="CW4" s="22">
        <f t="shared" ref="CW4:CW67" si="13">(CU4+CV4)*0.475*44/12</f>
        <v>3.1707548346542</v>
      </c>
      <c r="CX4" s="62">
        <f t="shared" ref="CX4:CX67" si="14">CW4+(CO4+CP4)*44/12</f>
        <v>261.05964372354305</v>
      </c>
      <c r="CY4" s="62">
        <f ca="1">AVERAGE(OFFSET($CX$3,0,0,'Données projet'!$E$13+1,1))-AVERAGE(OFFSET($H$3,0,0,'Données projet'!$E$13+1,1))</f>
        <v>486.63673936259465</v>
      </c>
      <c r="CZ4" s="62">
        <f>$CZ$3</f>
        <v>306.61893266146666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10.8</v>
      </c>
      <c r="N5" s="14">
        <f>IF('Données projet'!$A$36&gt;35,N4+M5-V4,IF(A5&lt;'Données projet'!$A$36,$K$205^A5,IF(A5='Données projet'!$A$36,'Données projet'!$B$36,N4+M5-V4)))</f>
        <v>1.9706159877884823</v>
      </c>
      <c r="O5" s="14">
        <f>N5*VLOOKUP('Données projet'!$B$9,Paramètres!$A$1:$I$89,3,0)*VLOOKUP('Données projet'!$B$9,Paramètres!$A$1:$I$89,5,0)</f>
        <v>1.1015743371737616</v>
      </c>
      <c r="P5" s="14">
        <f t="shared" ref="P5:P68" si="33">EXP(-1.0587+0.8836*LN(O5)+0.284)</f>
        <v>0.50196734705126034</v>
      </c>
      <c r="Q5" s="22">
        <f t="shared" si="2"/>
        <v>2.7928351000252465</v>
      </c>
      <c r="R5" s="62">
        <f t="shared" si="0"/>
        <v>261.90394621113637</v>
      </c>
      <c r="S5" s="62">
        <f ca="1">AVERAGE(OFFSET($R$3,0,0,'Données projet'!$E$9+1,1))-AVERAGE(OFFSET($H$3,0,0,'Données projet'!$E$9+1,1))</f>
        <v>555.15881087162279</v>
      </c>
      <c r="T5" s="62">
        <f t="shared" ref="T5:T68" si="34">$T$3</f>
        <v>668.20427590250733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7.7692307692307692</v>
      </c>
      <c r="AI5" s="14">
        <f>IF('Données projet'!$A$62&gt;35,AI4+AH5-AQ4,IF(A5&lt;'Données projet'!$A$62,$AF$205^A5,IF(A5='Données projet'!$A$62,'Données projet'!$B$62,AI4+AH5-AQ4)))</f>
        <v>2.0340289713350805</v>
      </c>
      <c r="AJ5" s="14">
        <f>AI5*VLOOKUP('Données projet'!$B$10,Paramètres!$A$1:$I$89,3,0)*VLOOKUP('Données projet'!$B$10,Paramètres!$A$1:$I$89,5,0)</f>
        <v>1.2163493248583781</v>
      </c>
      <c r="AK5" s="14">
        <f t="shared" ref="AK5:AK68" si="35">EXP(-1.0587+0.8836*LN(AJ5)+0.284)</f>
        <v>0.54791046443869817</v>
      </c>
      <c r="AL5" s="22">
        <f t="shared" si="4"/>
        <v>3.072752466359074</v>
      </c>
      <c r="AM5" s="62">
        <f t="shared" si="5"/>
        <v>262.18386357747022</v>
      </c>
      <c r="AN5" s="62">
        <f ca="1">AVERAGE(OFFSET($AM$3,0,0,'Données projet'!$E$10+1,1))-AVERAGE(OFFSET($H$3,0,0,'Données projet'!$E$10+1,1))</f>
        <v>195.80903373714432</v>
      </c>
      <c r="AO5" s="62">
        <f t="shared" ref="AO5:AO68" si="36">$AO$3</f>
        <v>388.30721786668977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6.8</v>
      </c>
      <c r="BD5" s="13">
        <f>IF('Données projet'!$A$88&gt;35,BD4+BC5-BL4,IF(A5&lt;'Données projet'!$A$88,$BA$205^A5,IF(A5='Données projet'!$A$88,'Données projet'!$B$88,BD4+BC5-BL4)))</f>
        <v>4.0981850699807945</v>
      </c>
      <c r="BE5" s="14">
        <f>BD5*VLOOKUP('Données projet'!$B$11,Paramètres!$A$1:$I$89,3,0)*VLOOKUP('Données projet'!$B$11,Paramètres!$A$1:$I$89,5,0)</f>
        <v>3.7080378513186227</v>
      </c>
      <c r="BF5" s="14">
        <f t="shared" ref="BF5:BF68" si="37">EXP(-1.0587+0.8836*LN(BE5)+0.284)</f>
        <v>1.4670598901857457</v>
      </c>
      <c r="BG5" s="22">
        <f t="shared" si="7"/>
        <v>9.0132952331201093</v>
      </c>
      <c r="BH5" s="62">
        <f t="shared" si="8"/>
        <v>268.12440634423126</v>
      </c>
      <c r="BI5" s="62">
        <f ca="1">AVERAGE(OFFSET($BH$3,0,0,'Données projet'!$E$11+1,1))-AVERAGE(OFFSET($H$3,0,0,'Données projet'!$E$11+1,1))</f>
        <v>366.86025470473652</v>
      </c>
      <c r="BJ5" s="62">
        <f t="shared" ref="BJ5:BJ68" si="38">$BJ$3</f>
        <v>513.80016421153414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3.65</v>
      </c>
      <c r="BY5" s="13">
        <f>IF('Données projet'!$A$114&gt;35,BY4+BX5-CG4,IF(A5&lt;'Données projet'!$A$114,$BV$205^A5,IF(A5='Données projet'!$A$114,'Données projet'!$B$114,BY4+BX5-CG4)))</f>
        <v>1.5357915933617867</v>
      </c>
      <c r="BZ5" s="14">
        <f>BY5*VLOOKUP('Données projet'!$B$12,Paramètres!$A$1:$I$89,3,0)*VLOOKUP('Données projet'!$B$12,Paramètres!$A$1:$I$89,5,0)</f>
        <v>1.3895842336737447</v>
      </c>
      <c r="CA5" s="14">
        <f t="shared" ref="CA5:CA68" si="39">EXP(-1.0587+0.8836*LN(BZ5)+0.284)</f>
        <v>0.61631841327304715</v>
      </c>
      <c r="CB5" s="22">
        <f t="shared" si="10"/>
        <v>3.4936137767656628</v>
      </c>
      <c r="CC5" s="62">
        <f t="shared" si="11"/>
        <v>262.60472488787678</v>
      </c>
      <c r="CD5" s="62">
        <f ca="1">AVERAGE(OFFSET($CC$3,0,0,'Données projet'!$E$12+1,1))-AVERAGE(OFFSET($H$3,0,0,'Données projet'!$E$12+1,1))</f>
        <v>438.70522838726322</v>
      </c>
      <c r="CE5" s="62">
        <f t="shared" ref="CE5:CE68" si="40">$CE$3</f>
        <v>278.21741231699929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3.65</v>
      </c>
      <c r="CT5" s="13">
        <f>IF('Données projet'!$A$140&gt;35,CT4+CS5-DB4,IF(A5&lt;'Données projet'!$A$140,$CQ$205^A5,IF(A5='Données projet'!$A$140,'Données projet'!$B$140,CT4+CS5-DB4)))</f>
        <v>1.5357915933617867</v>
      </c>
      <c r="CU5" s="18">
        <f>CT5*VLOOKUP('Données projet'!$B$13,Paramètres!$A$1:$I$89,3,0)*VLOOKUP('Données projet'!$B$13,Paramètres!$A$1:$I$89,5,0)</f>
        <v>1.5572926756688519</v>
      </c>
      <c r="CV5" s="14">
        <f t="shared" ref="CV5:CV68" si="41">EXP(-1.0587+0.8836*LN(CU5)+0.284)</f>
        <v>0.68160129960402205</v>
      </c>
      <c r="CW5" s="22">
        <f t="shared" si="13"/>
        <v>3.8994070069335893</v>
      </c>
      <c r="CX5" s="62">
        <f t="shared" si="14"/>
        <v>263.01051811804473</v>
      </c>
      <c r="CY5" s="62">
        <f ca="1">AVERAGE(OFFSET($CX$3,0,0,'Données projet'!$E$13+1,1))-AVERAGE(OFFSET($H$3,0,0,'Données projet'!$E$13+1,1))</f>
        <v>486.63673936259465</v>
      </c>
      <c r="CZ5" s="62">
        <f t="shared" ref="CZ5:CZ68" si="42">$CZ$3</f>
        <v>306.61893266146666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10.8</v>
      </c>
      <c r="N6" s="14">
        <f>IF('Données projet'!$A$36&gt;35,N5+M6-V5,IF(A6&lt;'Données projet'!$A$36,$K$205^A6,IF(A6='Données projet'!$A$36,'Données projet'!$B$36,N5+M6-V5)))</f>
        <v>2.7663237344451828</v>
      </c>
      <c r="O6" s="14">
        <f>N6*VLOOKUP('Données projet'!$B$9,Paramètres!$A$1:$I$89,3,0)*VLOOKUP('Données projet'!$B$9,Paramètres!$A$1:$I$89,5,0)</f>
        <v>1.5463749675548573</v>
      </c>
      <c r="P6" s="14">
        <f t="shared" si="33"/>
        <v>0.6773772891448272</v>
      </c>
      <c r="Q6" s="22">
        <f t="shared" si="2"/>
        <v>3.8730351804186167</v>
      </c>
      <c r="R6" s="62">
        <f t="shared" si="0"/>
        <v>264.20636851375195</v>
      </c>
      <c r="S6" s="62">
        <f ca="1">AVERAGE(OFFSET($R$3,0,0,'Données projet'!$E$9+1,1))-AVERAGE(OFFSET($H$3,0,0,'Données projet'!$E$9+1,1))</f>
        <v>555.15881087162279</v>
      </c>
      <c r="T6" s="62">
        <f t="shared" si="34"/>
        <v>668.20427590250733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7.7692307692307692</v>
      </c>
      <c r="AI6" s="14">
        <f>IF('Données projet'!$A$62&gt;35,AI5+AH6-AQ5,IF(A6&lt;'Données projet'!$A$62,$AF$205^A6,IF(A6='Données projet'!$A$62,'Données projet'!$B$62,AI5+AH6-AQ5)))</f>
        <v>2.9009196620933739</v>
      </c>
      <c r="AJ6" s="14">
        <f>AI6*VLOOKUP('Données projet'!$B$10,Paramètres!$A$1:$I$89,3,0)*VLOOKUP('Données projet'!$B$10,Paramètres!$A$1:$I$89,5,0)</f>
        <v>1.7347499579318377</v>
      </c>
      <c r="AK6" s="14">
        <f t="shared" si="35"/>
        <v>0.74979368271678282</v>
      </c>
      <c r="AL6" s="22">
        <f t="shared" si="4"/>
        <v>4.3272468407963478</v>
      </c>
      <c r="AM6" s="62">
        <f t="shared" si="5"/>
        <v>264.66058017412968</v>
      </c>
      <c r="AN6" s="62">
        <f ca="1">AVERAGE(OFFSET($AM$3,0,0,'Données projet'!$E$10+1,1))-AVERAGE(OFFSET($H$3,0,0,'Données projet'!$E$10+1,1))</f>
        <v>195.80903373714432</v>
      </c>
      <c r="AO6" s="62">
        <f t="shared" si="36"/>
        <v>388.30721786668977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6.8</v>
      </c>
      <c r="BD6" s="13">
        <f>IF('Données projet'!$A$88&gt;35,BD5+BC6-BL5,IF(A6&lt;'Données projet'!$A$88,$BA$205^A6,IF(A6='Données projet'!$A$88,'Données projet'!$B$88,BD5+BC6-BL5)))</f>
        <v>8.2963554401312951</v>
      </c>
      <c r="BE6" s="14">
        <f>BD6*VLOOKUP('Données projet'!$B$11,Paramètres!$A$1:$I$89,3,0)*VLOOKUP('Données projet'!$B$11,Paramètres!$A$1:$I$89,5,0)</f>
        <v>7.5065424022307949</v>
      </c>
      <c r="BF6" s="14">
        <f t="shared" si="37"/>
        <v>2.7358406474604431</v>
      </c>
      <c r="BG6" s="22">
        <f t="shared" si="7"/>
        <v>17.838817144878906</v>
      </c>
      <c r="BH6" s="62">
        <f t="shared" si="8"/>
        <v>278.17215047821225</v>
      </c>
      <c r="BI6" s="62">
        <f ca="1">AVERAGE(OFFSET($BH$3,0,0,'Données projet'!$E$11+1,1))-AVERAGE(OFFSET($H$3,0,0,'Données projet'!$E$11+1,1))</f>
        <v>366.86025470473652</v>
      </c>
      <c r="BJ6" s="62">
        <f t="shared" si="38"/>
        <v>513.80016421153414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3.65</v>
      </c>
      <c r="BY6" s="13">
        <f>IF('Données projet'!$A$114&gt;35,BY5+BX6-CG5,IF(A6&lt;'Données projet'!$A$114,$BV$205^A6,IF(A6='Données projet'!$A$114,'Données projet'!$B$114,BY5+BX6-CG5)))</f>
        <v>1.9032613528593461</v>
      </c>
      <c r="BZ6" s="14">
        <f>BY6*VLOOKUP('Données projet'!$B$12,Paramètres!$A$1:$I$89,3,0)*VLOOKUP('Données projet'!$B$12,Paramètres!$A$1:$I$89,5,0)</f>
        <v>1.7220708720671365</v>
      </c>
      <c r="CA6" s="14">
        <f t="shared" si="39"/>
        <v>0.74494935243383209</v>
      </c>
      <c r="CB6" s="22">
        <f t="shared" si="10"/>
        <v>4.2967268910058536</v>
      </c>
      <c r="CC6" s="62">
        <f t="shared" si="11"/>
        <v>264.63006022433916</v>
      </c>
      <c r="CD6" s="62">
        <f ca="1">AVERAGE(OFFSET($CC$3,0,0,'Données projet'!$E$12+1,1))-AVERAGE(OFFSET($H$3,0,0,'Données projet'!$E$12+1,1))</f>
        <v>438.70522838726322</v>
      </c>
      <c r="CE6" s="62">
        <f t="shared" si="40"/>
        <v>278.21741231699929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3.65</v>
      </c>
      <c r="CT6" s="13">
        <f>IF('Données projet'!$A$140&gt;35,CT5+CS6-DB5,IF(A6&lt;'Données projet'!$A$140,$CQ$205^A6,IF(A6='Données projet'!$A$140,'Données projet'!$B$140,CT5+CS6-DB5)))</f>
        <v>1.9032613528593461</v>
      </c>
      <c r="CU6" s="18">
        <f>CT6*VLOOKUP('Données projet'!$B$13,Paramètres!$A$1:$I$89,3,0)*VLOOKUP('Données projet'!$B$13,Paramètres!$A$1:$I$89,5,0)</f>
        <v>1.9299070117993768</v>
      </c>
      <c r="CV6" s="14">
        <f t="shared" si="41"/>
        <v>0.82385733708903885</v>
      </c>
      <c r="CW6" s="22">
        <f t="shared" si="13"/>
        <v>4.7961395743139903</v>
      </c>
      <c r="CX6" s="62">
        <f t="shared" si="14"/>
        <v>265.12947290764731</v>
      </c>
      <c r="CY6" s="62">
        <f ca="1">AVERAGE(OFFSET($CX$3,0,0,'Données projet'!$E$13+1,1))-AVERAGE(OFFSET($H$3,0,0,'Données projet'!$E$13+1,1))</f>
        <v>486.63673936259465</v>
      </c>
      <c r="CZ6" s="62">
        <f t="shared" si="42"/>
        <v>306.61893266146666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10.8</v>
      </c>
      <c r="N7" s="14">
        <f>IF('Données projet'!$A$36&gt;35,N6+M7-V6,IF(A7&lt;'Données projet'!$A$36,$K$205^A7,IF(A7='Données projet'!$A$36,'Données projet'!$B$36,N6+M7-V6)))</f>
        <v>3.8833273713275762</v>
      </c>
      <c r="O7" s="14">
        <f>N7*VLOOKUP('Données projet'!$B$9,Paramètres!$A$1:$I$89,3,0)*VLOOKUP('Données projet'!$B$9,Paramètres!$A$1:$I$89,5,0)</f>
        <v>2.170780000572115</v>
      </c>
      <c r="P7" s="14">
        <f t="shared" si="33"/>
        <v>0.91408334535022773</v>
      </c>
      <c r="Q7" s="22">
        <f t="shared" si="2"/>
        <v>5.3728036608147471</v>
      </c>
      <c r="R7" s="62">
        <f t="shared" si="0"/>
        <v>266.92835921637027</v>
      </c>
      <c r="S7" s="62">
        <f ca="1">AVERAGE(OFFSET($R$3,0,0,'Données projet'!$E$9+1,1))-AVERAGE(OFFSET($H$3,0,0,'Données projet'!$E$9+1,1))</f>
        <v>555.15881087162279</v>
      </c>
      <c r="T7" s="62">
        <f t="shared" si="34"/>
        <v>668.20427590250733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7.7692307692307692</v>
      </c>
      <c r="AI7" s="14">
        <f>IF('Données projet'!$A$62&gt;35,AI6+AH7-AQ6,IF(A7&lt;'Données projet'!$A$62,$AF$205^A7,IF(A7='Données projet'!$A$62,'Données projet'!$B$62,AI6+AH7-AQ6)))</f>
        <v>4.1372738562304461</v>
      </c>
      <c r="AJ7" s="14">
        <f>AI7*VLOOKUP('Données projet'!$B$10,Paramètres!$A$1:$I$89,3,0)*VLOOKUP('Données projet'!$B$10,Paramètres!$A$1:$I$89,5,0)</f>
        <v>2.474089766025807</v>
      </c>
      <c r="AK7" s="14">
        <f t="shared" si="35"/>
        <v>1.0260628389675426</v>
      </c>
      <c r="AL7" s="22">
        <f t="shared" si="4"/>
        <v>6.0960991203634167</v>
      </c>
      <c r="AM7" s="62">
        <f t="shared" si="5"/>
        <v>267.65165467591896</v>
      </c>
      <c r="AN7" s="62">
        <f ca="1">AVERAGE(OFFSET($AM$3,0,0,'Données projet'!$E$10+1,1))-AVERAGE(OFFSET($H$3,0,0,'Données projet'!$E$10+1,1))</f>
        <v>195.80903373714432</v>
      </c>
      <c r="AO7" s="62">
        <f t="shared" si="36"/>
        <v>388.30721786668977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6.8</v>
      </c>
      <c r="BD7" s="13">
        <f>IF('Données projet'!$A$88&gt;35,BD6+BC7-BL6,IF(A7&lt;'Données projet'!$A$88,$BA$205^A7,IF(A7='Données projet'!$A$88,'Données projet'!$B$88,BD6+BC7-BL6)))</f>
        <v>16.795120867813488</v>
      </c>
      <c r="BE7" s="14">
        <f>BD7*VLOOKUP('Données projet'!$B$11,Paramètres!$A$1:$I$89,3,0)*VLOOKUP('Données projet'!$B$11,Paramètres!$A$1:$I$89,5,0)</f>
        <v>15.196225361197643</v>
      </c>
      <c r="BF7" s="14">
        <f t="shared" si="37"/>
        <v>5.1019212633160578</v>
      </c>
      <c r="BG7" s="22">
        <f t="shared" si="7"/>
        <v>35.352605371028027</v>
      </c>
      <c r="BH7" s="62">
        <f t="shared" si="8"/>
        <v>296.90816092658355</v>
      </c>
      <c r="BI7" s="62">
        <f ca="1">AVERAGE(OFFSET($BH$3,0,0,'Données projet'!$E$11+1,1))-AVERAGE(OFFSET($H$3,0,0,'Données projet'!$E$11+1,1))</f>
        <v>366.86025470473652</v>
      </c>
      <c r="BJ7" s="62">
        <f t="shared" si="38"/>
        <v>513.80016421153414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3.65</v>
      </c>
      <c r="BY7" s="13">
        <f>IF('Données projet'!$A$114&gt;35,BY6+BX7-CG6,IF(A7&lt;'Données projet'!$A$114,$BV$205^A7,IF(A7='Données projet'!$A$114,'Données projet'!$B$114,BY6+BX7-CG6)))</f>
        <v>2.3586558182407358</v>
      </c>
      <c r="BZ7" s="14">
        <f>BY7*VLOOKUP('Données projet'!$B$12,Paramètres!$A$1:$I$89,3,0)*VLOOKUP('Données projet'!$B$12,Paramètres!$A$1:$I$89,5,0)</f>
        <v>2.1341117843442179</v>
      </c>
      <c r="CA7" s="14">
        <f t="shared" si="39"/>
        <v>0.90042667189585779</v>
      </c>
      <c r="CB7" s="22">
        <f t="shared" si="10"/>
        <v>5.2851544779514645</v>
      </c>
      <c r="CC7" s="62">
        <f t="shared" si="11"/>
        <v>266.84071003350698</v>
      </c>
      <c r="CD7" s="62">
        <f ca="1">AVERAGE(OFFSET($CC$3,0,0,'Données projet'!$E$12+1,1))-AVERAGE(OFFSET($H$3,0,0,'Données projet'!$E$12+1,1))</f>
        <v>438.70522838726322</v>
      </c>
      <c r="CE7" s="62">
        <f t="shared" si="40"/>
        <v>278.21741231699929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3.65</v>
      </c>
      <c r="CT7" s="13">
        <f>IF('Données projet'!$A$140&gt;35,CT6+CS7-DB6,IF(A7&lt;'Données projet'!$A$140,$CQ$205^A7,IF(A7='Données projet'!$A$140,'Données projet'!$B$140,CT6+CS7-DB6)))</f>
        <v>2.3586558182407358</v>
      </c>
      <c r="CU7" s="18">
        <f>CT7*VLOOKUP('Données projet'!$B$13,Paramètres!$A$1:$I$89,3,0)*VLOOKUP('Données projet'!$B$13,Paramètres!$A$1:$I$89,5,0)</f>
        <v>2.3916769996961063</v>
      </c>
      <c r="CV7" s="14">
        <f t="shared" si="41"/>
        <v>0.9958034297612971</v>
      </c>
      <c r="CW7" s="22">
        <f t="shared" si="13"/>
        <v>5.8998617479716442</v>
      </c>
      <c r="CX7" s="62">
        <f t="shared" si="14"/>
        <v>267.45541730352721</v>
      </c>
      <c r="CY7" s="62">
        <f ca="1">AVERAGE(OFFSET($CX$3,0,0,'Données projet'!$E$13+1,1))-AVERAGE(OFFSET($H$3,0,0,'Données projet'!$E$13+1,1))</f>
        <v>486.63673936259465</v>
      </c>
      <c r="CZ7" s="62">
        <f t="shared" si="42"/>
        <v>306.61893266146666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10.8</v>
      </c>
      <c r="N8" s="14">
        <f>IF('Données projet'!$A$36&gt;35,N7+M8-V7,IF(A8&lt;'Données projet'!$A$36,$K$205^A8,IF(A8='Données projet'!$A$36,'Données projet'!$B$36,N7+M8-V7)))</f>
        <v>5.451361778496417</v>
      </c>
      <c r="O8" s="14">
        <f>N8*VLOOKUP('Données projet'!$B$9,Paramètres!$A$1:$I$89,3,0)*VLOOKUP('Données projet'!$B$9,Paramètres!$A$1:$I$89,5,0)</f>
        <v>3.0473112341794972</v>
      </c>
      <c r="P8" s="14">
        <f t="shared" si="33"/>
        <v>1.2335051316844765</v>
      </c>
      <c r="Q8" s="22">
        <f t="shared" si="2"/>
        <v>7.4557551705464205</v>
      </c>
      <c r="R8" s="62">
        <f t="shared" si="0"/>
        <v>270.23353294832418</v>
      </c>
      <c r="S8" s="62">
        <f ca="1">AVERAGE(OFFSET($R$3,0,0,'Données projet'!$E$9+1,1))-AVERAGE(OFFSET($H$3,0,0,'Données projet'!$E$9+1,1))</f>
        <v>555.15881087162279</v>
      </c>
      <c r="T8" s="62">
        <f t="shared" si="34"/>
        <v>668.20427590250733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7.7692307692307692</v>
      </c>
      <c r="AI8" s="14">
        <f>IF('Données projet'!$A$62&gt;35,AI7+AH8-AQ7,IF(A8&lt;'Données projet'!$A$62,$AF$205^A8,IF(A8='Données projet'!$A$62,'Données projet'!$B$62,AI7+AH8-AQ7)))</f>
        <v>5.9005546362134957</v>
      </c>
      <c r="AJ8" s="14">
        <f>AI8*VLOOKUP('Données projet'!$B$10,Paramètres!$A$1:$I$89,3,0)*VLOOKUP('Données projet'!$B$10,Paramètres!$A$1:$I$89,5,0)</f>
        <v>3.5285316724556708</v>
      </c>
      <c r="AK8" s="14">
        <f t="shared" si="35"/>
        <v>1.404126193348852</v>
      </c>
      <c r="AL8" s="22">
        <f t="shared" si="4"/>
        <v>8.5910457829428761</v>
      </c>
      <c r="AM8" s="62">
        <f t="shared" si="5"/>
        <v>271.36882356072067</v>
      </c>
      <c r="AN8" s="62">
        <f ca="1">AVERAGE(OFFSET($AM$3,0,0,'Données projet'!$E$10+1,1))-AVERAGE(OFFSET($H$3,0,0,'Données projet'!$E$10+1,1))</f>
        <v>195.80903373714432</v>
      </c>
      <c r="AO8" s="62">
        <f t="shared" si="36"/>
        <v>388.30721786668977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>
        <f>VLOOKUP(A8,'Données projet'!$A$87:$I$107,2,0)</f>
        <v>34</v>
      </c>
      <c r="BB8" s="13">
        <f>VLOOKUP(A8,'Données projet'!$A$87:$I$107,9,0)</f>
        <v>6.8</v>
      </c>
      <c r="BC8" s="13">
        <f t="array" ref="BC8">INDEX(BB:BB,MIN(IF(ISNUMBER(BB8:BB204),ROW(BB8:BB204),"")))</f>
        <v>6.8</v>
      </c>
      <c r="BD8" s="13">
        <f>IF('Données projet'!$A$88&gt;35,BD7+BC8-BL7,IF(A8&lt;'Données projet'!$A$88,$BA$205^A8,IF(A8='Données projet'!$A$88,'Données projet'!$B$88,BD7+BC8-BL7)))</f>
        <v>34</v>
      </c>
      <c r="BE8" s="14">
        <f>BD8*VLOOKUP('Données projet'!$B$11,Paramètres!$A$1:$I$89,3,0)*VLOOKUP('Données projet'!$B$11,Paramètres!$A$1:$I$89,5,0)</f>
        <v>30.763199999999998</v>
      </c>
      <c r="BF8" s="14">
        <f t="shared" si="37"/>
        <v>9.5142970411082253</v>
      </c>
      <c r="BG8" s="22">
        <f t="shared" si="7"/>
        <v>70.149974013263474</v>
      </c>
      <c r="BH8" s="62">
        <f t="shared" si="8"/>
        <v>332.92775179104126</v>
      </c>
      <c r="BI8" s="62">
        <f ca="1">AVERAGE(OFFSET($BH$3,0,0,'Données projet'!$E$11+1,1))-AVERAGE(OFFSET($H$3,0,0,'Données projet'!$E$11+1,1))</f>
        <v>366.86025470473652</v>
      </c>
      <c r="BJ8" s="62">
        <f t="shared" si="38"/>
        <v>513.80016421153414</v>
      </c>
      <c r="BK8" s="16">
        <f>IF(ISNA(VLOOKUP(A8,'Données projet'!$A$87:$I$107,3,0)),0,VLOOKUP(A8,'Données projet'!$A$87:$I$107,3,0))</f>
        <v>1</v>
      </c>
      <c r="BL8" s="16">
        <f>IF(ISNA(VLOOKUP(A8,'Données projet'!$A$87:$I$107,4,0)),0,VLOOKUP(A8,'Données projet'!$A$87:$I$107,4,0))</f>
        <v>6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3.65</v>
      </c>
      <c r="BY8" s="13">
        <f>IF('Données projet'!$A$114&gt;35,BY7+BX8-CG7,IF(A8&lt;'Données projet'!$A$114,$BV$205^A8,IF(A8='Données projet'!$A$114,'Données projet'!$B$114,BY7+BX8-CG7)))</f>
        <v>2.9230127856917649</v>
      </c>
      <c r="BZ8" s="14">
        <f>BY8*VLOOKUP('Données projet'!$B$12,Paramètres!$A$1:$I$89,3,0)*VLOOKUP('Données projet'!$B$12,Paramètres!$A$1:$I$89,5,0)</f>
        <v>2.6447419684939089</v>
      </c>
      <c r="CA8" s="14">
        <f t="shared" si="39"/>
        <v>1.0883534414958294</v>
      </c>
      <c r="CB8" s="22">
        <f t="shared" si="10"/>
        <v>6.5018078390654601</v>
      </c>
      <c r="CC8" s="62">
        <f t="shared" si="11"/>
        <v>269.27958561684324</v>
      </c>
      <c r="CD8" s="62">
        <f ca="1">AVERAGE(OFFSET($CC$3,0,0,'Données projet'!$E$12+1,1))-AVERAGE(OFFSET($H$3,0,0,'Données projet'!$E$12+1,1))</f>
        <v>438.70522838726322</v>
      </c>
      <c r="CE8" s="62">
        <f t="shared" si="40"/>
        <v>278.21741231699929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3.65</v>
      </c>
      <c r="CT8" s="13">
        <f>IF('Données projet'!$A$140&gt;35,CT7+CS8-DB7,IF(A8&lt;'Données projet'!$A$140,$CQ$205^A8,IF(A8='Données projet'!$A$140,'Données projet'!$B$140,CT7+CS8-DB7)))</f>
        <v>2.9230127856917649</v>
      </c>
      <c r="CU8" s="18">
        <f>CT8*VLOOKUP('Données projet'!$B$13,Paramètres!$A$1:$I$89,3,0)*VLOOKUP('Données projet'!$B$13,Paramètres!$A$1:$I$89,5,0)</f>
        <v>2.9639349646914495</v>
      </c>
      <c r="CV8" s="14">
        <f t="shared" si="41"/>
        <v>1.2036361467970902</v>
      </c>
      <c r="CW8" s="22">
        <f t="shared" si="13"/>
        <v>7.2585196858425398</v>
      </c>
      <c r="CX8" s="62">
        <f t="shared" si="14"/>
        <v>270.03629746362031</v>
      </c>
      <c r="CY8" s="62">
        <f ca="1">AVERAGE(OFFSET($CX$3,0,0,'Données projet'!$E$13+1,1))-AVERAGE(OFFSET($H$3,0,0,'Données projet'!$E$13+1,1))</f>
        <v>486.63673936259465</v>
      </c>
      <c r="CZ8" s="62">
        <f t="shared" si="42"/>
        <v>306.61893266146666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10.8</v>
      </c>
      <c r="N9" s="14">
        <f>IF('Données projet'!$A$36&gt;35,N8+M9-V8,IF(A9&lt;'Données projet'!$A$36,$K$205^A9,IF(A9='Données projet'!$A$36,'Données projet'!$B$36,N8+M9-V8)))</f>
        <v>7.6525470037547425</v>
      </c>
      <c r="O9" s="14">
        <f>N9*VLOOKUP('Données projet'!$B$9,Paramètres!$A$1:$I$89,3,0)*VLOOKUP('Données projet'!$B$9,Paramètres!$A$1:$I$89,5,0)</f>
        <v>4.2777737750989013</v>
      </c>
      <c r="P9" s="14">
        <f t="shared" si="33"/>
        <v>1.6645472402836166</v>
      </c>
      <c r="Q9" s="22">
        <f t="shared" si="2"/>
        <v>10.349542435124553</v>
      </c>
      <c r="R9" s="62">
        <f t="shared" si="0"/>
        <v>274.34954243512453</v>
      </c>
      <c r="S9" s="62">
        <f ca="1">AVERAGE(OFFSET($R$3,0,0,'Données projet'!$E$9+1,1))-AVERAGE(OFFSET($H$3,0,0,'Données projet'!$E$9+1,1))</f>
        <v>555.15881087162279</v>
      </c>
      <c r="T9" s="62">
        <f t="shared" si="34"/>
        <v>668.20427590250733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7.7692307692307692</v>
      </c>
      <c r="AI9" s="14">
        <f>IF('Données projet'!$A$62&gt;35,AI8+AH9-AQ8,IF(A9&lt;'Données projet'!$A$62,$AF$205^A9,IF(A9='Données projet'!$A$62,'Données projet'!$B$62,AI8+AH9-AQ8)))</f>
        <v>8.4153348859199362</v>
      </c>
      <c r="AJ9" s="14">
        <f>AI9*VLOOKUP('Données projet'!$B$10,Paramètres!$A$1:$I$89,3,0)*VLOOKUP('Données projet'!$B$10,Paramètres!$A$1:$I$89,5,0)</f>
        <v>5.0323702617801223</v>
      </c>
      <c r="AK9" s="14">
        <f t="shared" si="35"/>
        <v>1.9214908599868947</v>
      </c>
      <c r="AL9" s="22">
        <f t="shared" si="4"/>
        <v>12.111308120410888</v>
      </c>
      <c r="AM9" s="62">
        <f t="shared" si="5"/>
        <v>276.11130812041091</v>
      </c>
      <c r="AN9" s="62">
        <f ca="1">AVERAGE(OFFSET($AM$3,0,0,'Données projet'!$E$10+1,1))-AVERAGE(OFFSET($H$3,0,0,'Données projet'!$E$10+1,1))</f>
        <v>195.80903373714432</v>
      </c>
      <c r="AO9" s="62">
        <f t="shared" si="36"/>
        <v>388.30721786668977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14.2</v>
      </c>
      <c r="BD9" s="13">
        <f>IF('Données projet'!$A$88&gt;35,BD8+BC9-BL8,IF(A9&lt;'Données projet'!$A$88,$BA$205^A9,IF(A9='Données projet'!$A$88,'Données projet'!$B$88,BD8+BC9-BL8)))</f>
        <v>42.2</v>
      </c>
      <c r="BE9" s="14">
        <f>BD9*VLOOKUP('Données projet'!$B$11,Paramètres!$A$1:$I$89,3,0)*VLOOKUP('Données projet'!$B$11,Paramètres!$A$1:$I$89,5,0)</f>
        <v>38.182560000000002</v>
      </c>
      <c r="BF9" s="14">
        <f t="shared" si="37"/>
        <v>11.515638334288104</v>
      </c>
      <c r="BG9" s="22">
        <f t="shared" si="7"/>
        <v>86.557695432218452</v>
      </c>
      <c r="BH9" s="62">
        <f t="shared" si="8"/>
        <v>350.55769543221845</v>
      </c>
      <c r="BI9" s="62">
        <f ca="1">AVERAGE(OFFSET($BH$3,0,0,'Données projet'!$E$11+1,1))-AVERAGE(OFFSET($H$3,0,0,'Données projet'!$E$11+1,1))</f>
        <v>366.86025470473652</v>
      </c>
      <c r="BJ9" s="62">
        <f t="shared" si="38"/>
        <v>513.80016421153414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3.65</v>
      </c>
      <c r="BY9" s="13">
        <f>IF('Données projet'!$A$114&gt;35,BY8+BX9-CG8,IF(A9&lt;'Données projet'!$A$114,$BV$205^A9,IF(A9='Données projet'!$A$114,'Données projet'!$B$114,BY8+BX9-CG8)))</f>
        <v>3.6224037772879885</v>
      </c>
      <c r="BZ9" s="14">
        <f>BY9*VLOOKUP('Données projet'!$B$12,Paramètres!$A$1:$I$89,3,0)*VLOOKUP('Données projet'!$B$12,Paramètres!$A$1:$I$89,5,0)</f>
        <v>3.2775509376901719</v>
      </c>
      <c r="CA9" s="14">
        <f t="shared" si="39"/>
        <v>1.315502139804245</v>
      </c>
      <c r="CB9" s="22">
        <f t="shared" si="10"/>
        <v>7.9995674433027766</v>
      </c>
      <c r="CC9" s="62">
        <f t="shared" si="11"/>
        <v>271.99956744330279</v>
      </c>
      <c r="CD9" s="62">
        <f ca="1">AVERAGE(OFFSET($CC$3,0,0,'Données projet'!$E$12+1,1))-AVERAGE(OFFSET($H$3,0,0,'Données projet'!$E$12+1,1))</f>
        <v>438.70522838726322</v>
      </c>
      <c r="CE9" s="62">
        <f t="shared" si="40"/>
        <v>278.21741231699929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3.65</v>
      </c>
      <c r="CT9" s="13">
        <f>IF('Données projet'!$A$140&gt;35,CT8+CS9-DB8,IF(A9&lt;'Données projet'!$A$140,$CQ$205^A9,IF(A9='Données projet'!$A$140,'Données projet'!$B$140,CT8+CS9-DB8)))</f>
        <v>3.6224037772879885</v>
      </c>
      <c r="CU9" s="18">
        <f>CT9*VLOOKUP('Données projet'!$B$13,Paramètres!$A$1:$I$89,3,0)*VLOOKUP('Données projet'!$B$13,Paramètres!$A$1:$I$89,5,0)</f>
        <v>3.6731174301700205</v>
      </c>
      <c r="CV9" s="14">
        <f t="shared" si="41"/>
        <v>1.4548453345092642</v>
      </c>
      <c r="CW9" s="22">
        <f t="shared" si="13"/>
        <v>8.9312018151497536</v>
      </c>
      <c r="CX9" s="62">
        <f t="shared" si="14"/>
        <v>272.93120181514973</v>
      </c>
      <c r="CY9" s="62">
        <f ca="1">AVERAGE(OFFSET($CX$3,0,0,'Données projet'!$E$13+1,1))-AVERAGE(OFFSET($H$3,0,0,'Données projet'!$E$13+1,1))</f>
        <v>486.63673936259465</v>
      </c>
      <c r="CZ9" s="62">
        <f t="shared" si="42"/>
        <v>306.61893266146666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10.8</v>
      </c>
      <c r="N10" s="14">
        <f>IF('Données projet'!$A$36&gt;35,N9+M10-V9,IF(A10&lt;'Données projet'!$A$36,$K$205^A10,IF(A10='Données projet'!$A$36,'Données projet'!$B$36,N9+M10-V9)))</f>
        <v>10.742540675924095</v>
      </c>
      <c r="O10" s="14">
        <f>N10*VLOOKUP('Données projet'!$B$9,Paramètres!$A$1:$I$89,3,0)*VLOOKUP('Données projet'!$B$9,Paramètres!$A$1:$I$89,5,0)</f>
        <v>6.0050802378415691</v>
      </c>
      <c r="P10" s="14">
        <f t="shared" si="33"/>
        <v>2.2462148263235089</v>
      </c>
      <c r="Q10" s="22">
        <f t="shared" si="2"/>
        <v>14.37100557008751</v>
      </c>
      <c r="R10" s="62">
        <f t="shared" si="0"/>
        <v>279.59322779230973</v>
      </c>
      <c r="S10" s="62">
        <f ca="1">AVERAGE(OFFSET($R$3,0,0,'Données projet'!$E$9+1,1))-AVERAGE(OFFSET($H$3,0,0,'Données projet'!$E$9+1,1))</f>
        <v>555.15881087162279</v>
      </c>
      <c r="T10" s="62">
        <f t="shared" si="34"/>
        <v>668.20427590250733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7.7692307692307692</v>
      </c>
      <c r="AI10" s="14">
        <f>IF('Données projet'!$A$62&gt;35,AI9+AH10-AQ9,IF(A10&lt;'Données projet'!$A$62,$AF$205^A10,IF(A10='Données projet'!$A$62,'Données projet'!$B$62,AI9+AH10-AQ9)))</f>
        <v>12.001899077003776</v>
      </c>
      <c r="AJ10" s="14">
        <f>AI10*VLOOKUP('Données projet'!$B$10,Paramètres!$A$1:$I$89,3,0)*VLOOKUP('Données projet'!$B$10,Paramètres!$A$1:$I$89,5,0)</f>
        <v>7.1771356480482584</v>
      </c>
      <c r="AK10" s="14">
        <f t="shared" si="35"/>
        <v>2.6294838330787229</v>
      </c>
      <c r="AL10" s="22">
        <f t="shared" si="4"/>
        <v>17.079862262962827</v>
      </c>
      <c r="AM10" s="62">
        <f t="shared" si="5"/>
        <v>282.30208448518505</v>
      </c>
      <c r="AN10" s="62">
        <f ca="1">AVERAGE(OFFSET($AM$3,0,0,'Données projet'!$E$10+1,1))-AVERAGE(OFFSET($H$3,0,0,'Données projet'!$E$10+1,1))</f>
        <v>195.80903373714432</v>
      </c>
      <c r="AO10" s="62">
        <f t="shared" si="36"/>
        <v>388.30721786668977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14.2</v>
      </c>
      <c r="BD10" s="13">
        <f>IF('Données projet'!$A$88&gt;35,BD9+BC10-BL9,IF(A10&lt;'Données projet'!$A$88,$BA$205^A10,IF(A10='Données projet'!$A$88,'Données projet'!$B$88,BD9+BC10-BL9)))</f>
        <v>56.400000000000006</v>
      </c>
      <c r="BE10" s="14">
        <f>BD10*VLOOKUP('Données projet'!$B$11,Paramètres!$A$1:$I$89,3,0)*VLOOKUP('Données projet'!$B$11,Paramètres!$A$1:$I$89,5,0)</f>
        <v>51.030720000000009</v>
      </c>
      <c r="BF10" s="14">
        <f t="shared" si="37"/>
        <v>14.879630660597618</v>
      </c>
      <c r="BG10" s="22">
        <f t="shared" si="7"/>
        <v>114.79386073387418</v>
      </c>
      <c r="BH10" s="62">
        <f t="shared" si="8"/>
        <v>380.0160829560964</v>
      </c>
      <c r="BI10" s="62">
        <f ca="1">AVERAGE(OFFSET($BH$3,0,0,'Données projet'!$E$11+1,1))-AVERAGE(OFFSET($H$3,0,0,'Données projet'!$E$11+1,1))</f>
        <v>366.86025470473652</v>
      </c>
      <c r="BJ10" s="62">
        <f t="shared" si="38"/>
        <v>513.80016421153414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3.65</v>
      </c>
      <c r="BY10" s="13">
        <f>IF('Données projet'!$A$114&gt;35,BY9+BX10-CG9,IF(A10&lt;'Données projet'!$A$114,$BV$205^A10,IF(A10='Données projet'!$A$114,'Données projet'!$B$114,BY9+BX10-CG9)))</f>
        <v>4.4891384635544309</v>
      </c>
      <c r="BZ10" s="14">
        <f>BY10*VLOOKUP('Données projet'!$B$12,Paramètres!$A$1:$I$89,3,0)*VLOOKUP('Données projet'!$B$12,Paramètres!$A$1:$I$89,5,0)</f>
        <v>4.0617724818240486</v>
      </c>
      <c r="CA10" s="14">
        <f t="shared" si="39"/>
        <v>1.590058719758437</v>
      </c>
      <c r="CB10" s="22">
        <f t="shared" si="10"/>
        <v>9.8436060094228282</v>
      </c>
      <c r="CC10" s="62">
        <f t="shared" si="11"/>
        <v>275.06582823164507</v>
      </c>
      <c r="CD10" s="62">
        <f ca="1">AVERAGE(OFFSET($CC$3,0,0,'Données projet'!$E$12+1,1))-AVERAGE(OFFSET($H$3,0,0,'Données projet'!$E$12+1,1))</f>
        <v>438.70522838726322</v>
      </c>
      <c r="CE10" s="62">
        <f t="shared" si="40"/>
        <v>278.21741231699929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3.65</v>
      </c>
      <c r="CT10" s="13">
        <f>IF('Données projet'!$A$140&gt;35,CT9+CS10-DB9,IF(A10&lt;'Données projet'!$A$140,$CQ$205^A10,IF(A10='Données projet'!$A$140,'Données projet'!$B$140,CT9+CS10-DB9)))</f>
        <v>4.4891384635544309</v>
      </c>
      <c r="CU10" s="18">
        <f>CT10*VLOOKUP('Données projet'!$B$13,Paramètres!$A$1:$I$89,3,0)*VLOOKUP('Données projet'!$B$13,Paramètres!$A$1:$I$89,5,0)</f>
        <v>4.5519864020441929</v>
      </c>
      <c r="CV10" s="14">
        <f t="shared" si="41"/>
        <v>1.7584840343783612</v>
      </c>
      <c r="CW10" s="22">
        <f t="shared" si="13"/>
        <v>10.990736010102614</v>
      </c>
      <c r="CX10" s="62">
        <f t="shared" si="14"/>
        <v>276.21295823232487</v>
      </c>
      <c r="CY10" s="62">
        <f ca="1">AVERAGE(OFFSET($CX$3,0,0,'Données projet'!$E$13+1,1))-AVERAGE(OFFSET($H$3,0,0,'Données projet'!$E$13+1,1))</f>
        <v>486.63673936259465</v>
      </c>
      <c r="CZ10" s="62">
        <f t="shared" si="42"/>
        <v>306.61893266146666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10.8</v>
      </c>
      <c r="N11" s="14">
        <f>IF('Données projet'!$A$36&gt;35,N10+M11-V10,IF(A11&lt;'Données projet'!$A$36,$K$205^A11,IF(A11='Données projet'!$A$36,'Données projet'!$B$36,N10+M11-V10)))</f>
        <v>15.080231472901943</v>
      </c>
      <c r="O11" s="14">
        <f>N11*VLOOKUP('Données projet'!$B$9,Paramètres!$A$1:$I$89,3,0)*VLOOKUP('Données projet'!$B$9,Paramètres!$A$1:$I$89,5,0)</f>
        <v>8.4298493933521872</v>
      </c>
      <c r="P11" s="14">
        <f t="shared" si="33"/>
        <v>3.0311431985167756</v>
      </c>
      <c r="Q11" s="22">
        <f t="shared" si="2"/>
        <v>19.961228764171775</v>
      </c>
      <c r="R11" s="62">
        <f t="shared" si="0"/>
        <v>286.40567320861624</v>
      </c>
      <c r="S11" s="62">
        <f ca="1">AVERAGE(OFFSET($R$3,0,0,'Données projet'!$E$9+1,1))-AVERAGE(OFFSET($H$3,0,0,'Données projet'!$E$9+1,1))</f>
        <v>555.15881087162279</v>
      </c>
      <c r="T11" s="62">
        <f t="shared" si="34"/>
        <v>668.20427590250733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7.7692307692307692</v>
      </c>
      <c r="AI11" s="14">
        <f>IF('Données projet'!$A$62&gt;35,AI10+AH11-AQ10,IF(A11&lt;'Données projet'!$A$62,$AF$205^A11,IF(A11='Données projet'!$A$62,'Données projet'!$B$62,AI10+AH11-AQ10)))</f>
        <v>17.117034961447946</v>
      </c>
      <c r="AJ11" s="14">
        <f>AI11*VLOOKUP('Données projet'!$B$10,Paramètres!$A$1:$I$89,3,0)*VLOOKUP('Données projet'!$B$10,Paramètres!$A$1:$I$89,5,0)</f>
        <v>10.235986906945872</v>
      </c>
      <c r="AK11" s="14">
        <f t="shared" si="35"/>
        <v>3.5983440631455994</v>
      </c>
      <c r="AL11" s="22">
        <f t="shared" si="4"/>
        <v>24.094793106242644</v>
      </c>
      <c r="AM11" s="62">
        <f t="shared" si="5"/>
        <v>290.53923755068712</v>
      </c>
      <c r="AN11" s="62">
        <f ca="1">AVERAGE(OFFSET($AM$3,0,0,'Données projet'!$E$10+1,1))-AVERAGE(OFFSET($H$3,0,0,'Données projet'!$E$10+1,1))</f>
        <v>195.80903373714432</v>
      </c>
      <c r="AO11" s="62">
        <f t="shared" si="36"/>
        <v>388.30721786668977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14.2</v>
      </c>
      <c r="BD11" s="13">
        <f>IF('Données projet'!$A$88&gt;35,BD10+BC11-BL10,IF(A11&lt;'Données projet'!$A$88,$BA$205^A11,IF(A11='Données projet'!$A$88,'Données projet'!$B$88,BD10+BC11-BL10)))</f>
        <v>70.600000000000009</v>
      </c>
      <c r="BE11" s="14">
        <f>BD11*VLOOKUP('Données projet'!$B$11,Paramètres!$A$1:$I$89,3,0)*VLOOKUP('Données projet'!$B$11,Paramètres!$A$1:$I$89,5,0)</f>
        <v>63.878880000000002</v>
      </c>
      <c r="BF11" s="14">
        <f t="shared" si="37"/>
        <v>18.145367520913332</v>
      </c>
      <c r="BG11" s="22">
        <f t="shared" si="7"/>
        <v>142.85889776559074</v>
      </c>
      <c r="BH11" s="62">
        <f t="shared" si="8"/>
        <v>409.30334221003523</v>
      </c>
      <c r="BI11" s="62">
        <f ca="1">AVERAGE(OFFSET($BH$3,0,0,'Données projet'!$E$11+1,1))-AVERAGE(OFFSET($H$3,0,0,'Données projet'!$E$11+1,1))</f>
        <v>366.86025470473652</v>
      </c>
      <c r="BJ11" s="62">
        <f t="shared" si="38"/>
        <v>513.80016421153414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3.65</v>
      </c>
      <c r="BY11" s="13">
        <f>IF('Données projet'!$A$114&gt;35,BY10+BX11-CG10,IF(A11&lt;'Données projet'!$A$114,$BV$205^A11,IF(A11='Données projet'!$A$114,'Données projet'!$B$114,BY10+BX11-CG10)))</f>
        <v>5.563257268920875</v>
      </c>
      <c r="BZ11" s="14">
        <f>BY11*VLOOKUP('Données projet'!$B$12,Paramètres!$A$1:$I$89,3,0)*VLOOKUP('Données projet'!$B$12,Paramètres!$A$1:$I$89,5,0)</f>
        <v>5.0336351769196082</v>
      </c>
      <c r="CA11" s="14">
        <f t="shared" si="39"/>
        <v>1.9219176128866391</v>
      </c>
      <c r="CB11" s="22">
        <f t="shared" si="10"/>
        <v>12.11425444224588</v>
      </c>
      <c r="CC11" s="62">
        <f t="shared" si="11"/>
        <v>278.55869888669031</v>
      </c>
      <c r="CD11" s="62">
        <f ca="1">AVERAGE(OFFSET($CC$3,0,0,'Données projet'!$E$12+1,1))-AVERAGE(OFFSET($H$3,0,0,'Données projet'!$E$12+1,1))</f>
        <v>438.70522838726322</v>
      </c>
      <c r="CE11" s="62">
        <f t="shared" si="40"/>
        <v>278.21741231699929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3.65</v>
      </c>
      <c r="CT11" s="13">
        <f>IF('Données projet'!$A$140&gt;35,CT10+CS11-DB10,IF(A11&lt;'Données projet'!$A$140,$CQ$205^A11,IF(A11='Données projet'!$A$140,'Données projet'!$B$140,CT10+CS11-DB10)))</f>
        <v>5.563257268920875</v>
      </c>
      <c r="CU11" s="18">
        <f>CT11*VLOOKUP('Données projet'!$B$13,Paramètres!$A$1:$I$89,3,0)*VLOOKUP('Données projet'!$B$13,Paramètres!$A$1:$I$89,5,0)</f>
        <v>5.6411428706857674</v>
      </c>
      <c r="CV11" s="14">
        <f t="shared" si="41"/>
        <v>2.125494735292019</v>
      </c>
      <c r="CW11" s="22">
        <f t="shared" si="13"/>
        <v>13.526893830411311</v>
      </c>
      <c r="CX11" s="62">
        <f t="shared" si="14"/>
        <v>279.97133827485578</v>
      </c>
      <c r="CY11" s="62">
        <f ca="1">AVERAGE(OFFSET($CX$3,0,0,'Données projet'!$E$13+1,1))-AVERAGE(OFFSET($H$3,0,0,'Données projet'!$E$13+1,1))</f>
        <v>486.63673936259465</v>
      </c>
      <c r="CZ11" s="62">
        <f t="shared" si="42"/>
        <v>306.61893266146666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10.8</v>
      </c>
      <c r="N12" s="14">
        <f>IF('Données projet'!$A$36&gt;35,N11+M12-V11,IF(A12&lt;'Données projet'!$A$36,$K$205^A12,IF(A12='Données projet'!$A$36,'Données projet'!$B$36,N11+M12-V11)))</f>
        <v>21.169422405444113</v>
      </c>
      <c r="O12" s="14">
        <f>N12*VLOOKUP('Données projet'!$B$9,Paramètres!$A$1:$I$89,3,0)*VLOOKUP('Données projet'!$B$9,Paramètres!$A$1:$I$89,5,0)</f>
        <v>11.83370712464326</v>
      </c>
      <c r="P12" s="14">
        <f t="shared" si="33"/>
        <v>4.0903608070972819</v>
      </c>
      <c r="Q12" s="22">
        <f t="shared" si="2"/>
        <v>27.734418314448106</v>
      </c>
      <c r="R12" s="62">
        <f t="shared" si="0"/>
        <v>295.40108498111476</v>
      </c>
      <c r="S12" s="62">
        <f ca="1">AVERAGE(OFFSET($R$3,0,0,'Données projet'!$E$9+1,1))-AVERAGE(OFFSET($H$3,0,0,'Données projet'!$E$9+1,1))</f>
        <v>555.15881087162279</v>
      </c>
      <c r="T12" s="62">
        <f t="shared" si="34"/>
        <v>668.20427590250733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7.7692307692307692</v>
      </c>
      <c r="AI12" s="14">
        <f>IF('Données projet'!$A$62&gt;35,AI11+AH12-AQ11,IF(A12&lt;'Données projet'!$A$62,$AF$205^A12,IF(A12='Données projet'!$A$62,'Données projet'!$B$62,AI11+AH12-AQ11)))</f>
        <v>24.412210433665443</v>
      </c>
      <c r="AJ12" s="14">
        <f>AI12*VLOOKUP('Données projet'!$B$10,Paramètres!$A$1:$I$89,3,0)*VLOOKUP('Données projet'!$B$10,Paramètres!$A$1:$I$89,5,0)</f>
        <v>14.598501839331936</v>
      </c>
      <c r="AK12" s="14">
        <f t="shared" si="35"/>
        <v>4.9241907608973428</v>
      </c>
      <c r="AL12" s="22">
        <f t="shared" si="4"/>
        <v>34.002022945399325</v>
      </c>
      <c r="AM12" s="62">
        <f t="shared" si="5"/>
        <v>301.66868961206603</v>
      </c>
      <c r="AN12" s="62">
        <f ca="1">AVERAGE(OFFSET($AM$3,0,0,'Données projet'!$E$10+1,1))-AVERAGE(OFFSET($H$3,0,0,'Données projet'!$E$10+1,1))</f>
        <v>195.80903373714432</v>
      </c>
      <c r="AO12" s="62">
        <f t="shared" si="36"/>
        <v>388.30721786668977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14.2</v>
      </c>
      <c r="BD12" s="13">
        <f>IF('Données projet'!$A$88&gt;35,BD11+BC12-BL11,IF(A12&lt;'Données projet'!$A$88,$BA$205^A12,IF(A12='Données projet'!$A$88,'Données projet'!$B$88,BD11+BC12-BL11)))</f>
        <v>84.800000000000011</v>
      </c>
      <c r="BE12" s="14">
        <f>BD12*VLOOKUP('Données projet'!$B$11,Paramètres!$A$1:$I$89,3,0)*VLOOKUP('Données projet'!$B$11,Paramètres!$A$1:$I$89,5,0)</f>
        <v>76.727040000000017</v>
      </c>
      <c r="BF12" s="14">
        <f t="shared" si="37"/>
        <v>21.334993267156719</v>
      </c>
      <c r="BG12" s="22">
        <f t="shared" si="7"/>
        <v>170.79137460696464</v>
      </c>
      <c r="BH12" s="62">
        <f t="shared" si="8"/>
        <v>438.45804127363135</v>
      </c>
      <c r="BI12" s="62">
        <f ca="1">AVERAGE(OFFSET($BH$3,0,0,'Données projet'!$E$11+1,1))-AVERAGE(OFFSET($H$3,0,0,'Données projet'!$E$11+1,1))</f>
        <v>366.86025470473652</v>
      </c>
      <c r="BJ12" s="62">
        <f t="shared" si="38"/>
        <v>513.80016421153414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3.65</v>
      </c>
      <c r="BY12" s="13">
        <f>IF('Données projet'!$A$114&gt;35,BY11+BX12-CG11,IF(A12&lt;'Données projet'!$A$114,$BV$205^A12,IF(A12='Données projet'!$A$114,'Données projet'!$B$114,BY11+BX12-CG11)))</f>
        <v>6.8943811137639424</v>
      </c>
      <c r="BZ12" s="14">
        <f>BY12*VLOOKUP('Données projet'!$B$12,Paramètres!$A$1:$I$89,3,0)*VLOOKUP('Données projet'!$B$12,Paramètres!$A$1:$I$89,5,0)</f>
        <v>6.2380360317336141</v>
      </c>
      <c r="CA12" s="14">
        <f t="shared" si="39"/>
        <v>2.3230383034439352</v>
      </c>
      <c r="CB12" s="22">
        <f t="shared" si="10"/>
        <v>14.910537800434229</v>
      </c>
      <c r="CC12" s="62">
        <f t="shared" si="11"/>
        <v>282.5772044671009</v>
      </c>
      <c r="CD12" s="62">
        <f ca="1">AVERAGE(OFFSET($CC$3,0,0,'Données projet'!$E$12+1,1))-AVERAGE(OFFSET($H$3,0,0,'Données projet'!$E$12+1,1))</f>
        <v>438.70522838726322</v>
      </c>
      <c r="CE12" s="62">
        <f t="shared" si="40"/>
        <v>278.21741231699929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3.65</v>
      </c>
      <c r="CT12" s="13">
        <f>IF('Données projet'!$A$140&gt;35,CT11+CS12-DB11,IF(A12&lt;'Données projet'!$A$140,$CQ$205^A12,IF(A12='Données projet'!$A$140,'Données projet'!$B$140,CT11+CS12-DB11)))</f>
        <v>6.8943811137639424</v>
      </c>
      <c r="CU12" s="18">
        <f>CT12*VLOOKUP('Données projet'!$B$13,Paramètres!$A$1:$I$89,3,0)*VLOOKUP('Données projet'!$B$13,Paramètres!$A$1:$I$89,5,0)</f>
        <v>6.9909024493566383</v>
      </c>
      <c r="CV12" s="14">
        <f t="shared" si="41"/>
        <v>2.5691037174250742</v>
      </c>
      <c r="CW12" s="22">
        <f t="shared" si="13"/>
        <v>16.650344073811482</v>
      </c>
      <c r="CX12" s="62">
        <f t="shared" si="14"/>
        <v>284.31701074047817</v>
      </c>
      <c r="CY12" s="62">
        <f ca="1">AVERAGE(OFFSET($CX$3,0,0,'Données projet'!$E$13+1,1))-AVERAGE(OFFSET($H$3,0,0,'Données projet'!$E$13+1,1))</f>
        <v>486.63673936259465</v>
      </c>
      <c r="CZ12" s="62">
        <f t="shared" si="42"/>
        <v>306.61893266146666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10.8</v>
      </c>
      <c r="N13" s="14">
        <f>IF('Données projet'!$A$36&gt;35,N12+M13-V12,IF(A13&lt;'Données projet'!$A$36,$K$205^A13,IF(A13='Données projet'!$A$36,'Données projet'!$B$36,N12+M13-V12)))</f>
        <v>29.717345240051621</v>
      </c>
      <c r="O13" s="14">
        <f>N13*VLOOKUP('Données projet'!$B$9,Paramètres!$A$1:$I$89,3,0)*VLOOKUP('Données projet'!$B$9,Paramètres!$A$1:$I$89,5,0)</f>
        <v>16.611995989188856</v>
      </c>
      <c r="P13" s="14">
        <f t="shared" si="33"/>
        <v>5.5197166337850669</v>
      </c>
      <c r="Q13" s="22">
        <f t="shared" si="2"/>
        <v>38.546066151679575</v>
      </c>
      <c r="R13" s="62">
        <f t="shared" si="0"/>
        <v>307.43495504056841</v>
      </c>
      <c r="S13" s="62">
        <f ca="1">AVERAGE(OFFSET($R$3,0,0,'Données projet'!$E$9+1,1))-AVERAGE(OFFSET($H$3,0,0,'Données projet'!$E$9+1,1))</f>
        <v>555.15881087162279</v>
      </c>
      <c r="T13" s="62">
        <f t="shared" si="34"/>
        <v>668.20427590250733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7.7692307692307692</v>
      </c>
      <c r="AI13" s="14">
        <f>IF('Données projet'!$A$62&gt;35,AI12+AH13-AQ12,IF(A13&lt;'Données projet'!$A$62,$AF$205^A13,IF(A13='Données projet'!$A$62,'Données projet'!$B$62,AI12+AH13-AQ12)))</f>
        <v>34.816545014940573</v>
      </c>
      <c r="AJ13" s="14">
        <f>AI13*VLOOKUP('Données projet'!$B$10,Paramètres!$A$1:$I$89,3,0)*VLOOKUP('Données projet'!$B$10,Paramètres!$A$1:$I$89,5,0)</f>
        <v>20.820293918934464</v>
      </c>
      <c r="AK13" s="14">
        <f t="shared" si="35"/>
        <v>6.7385592439734481</v>
      </c>
      <c r="AL13" s="22">
        <f t="shared" si="4"/>
        <v>47.998335925397946</v>
      </c>
      <c r="AM13" s="62">
        <f t="shared" si="5"/>
        <v>316.88722481428681</v>
      </c>
      <c r="AN13" s="62">
        <f ca="1">AVERAGE(OFFSET($AM$3,0,0,'Données projet'!$E$10+1,1))-AVERAGE(OFFSET($H$3,0,0,'Données projet'!$E$10+1,1))</f>
        <v>195.80903373714432</v>
      </c>
      <c r="AO13" s="62">
        <f t="shared" si="36"/>
        <v>388.30721786668977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>
        <f>VLOOKUP(A13,'Données projet'!$A$87:$I$107,2,0)</f>
        <v>99</v>
      </c>
      <c r="BB13" s="13">
        <f>VLOOKUP(A13,'Données projet'!$A$87:$I$107,9,0)</f>
        <v>14.2</v>
      </c>
      <c r="BC13" s="13">
        <f t="array" ref="BC13">INDEX(BB:BB,MIN(IF(ISNUMBER(BB13:BB209),ROW(BB13:BB209),"")))</f>
        <v>14.2</v>
      </c>
      <c r="BD13" s="13">
        <f>IF('Données projet'!$A$88&gt;35,BD12+BC13-BL12,IF(A13&lt;'Données projet'!$A$88,$BA$205^A13,IF(A13='Données projet'!$A$88,'Données projet'!$B$88,BD12+BC13-BL12)))</f>
        <v>99.000000000000014</v>
      </c>
      <c r="BE13" s="14">
        <f>BD13*VLOOKUP('Données projet'!$B$11,Paramètres!$A$1:$I$89,3,0)*VLOOKUP('Données projet'!$B$11,Paramètres!$A$1:$I$89,5,0)</f>
        <v>89.575200000000009</v>
      </c>
      <c r="BF13" s="14">
        <f t="shared" si="37"/>
        <v>24.462745269668691</v>
      </c>
      <c r="BG13" s="22">
        <f t="shared" si="7"/>
        <v>198.61608801133966</v>
      </c>
      <c r="BH13" s="62">
        <f t="shared" si="8"/>
        <v>467.50497690022848</v>
      </c>
      <c r="BI13" s="62">
        <f ca="1">AVERAGE(OFFSET($BH$3,0,0,'Données projet'!$E$11+1,1))-AVERAGE(OFFSET($H$3,0,0,'Données projet'!$E$11+1,1))</f>
        <v>366.86025470473652</v>
      </c>
      <c r="BJ13" s="62">
        <f t="shared" si="38"/>
        <v>513.80016421153414</v>
      </c>
      <c r="BK13" s="16">
        <f>IF(ISNA(VLOOKUP(A13,'Données projet'!$A$87:$I$107,3,0)),0,VLOOKUP(A13,'Données projet'!$A$87:$I$107,3,0))</f>
        <v>2</v>
      </c>
      <c r="BL13" s="16">
        <f>IF(ISNA(VLOOKUP(A13,'Données projet'!$A$87:$I$107,4,0)),0,VLOOKUP(A13,'Données projet'!$A$87:$I$107,4,0))</f>
        <v>28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3.65</v>
      </c>
      <c r="BY13" s="13">
        <f>IF('Données projet'!$A$114&gt;35,BY12+BX13-CG12,IF(A13&lt;'Données projet'!$A$114,$BV$205^A13,IF(A13='Données projet'!$A$114,'Données projet'!$B$114,BY12+BX13-CG12)))</f>
        <v>8.5440037453175322</v>
      </c>
      <c r="BZ13" s="14">
        <f>BY13*VLOOKUP('Données projet'!$B$12,Paramètres!$A$1:$I$89,3,0)*VLOOKUP('Données projet'!$B$12,Paramètres!$A$1:$I$89,5,0)</f>
        <v>7.7306145887633031</v>
      </c>
      <c r="CA13" s="14">
        <f t="shared" si="39"/>
        <v>2.8078763226288115</v>
      </c>
      <c r="CB13" s="22">
        <f t="shared" si="10"/>
        <v>18.354538337341264</v>
      </c>
      <c r="CC13" s="62">
        <f t="shared" si="11"/>
        <v>287.2434272262301</v>
      </c>
      <c r="CD13" s="62">
        <f ca="1">AVERAGE(OFFSET($CC$3,0,0,'Données projet'!$E$12+1,1))-AVERAGE(OFFSET($H$3,0,0,'Données projet'!$E$12+1,1))</f>
        <v>438.70522838726322</v>
      </c>
      <c r="CE13" s="62">
        <f t="shared" si="40"/>
        <v>278.21741231699929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3.65</v>
      </c>
      <c r="CT13" s="13">
        <f>IF('Données projet'!$A$140&gt;35,CT12+CS13-DB12,IF(A13&lt;'Données projet'!$A$140,$CQ$205^A13,IF(A13='Données projet'!$A$140,'Données projet'!$B$140,CT12+CS13-DB12)))</f>
        <v>8.5440037453175322</v>
      </c>
      <c r="CU13" s="18">
        <f>CT13*VLOOKUP('Données projet'!$B$13,Paramètres!$A$1:$I$89,3,0)*VLOOKUP('Données projet'!$B$13,Paramètres!$A$1:$I$89,5,0)</f>
        <v>8.6636197977519771</v>
      </c>
      <c r="CV13" s="14">
        <f t="shared" si="41"/>
        <v>3.1052976990698267</v>
      </c>
      <c r="CW13" s="22">
        <f t="shared" si="13"/>
        <v>20.497531306964643</v>
      </c>
      <c r="CX13" s="62">
        <f t="shared" si="14"/>
        <v>289.38642019585347</v>
      </c>
      <c r="CY13" s="62">
        <f ca="1">AVERAGE(OFFSET($CX$3,0,0,'Données projet'!$E$13+1,1))-AVERAGE(OFFSET($H$3,0,0,'Données projet'!$E$13+1,1))</f>
        <v>486.63673936259465</v>
      </c>
      <c r="CZ13" s="62">
        <f t="shared" si="42"/>
        <v>306.61893266146666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10.8</v>
      </c>
      <c r="N14" s="14">
        <f>IF('Données projet'!$A$36&gt;35,N13+M14-V13,IF(A14&lt;'Données projet'!$A$36,$K$205^A14,IF(A14='Données projet'!$A$36,'Données projet'!$B$36,N13+M14-V13)))</f>
        <v>41.716802244415881</v>
      </c>
      <c r="O14" s="14">
        <f>N14*VLOOKUP('Données projet'!$B$9,Paramètres!$A$1:$I$89,3,0)*VLOOKUP('Données projet'!$B$9,Paramètres!$A$1:$I$89,5,0)</f>
        <v>23.319692454628481</v>
      </c>
      <c r="P14" s="14">
        <f t="shared" si="33"/>
        <v>7.4485536005574575</v>
      </c>
      <c r="Q14" s="22">
        <f t="shared" si="2"/>
        <v>53.58802854611551</v>
      </c>
      <c r="R14" s="62">
        <f t="shared" si="0"/>
        <v>323.69913965722662</v>
      </c>
      <c r="S14" s="62">
        <f ca="1">AVERAGE(OFFSET($R$3,0,0,'Données projet'!$E$9+1,1))-AVERAGE(OFFSET($H$3,0,0,'Données projet'!$E$9+1,1))</f>
        <v>555.15881087162279</v>
      </c>
      <c r="T14" s="62">
        <f t="shared" si="34"/>
        <v>668.20427590250733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7.7692307692307692</v>
      </c>
      <c r="AI14" s="14">
        <f>IF('Données projet'!$A$62&gt;35,AI13+AH14-AQ13,IF(A14&lt;'Données projet'!$A$62,$AF$205^A14,IF(A14='Données projet'!$A$62,'Données projet'!$B$62,AI13+AH14-AQ13)))</f>
        <v>49.65514327640404</v>
      </c>
      <c r="AJ14" s="14">
        <f>AI14*VLOOKUP('Données projet'!$B$10,Paramètres!$A$1:$I$89,3,0)*VLOOKUP('Données projet'!$B$10,Paramètres!$A$1:$I$89,5,0)</f>
        <v>29.693775679289619</v>
      </c>
      <c r="AK14" s="14">
        <f t="shared" si="35"/>
        <v>9.2214503640117265</v>
      </c>
      <c r="AL14" s="22">
        <f t="shared" si="4"/>
        <v>67.777352025416505</v>
      </c>
      <c r="AM14" s="62">
        <f t="shared" si="5"/>
        <v>337.88846313652766</v>
      </c>
      <c r="AN14" s="62">
        <f ca="1">AVERAGE(OFFSET($AM$3,0,0,'Données projet'!$E$10+1,1))-AVERAGE(OFFSET($H$3,0,0,'Données projet'!$E$10+1,1))</f>
        <v>195.80903373714432</v>
      </c>
      <c r="AO14" s="62">
        <f t="shared" si="36"/>
        <v>388.30721786668977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13.8</v>
      </c>
      <c r="BD14" s="13">
        <f>IF('Données projet'!$A$88&gt;35,BD13+BC14-BL13,IF(A14&lt;'Données projet'!$A$88,$BA$205^A14,IF(A14='Données projet'!$A$88,'Données projet'!$B$88,BD13+BC14-BL13)))</f>
        <v>84.800000000000011</v>
      </c>
      <c r="BE14" s="14">
        <f>BD14*VLOOKUP('Données projet'!$B$11,Paramètres!$A$1:$I$89,3,0)*VLOOKUP('Données projet'!$B$11,Paramètres!$A$1:$I$89,5,0)</f>
        <v>76.727040000000017</v>
      </c>
      <c r="BF14" s="14">
        <f t="shared" si="37"/>
        <v>21.334993267156719</v>
      </c>
      <c r="BG14" s="22">
        <f t="shared" si="7"/>
        <v>170.79137460696464</v>
      </c>
      <c r="BH14" s="62">
        <f t="shared" si="8"/>
        <v>440.90248571807581</v>
      </c>
      <c r="BI14" s="62">
        <f ca="1">AVERAGE(OFFSET($BH$3,0,0,'Données projet'!$E$11+1,1))-AVERAGE(OFFSET($H$3,0,0,'Données projet'!$E$11+1,1))</f>
        <v>366.86025470473652</v>
      </c>
      <c r="BJ14" s="62">
        <f t="shared" si="38"/>
        <v>513.80016421153414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3.65</v>
      </c>
      <c r="BY14" s="13">
        <f>IF('Données projet'!$A$114&gt;35,BY13+BX14-CG13,IF(A14&lt;'Données projet'!$A$114,$BV$205^A14,IF(A14='Données projet'!$A$114,'Données projet'!$B$114,BY13+BX14-CG13)))</f>
        <v>10.588332555950936</v>
      </c>
      <c r="BZ14" s="14">
        <f>BY14*VLOOKUP('Données projet'!$B$12,Paramètres!$A$1:$I$89,3,0)*VLOOKUP('Données projet'!$B$12,Paramètres!$A$1:$I$89,5,0)</f>
        <v>9.5803232966244067</v>
      </c>
      <c r="CA14" s="14">
        <f t="shared" si="39"/>
        <v>3.3939041949894282</v>
      </c>
      <c r="CB14" s="22">
        <f t="shared" si="10"/>
        <v>22.596779547894098</v>
      </c>
      <c r="CC14" s="62">
        <f t="shared" si="11"/>
        <v>292.70789065900522</v>
      </c>
      <c r="CD14" s="62">
        <f ca="1">AVERAGE(OFFSET($CC$3,0,0,'Données projet'!$E$12+1,1))-AVERAGE(OFFSET($H$3,0,0,'Données projet'!$E$12+1,1))</f>
        <v>438.70522838726322</v>
      </c>
      <c r="CE14" s="62">
        <f t="shared" si="40"/>
        <v>278.21741231699929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3.65</v>
      </c>
      <c r="CT14" s="13">
        <f>IF('Données projet'!$A$140&gt;35,CT13+CS14-DB13,IF(A14&lt;'Données projet'!$A$140,$CQ$205^A14,IF(A14='Données projet'!$A$140,'Données projet'!$B$140,CT13+CS14-DB13)))</f>
        <v>10.588332555950936</v>
      </c>
      <c r="CU14" s="18">
        <f>CT14*VLOOKUP('Données projet'!$B$13,Paramètres!$A$1:$I$89,3,0)*VLOOKUP('Données projet'!$B$13,Paramètres!$A$1:$I$89,5,0)</f>
        <v>10.736569211734251</v>
      </c>
      <c r="CV14" s="14">
        <f t="shared" si="41"/>
        <v>3.7533999637480915</v>
      </c>
      <c r="CW14" s="22">
        <f t="shared" si="13"/>
        <v>25.23669631396508</v>
      </c>
      <c r="CX14" s="62">
        <f t="shared" si="14"/>
        <v>295.34780742507621</v>
      </c>
      <c r="CY14" s="62">
        <f ca="1">AVERAGE(OFFSET($CX$3,0,0,'Données projet'!$E$13+1,1))-AVERAGE(OFFSET($H$3,0,0,'Données projet'!$E$13+1,1))</f>
        <v>486.63673936259465</v>
      </c>
      <c r="CZ14" s="62">
        <f t="shared" si="42"/>
        <v>306.61893266146666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10.8</v>
      </c>
      <c r="N15" s="14">
        <f>IF('Données projet'!$A$36&gt;35,N14+M15-V14,IF(A15&lt;'Données projet'!$A$36,$K$205^A15,IF(A15='Données projet'!$A$36,'Données projet'!$B$36,N14+M15-V14)))</f>
        <v>58.561475644675681</v>
      </c>
      <c r="O15" s="14">
        <f>N15*VLOOKUP('Données projet'!$B$9,Paramètres!$A$1:$I$89,3,0)*VLOOKUP('Données projet'!$B$9,Paramètres!$A$1:$I$89,5,0)</f>
        <v>32.735864885373708</v>
      </c>
      <c r="P15" s="14">
        <f t="shared" si="33"/>
        <v>10.051412857100269</v>
      </c>
      <c r="Q15" s="22">
        <f t="shared" si="2"/>
        <v>74.521175401475503</v>
      </c>
      <c r="R15" s="62">
        <f t="shared" si="0"/>
        <v>345.8545087348088</v>
      </c>
      <c r="S15" s="62">
        <f ca="1">AVERAGE(OFFSET($R$3,0,0,'Données projet'!$E$9+1,1))-AVERAGE(OFFSET($H$3,0,0,'Données projet'!$E$9+1,1))</f>
        <v>555.15881087162279</v>
      </c>
      <c r="T15" s="62">
        <f t="shared" si="34"/>
        <v>668.20427590250733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7.7692307692307692</v>
      </c>
      <c r="AI15" s="14">
        <f>IF('Données projet'!$A$62&gt;35,AI14+AH15-AQ14,IF(A15&lt;'Données projet'!$A$62,$AF$205^A15,IF(A15='Données projet'!$A$62,'Données projet'!$B$62,AI14+AH15-AQ14)))</f>
        <v>70.81786124218111</v>
      </c>
      <c r="AJ15" s="14">
        <f>AI15*VLOOKUP('Données projet'!$B$10,Paramètres!$A$1:$I$89,3,0)*VLOOKUP('Données projet'!$B$10,Paramètres!$A$1:$I$89,5,0)</f>
        <v>42.349081022824308</v>
      </c>
      <c r="AK15" s="14">
        <f t="shared" si="35"/>
        <v>12.61918812867636</v>
      </c>
      <c r="AL15" s="22">
        <f t="shared" si="4"/>
        <v>95.736402105530317</v>
      </c>
      <c r="AM15" s="62">
        <f t="shared" si="5"/>
        <v>367.06973543886363</v>
      </c>
      <c r="AN15" s="62">
        <f ca="1">AVERAGE(OFFSET($AM$3,0,0,'Données projet'!$E$10+1,1))-AVERAGE(OFFSET($H$3,0,0,'Données projet'!$E$10+1,1))</f>
        <v>195.80903373714432</v>
      </c>
      <c r="AO15" s="62">
        <f t="shared" si="36"/>
        <v>388.30721786668977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13.8</v>
      </c>
      <c r="BD15" s="13">
        <f>IF('Données projet'!$A$88&gt;35,BD14+BC15-BL14,IF(A15&lt;'Données projet'!$A$88,$BA$205^A15,IF(A15='Données projet'!$A$88,'Données projet'!$B$88,BD14+BC15-BL14)))</f>
        <v>98.600000000000009</v>
      </c>
      <c r="BE15" s="14">
        <f>BD15*VLOOKUP('Données projet'!$B$11,Paramètres!$A$1:$I$89,3,0)*VLOOKUP('Données projet'!$B$11,Paramètres!$A$1:$I$89,5,0)</f>
        <v>89.213280000000012</v>
      </c>
      <c r="BF15" s="14">
        <f t="shared" si="37"/>
        <v>24.375390230293569</v>
      </c>
      <c r="BG15" s="22">
        <f t="shared" si="7"/>
        <v>197.83360065109466</v>
      </c>
      <c r="BH15" s="62">
        <f t="shared" si="8"/>
        <v>469.16693398442794</v>
      </c>
      <c r="BI15" s="62">
        <f ca="1">AVERAGE(OFFSET($BH$3,0,0,'Données projet'!$E$11+1,1))-AVERAGE(OFFSET($H$3,0,0,'Données projet'!$E$11+1,1))</f>
        <v>366.86025470473652</v>
      </c>
      <c r="BJ15" s="62">
        <f t="shared" si="38"/>
        <v>513.80016421153414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3.65</v>
      </c>
      <c r="BY15" s="13">
        <f>IF('Données projet'!$A$114&gt;35,BY14+BX15-CG14,IF(A15&lt;'Données projet'!$A$114,$BV$205^A15,IF(A15='Données projet'!$A$114,'Données projet'!$B$114,BY14+BX15-CG14)))</f>
        <v>13.121809125710287</v>
      </c>
      <c r="BZ15" s="14">
        <f>BY15*VLOOKUP('Données projet'!$B$12,Paramètres!$A$1:$I$89,3,0)*VLOOKUP('Données projet'!$B$12,Paramètres!$A$1:$I$89,5,0)</f>
        <v>11.872612896942668</v>
      </c>
      <c r="CA15" s="14">
        <f t="shared" si="39"/>
        <v>4.1022411108131784</v>
      </c>
      <c r="CB15" s="22">
        <f t="shared" si="10"/>
        <v>27.822870730174767</v>
      </c>
      <c r="CC15" s="62">
        <f t="shared" si="11"/>
        <v>299.15620406350808</v>
      </c>
      <c r="CD15" s="62">
        <f ca="1">AVERAGE(OFFSET($CC$3,0,0,'Données projet'!$E$12+1,1))-AVERAGE(OFFSET($H$3,0,0,'Données projet'!$E$12+1,1))</f>
        <v>438.70522838726322</v>
      </c>
      <c r="CE15" s="62">
        <f t="shared" si="40"/>
        <v>278.21741231699929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3.65</v>
      </c>
      <c r="CT15" s="13">
        <f>IF('Données projet'!$A$140&gt;35,CT14+CS15-DB14,IF(A15&lt;'Données projet'!$A$140,$CQ$205^A15,IF(A15='Données projet'!$A$140,'Données projet'!$B$140,CT14+CS15-DB14)))</f>
        <v>13.121809125710287</v>
      </c>
      <c r="CU15" s="18">
        <f>CT15*VLOOKUP('Données projet'!$B$13,Paramètres!$A$1:$I$89,3,0)*VLOOKUP('Données projet'!$B$13,Paramètres!$A$1:$I$89,5,0)</f>
        <v>13.305514453470233</v>
      </c>
      <c r="CV15" s="14">
        <f t="shared" si="41"/>
        <v>4.5367667299931158</v>
      </c>
      <c r="CW15" s="22">
        <f t="shared" si="13"/>
        <v>31.075306394532003</v>
      </c>
      <c r="CX15" s="62">
        <f t="shared" si="14"/>
        <v>302.40863972786531</v>
      </c>
      <c r="CY15" s="62">
        <f ca="1">AVERAGE(OFFSET($CX$3,0,0,'Données projet'!$E$13+1,1))-AVERAGE(OFFSET($H$3,0,0,'Données projet'!$E$13+1,1))</f>
        <v>486.63673936259465</v>
      </c>
      <c r="CZ15" s="62">
        <f t="shared" si="42"/>
        <v>306.61893266146666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10.8</v>
      </c>
      <c r="N16" s="14">
        <f>IF('Données projet'!$A$36&gt;35,N15+M16-V15,IF(A16&lt;'Données projet'!$A$36,$K$205^A16,IF(A16='Données projet'!$A$36,'Données projet'!$B$36,N15+M16-V15)))</f>
        <v>82.20779746225638</v>
      </c>
      <c r="O16" s="14">
        <f>N16*VLOOKUP('Données projet'!$B$9,Paramètres!$A$1:$I$89,3,0)*VLOOKUP('Données projet'!$B$9,Paramètres!$A$1:$I$89,5,0)</f>
        <v>45.954158781401318</v>
      </c>
      <c r="P16" s="14">
        <f t="shared" si="33"/>
        <v>13.563828072113143</v>
      </c>
      <c r="Q16" s="22">
        <f t="shared" si="2"/>
        <v>103.66049376987102</v>
      </c>
      <c r="R16" s="62">
        <f t="shared" si="0"/>
        <v>376.21604932542658</v>
      </c>
      <c r="S16" s="62">
        <f ca="1">AVERAGE(OFFSET($R$3,0,0,'Données projet'!$E$9+1,1))-AVERAGE(OFFSET($H$3,0,0,'Données projet'!$E$9+1,1))</f>
        <v>555.15881087162279</v>
      </c>
      <c r="T16" s="62">
        <f t="shared" si="34"/>
        <v>668.20427590250733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>
        <f>VLOOKUP(A16,'Données projet'!$A$61:$I$81,2,0)</f>
        <v>101</v>
      </c>
      <c r="AG16" s="13">
        <f>VLOOKUP(A16,'Données projet'!$A$61:$I$81,9,0)</f>
        <v>7.7692307692307692</v>
      </c>
      <c r="AH16" s="13">
        <f t="array" ref="AH16">INDEX(AG:AG,MIN(IF(ISNUMBER(AG16:AG212),ROW(AG16:AG212),"")))</f>
        <v>7.7692307692307692</v>
      </c>
      <c r="AI16" s="14">
        <f>IF('Données projet'!$A$62&gt;35,AI15+AH16-AQ15,IF(A16&lt;'Données projet'!$A$62,$AF$205^A16,IF(A16='Données projet'!$A$62,'Données projet'!$B$62,AI15+AH16-AQ15)))</f>
        <v>101</v>
      </c>
      <c r="AJ16" s="14">
        <f>AI16*VLOOKUP('Données projet'!$B$10,Paramètres!$A$1:$I$89,3,0)*VLOOKUP('Données projet'!$B$10,Paramètres!$A$1:$I$89,5,0)</f>
        <v>60.398000000000003</v>
      </c>
      <c r="AK16" s="14">
        <f t="shared" si="35"/>
        <v>17.26885714728807</v>
      </c>
      <c r="AL16" s="22">
        <f t="shared" si="4"/>
        <v>135.26977619819337</v>
      </c>
      <c r="AM16" s="62">
        <f t="shared" si="5"/>
        <v>407.82533175374891</v>
      </c>
      <c r="AN16" s="62">
        <f ca="1">AVERAGE(OFFSET($AM$3,0,0,'Données projet'!$E$10+1,1))-AVERAGE(OFFSET($H$3,0,0,'Données projet'!$E$10+1,1))</f>
        <v>195.80903373714432</v>
      </c>
      <c r="AO16" s="62">
        <f t="shared" si="36"/>
        <v>388.30721786668977</v>
      </c>
      <c r="AP16" s="16">
        <f>IF(ISNA(VLOOKUP(A16,'Données projet'!$A$61:$I$81,3,0)),0,VLOOKUP(A16,'Données projet'!$A$61:$I$81,3,0))</f>
        <v>1</v>
      </c>
      <c r="AQ16" s="16">
        <f>IF(ISNA(VLOOKUP(A16,'Données projet'!$A$61:$I$81,4,0)),0,VLOOKUP(A16,'Données projet'!$A$61:$I$81,4,0))</f>
        <v>28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1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18.958097589783147</v>
      </c>
      <c r="AX16" s="23">
        <f t="shared" si="6"/>
        <v>18.958097589783147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13.8</v>
      </c>
      <c r="BD16" s="13">
        <f>IF('Données projet'!$A$88&gt;35,BD15+BC16-BL15,IF(A16&lt;'Données projet'!$A$88,$BA$205^A16,IF(A16='Données projet'!$A$88,'Données projet'!$B$88,BD15+BC16-BL15)))</f>
        <v>112.4</v>
      </c>
      <c r="BE16" s="14">
        <f>BD16*VLOOKUP('Données projet'!$B$11,Paramètres!$A$1:$I$89,3,0)*VLOOKUP('Données projet'!$B$11,Paramètres!$A$1:$I$89,5,0)</f>
        <v>101.69951999999999</v>
      </c>
      <c r="BF16" s="14">
        <f t="shared" si="37"/>
        <v>27.366486780557949</v>
      </c>
      <c r="BG16" s="22">
        <f t="shared" si="7"/>
        <v>224.78996180947172</v>
      </c>
      <c r="BH16" s="62">
        <f t="shared" si="8"/>
        <v>497.34551736502726</v>
      </c>
      <c r="BI16" s="62">
        <f ca="1">AVERAGE(OFFSET($BH$3,0,0,'Données projet'!$E$11+1,1))-AVERAGE(OFFSET($H$3,0,0,'Données projet'!$E$11+1,1))</f>
        <v>366.86025470473652</v>
      </c>
      <c r="BJ16" s="62">
        <f t="shared" si="38"/>
        <v>513.80016421153414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3.65</v>
      </c>
      <c r="BY16" s="13">
        <f>IF('Données projet'!$A$114&gt;35,BY15+BX16-CG15,IF(A16&lt;'Données projet'!$A$114,$BV$205^A16,IF(A16='Données projet'!$A$114,'Données projet'!$B$114,BY15+BX16-CG15)))</f>
        <v>16.261472127148366</v>
      </c>
      <c r="BZ16" s="14">
        <f>BY16*VLOOKUP('Données projet'!$B$12,Paramètres!$A$1:$I$89,3,0)*VLOOKUP('Données projet'!$B$12,Paramètres!$A$1:$I$89,5,0)</f>
        <v>14.713379980643843</v>
      </c>
      <c r="CA16" s="14">
        <f t="shared" si="39"/>
        <v>4.9584140165447881</v>
      </c>
      <c r="CB16" s="22">
        <f t="shared" si="10"/>
        <v>34.261707878436859</v>
      </c>
      <c r="CC16" s="62">
        <f t="shared" si="11"/>
        <v>306.81726343399242</v>
      </c>
      <c r="CD16" s="62">
        <f ca="1">AVERAGE(OFFSET($CC$3,0,0,'Données projet'!$E$12+1,1))-AVERAGE(OFFSET($H$3,0,0,'Données projet'!$E$12+1,1))</f>
        <v>438.70522838726322</v>
      </c>
      <c r="CE16" s="62">
        <f t="shared" si="40"/>
        <v>278.21741231699929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3.65</v>
      </c>
      <c r="CT16" s="13">
        <f>IF('Données projet'!$A$140&gt;35,CT15+CS16-DB15,IF(A16&lt;'Données projet'!$A$140,$CQ$205^A16,IF(A16='Données projet'!$A$140,'Données projet'!$B$140,CT15+CS16-DB15)))</f>
        <v>16.261472127148366</v>
      </c>
      <c r="CU16" s="18">
        <f>CT16*VLOOKUP('Données projet'!$B$13,Paramètres!$A$1:$I$89,3,0)*VLOOKUP('Données projet'!$B$13,Paramètres!$A$1:$I$89,5,0)</f>
        <v>16.489132736928447</v>
      </c>
      <c r="CV16" s="14">
        <f t="shared" si="41"/>
        <v>5.4836288594779292</v>
      </c>
      <c r="CW16" s="22">
        <f t="shared" si="13"/>
        <v>38.269226447074438</v>
      </c>
      <c r="CX16" s="62">
        <f t="shared" si="14"/>
        <v>310.82478200263</v>
      </c>
      <c r="CY16" s="62">
        <f ca="1">AVERAGE(OFFSET($CX$3,0,0,'Données projet'!$E$13+1,1))-AVERAGE(OFFSET($H$3,0,0,'Données projet'!$E$13+1,1))</f>
        <v>486.63673936259465</v>
      </c>
      <c r="CZ16" s="62">
        <f t="shared" si="42"/>
        <v>306.61893266146666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10.8</v>
      </c>
      <c r="N17" s="14">
        <f>IF('Données projet'!$A$36&gt;35,N16+M17-V16,IF(A17&lt;'Données projet'!$A$36,$K$205^A17,IF(A17='Données projet'!$A$36,'Données projet'!$B$36,N16+M17-V16)))</f>
        <v>115.40218017388374</v>
      </c>
      <c r="O17" s="14">
        <f>N17*VLOOKUP('Données projet'!$B$9,Paramètres!$A$1:$I$89,3,0)*VLOOKUP('Données projet'!$B$9,Paramètres!$A$1:$I$89,5,0)</f>
        <v>64.509818717201014</v>
      </c>
      <c r="P17" s="14">
        <f t="shared" si="33"/>
        <v>18.303638959560171</v>
      </c>
      <c r="Q17" s="22">
        <f t="shared" si="2"/>
        <v>144.23343878702573</v>
      </c>
      <c r="R17" s="62">
        <f t="shared" si="0"/>
        <v>418.01121656480348</v>
      </c>
      <c r="S17" s="62">
        <f ca="1">AVERAGE(OFFSET($R$3,0,0,'Données projet'!$E$9+1,1))-AVERAGE(OFFSET($H$3,0,0,'Données projet'!$E$9+1,1))</f>
        <v>555.15881087162279</v>
      </c>
      <c r="T17" s="62">
        <f t="shared" si="34"/>
        <v>668.20427590250733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18.600000000000001</v>
      </c>
      <c r="AI17" s="14">
        <f>IF('Données projet'!$A$62&gt;35,AI16+AH17-AQ16,IF(A17&lt;'Données projet'!$A$62,$AF$205^A17,IF(A17='Données projet'!$A$62,'Données projet'!$B$62,AI16+AH17-AQ16)))</f>
        <v>91.6</v>
      </c>
      <c r="AJ17" s="14">
        <f>AI17*VLOOKUP('Données projet'!$B$10,Paramètres!$A$1:$I$89,3,0)*VLOOKUP('Données projet'!$B$10,Paramètres!$A$1:$I$89,5,0)</f>
        <v>54.776799999999994</v>
      </c>
      <c r="AK17" s="14">
        <f t="shared" si="35"/>
        <v>15.840762095818524</v>
      </c>
      <c r="AL17" s="22">
        <f t="shared" si="4"/>
        <v>122.99225398355058</v>
      </c>
      <c r="AM17" s="62">
        <f t="shared" si="5"/>
        <v>396.77003176132837</v>
      </c>
      <c r="AN17" s="62">
        <f ca="1">AVERAGE(OFFSET($AM$3,0,0,'Données projet'!$E$10+1,1))-AVERAGE(OFFSET($H$3,0,0,'Données projet'!$E$10+1,1))</f>
        <v>195.80903373714432</v>
      </c>
      <c r="AO17" s="62">
        <f t="shared" si="36"/>
        <v>388.30721786668977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13.405399364132007</v>
      </c>
      <c r="AX17" s="23">
        <f t="shared" si="6"/>
        <v>13.405399364132007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13.8</v>
      </c>
      <c r="BD17" s="13">
        <f>IF('Données projet'!$A$88&gt;35,BD16+BC17-BL16,IF(A17&lt;'Données projet'!$A$88,$BA$205^A17,IF(A17='Données projet'!$A$88,'Données projet'!$B$88,BD16+BC17-BL16)))</f>
        <v>126.2</v>
      </c>
      <c r="BE17" s="14">
        <f>BD17*VLOOKUP('Données projet'!$B$11,Paramètres!$A$1:$I$89,3,0)*VLOOKUP('Données projet'!$B$11,Paramètres!$A$1:$I$89,5,0)</f>
        <v>114.18576</v>
      </c>
      <c r="BF17" s="14">
        <f t="shared" si="37"/>
        <v>30.315028515433259</v>
      </c>
      <c r="BG17" s="22">
        <f t="shared" si="7"/>
        <v>251.67220666437959</v>
      </c>
      <c r="BH17" s="62">
        <f t="shared" si="8"/>
        <v>525.4499844421573</v>
      </c>
      <c r="BI17" s="62">
        <f ca="1">AVERAGE(OFFSET($BH$3,0,0,'Données projet'!$E$11+1,1))-AVERAGE(OFFSET($H$3,0,0,'Données projet'!$E$11+1,1))</f>
        <v>366.86025470473652</v>
      </c>
      <c r="BJ17" s="62">
        <f t="shared" si="38"/>
        <v>513.80016421153414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3.65</v>
      </c>
      <c r="BY17" s="13">
        <f>IF('Données projet'!$A$114&gt;35,BY16+BX17-CG16,IF(A17&lt;'Données projet'!$A$114,$BV$205^A17,IF(A17='Données projet'!$A$114,'Données projet'!$B$114,BY16+BX17-CG16)))</f>
        <v>20.152364144963837</v>
      </c>
      <c r="BZ17" s="14">
        <f>BY17*VLOOKUP('Données projet'!$B$12,Paramètres!$A$1:$I$89,3,0)*VLOOKUP('Données projet'!$B$12,Paramètres!$A$1:$I$89,5,0)</f>
        <v>18.233859078363277</v>
      </c>
      <c r="CA17" s="14">
        <f t="shared" si="39"/>
        <v>5.9932775513027368</v>
      </c>
      <c r="CB17" s="22">
        <f t="shared" si="10"/>
        <v>42.195596296668306</v>
      </c>
      <c r="CC17" s="62">
        <f t="shared" si="11"/>
        <v>315.9733740744461</v>
      </c>
      <c r="CD17" s="62">
        <f ca="1">AVERAGE(OFFSET($CC$3,0,0,'Données projet'!$E$12+1,1))-AVERAGE(OFFSET($H$3,0,0,'Données projet'!$E$12+1,1))</f>
        <v>438.70522838726322</v>
      </c>
      <c r="CE17" s="62">
        <f t="shared" si="40"/>
        <v>278.21741231699929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3.65</v>
      </c>
      <c r="CT17" s="13">
        <f>IF('Données projet'!$A$140&gt;35,CT16+CS17-DB16,IF(A17&lt;'Données projet'!$A$140,$CQ$205^A17,IF(A17='Données projet'!$A$140,'Données projet'!$B$140,CT16+CS17-DB16)))</f>
        <v>20.152364144963837</v>
      </c>
      <c r="CU17" s="18">
        <f>CT17*VLOOKUP('Données projet'!$B$13,Paramètres!$A$1:$I$89,3,0)*VLOOKUP('Données projet'!$B$13,Paramètres!$A$1:$I$89,5,0)</f>
        <v>20.434497242993334</v>
      </c>
      <c r="CV17" s="14">
        <f t="shared" si="41"/>
        <v>6.6281092368495731</v>
      </c>
      <c r="CW17" s="22">
        <f t="shared" si="13"/>
        <v>47.134039619059727</v>
      </c>
      <c r="CX17" s="62">
        <f t="shared" si="14"/>
        <v>320.91181739683748</v>
      </c>
      <c r="CY17" s="62">
        <f ca="1">AVERAGE(OFFSET($CX$3,0,0,'Données projet'!$E$13+1,1))-AVERAGE(OFFSET($H$3,0,0,'Données projet'!$E$13+1,1))</f>
        <v>486.63673936259465</v>
      </c>
      <c r="CZ17" s="62">
        <f t="shared" si="42"/>
        <v>306.61893266146666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>
        <f>VLOOKUP(A18,'Données projet'!$A$35:$I$55,2,0)</f>
        <v>162</v>
      </c>
      <c r="L18" s="13">
        <f>VLOOKUP(A18,'Données projet'!$A$35:$I$55,9,0)</f>
        <v>10.8</v>
      </c>
      <c r="M18" s="13">
        <f t="array" ref="M18">INDEX(L:L,MIN(IF(ISNUMBER(L18:L214),ROW(L18:L214),"")))</f>
        <v>10.8</v>
      </c>
      <c r="N18" s="14">
        <f>IF('Données projet'!$A$36&gt;35,N17+M18-V17,IF(A18&lt;'Données projet'!$A$36,$K$205^A18,IF(A18='Données projet'!$A$36,'Données projet'!$B$36,N17+M18-V17)))</f>
        <v>162</v>
      </c>
      <c r="O18" s="14">
        <f>N18*VLOOKUP('Données projet'!$B$9,Paramètres!$A$1:$I$89,3,0)*VLOOKUP('Données projet'!$B$9,Paramètres!$A$1:$I$89,5,0)</f>
        <v>90.557999999999993</v>
      </c>
      <c r="P18" s="14">
        <f t="shared" si="33"/>
        <v>24.699752708509138</v>
      </c>
      <c r="Q18" s="22">
        <f t="shared" si="2"/>
        <v>200.74058596732007</v>
      </c>
      <c r="R18" s="62">
        <f t="shared" si="0"/>
        <v>475.74058596732004</v>
      </c>
      <c r="S18" s="62">
        <f ca="1">AVERAGE(OFFSET($R$3,0,0,'Données projet'!$E$9+1,1))-AVERAGE(OFFSET($H$3,0,0,'Données projet'!$E$9+1,1))</f>
        <v>555.15881087162279</v>
      </c>
      <c r="T18" s="62">
        <f t="shared" si="34"/>
        <v>668.20427590250733</v>
      </c>
      <c r="U18" s="16">
        <f>IF(ISNA(VLOOKUP(A18,'Données projet'!$A$35:$I$55,3,0)),0,VLOOKUP(A18,'Données projet'!$A$35:$I$55,3,0))</f>
        <v>1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18.600000000000001</v>
      </c>
      <c r="AI18" s="14">
        <f>IF('Données projet'!$A$62&gt;35,AI17+AH18-AQ17,IF(A18&lt;'Données projet'!$A$62,$AF$205^A18,IF(A18='Données projet'!$A$62,'Données projet'!$B$62,AI17+AH18-AQ17)))</f>
        <v>110.19999999999999</v>
      </c>
      <c r="AJ18" s="14">
        <f>AI18*VLOOKUP('Données projet'!$B$10,Paramètres!$A$1:$I$89,3,0)*VLOOKUP('Données projet'!$B$10,Paramètres!$A$1:$I$89,5,0)</f>
        <v>65.899600000000007</v>
      </c>
      <c r="AK18" s="14">
        <f t="shared" si="35"/>
        <v>18.651634138580526</v>
      </c>
      <c r="AL18" s="22">
        <f t="shared" si="4"/>
        <v>147.26006612469442</v>
      </c>
      <c r="AM18" s="62">
        <f t="shared" si="5"/>
        <v>422.26006612469439</v>
      </c>
      <c r="AN18" s="62">
        <f ca="1">AVERAGE(OFFSET($AM$3,0,0,'Données projet'!$E$10+1,1))-AVERAGE(OFFSET($H$3,0,0,'Données projet'!$E$10+1,1))</f>
        <v>195.80903373714432</v>
      </c>
      <c r="AO18" s="62">
        <f t="shared" si="36"/>
        <v>388.30721786668977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9.4790487948915754</v>
      </c>
      <c r="AX18" s="23">
        <f t="shared" si="6"/>
        <v>9.4790487948915754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projet'!$A$87:$I$107,2,0)</f>
        <v>140</v>
      </c>
      <c r="BB18" s="13">
        <f>VLOOKUP(A18,'Données projet'!$A$87:$I$107,9,0)</f>
        <v>13.8</v>
      </c>
      <c r="BC18" s="13">
        <f t="array" ref="BC18">INDEX(BB:BB,MIN(IF(ISNUMBER(BB18:BB214),ROW(BB18:BB214),"")))</f>
        <v>13.8</v>
      </c>
      <c r="BD18" s="13">
        <f>IF('Données projet'!$A$88&gt;35,BD17+BC18-BL17,IF(A18&lt;'Données projet'!$A$88,$BA$205^A18,IF(A18='Données projet'!$A$88,'Données projet'!$B$88,BD17+BC18-BL17)))</f>
        <v>140</v>
      </c>
      <c r="BE18" s="14">
        <f>BD18*VLOOKUP('Données projet'!$B$11,Paramètres!$A$1:$I$89,3,0)*VLOOKUP('Données projet'!$B$11,Paramètres!$A$1:$I$89,5,0)</f>
        <v>126.67199999999998</v>
      </c>
      <c r="BF18" s="14">
        <f t="shared" si="37"/>
        <v>33.226199426361347</v>
      </c>
      <c r="BG18" s="22">
        <f t="shared" si="7"/>
        <v>278.48936400091264</v>
      </c>
      <c r="BH18" s="62">
        <f t="shared" si="8"/>
        <v>553.4893640009127</v>
      </c>
      <c r="BI18" s="62">
        <f ca="1">AVERAGE(OFFSET($BH$3,0,0,'Données projet'!$E$11+1,1))-AVERAGE(OFFSET($H$3,0,0,'Données projet'!$E$11+1,1))</f>
        <v>366.86025470473652</v>
      </c>
      <c r="BJ18" s="62">
        <f t="shared" si="38"/>
        <v>513.80016421153414</v>
      </c>
      <c r="BK18" s="16">
        <f>IF(ISNA(VLOOKUP(A18,'Données projet'!$A$87:$I$107,3,0)),0,VLOOKUP(A18,'Données projet'!$A$87:$I$107,3,0))</f>
        <v>3</v>
      </c>
      <c r="BL18" s="16">
        <f>IF(ISNA(VLOOKUP(A18,'Données projet'!$A$87:$I$107,4,0)),0,VLOOKUP(A18,'Données projet'!$A$87:$I$107,4,0))</f>
        <v>23</v>
      </c>
      <c r="BM18" s="17">
        <f>IF(ISNA(VLOOKUP(A18,'Données projet'!$A$87:$I$107,5,0)),0%,VLOOKUP(A18,'Données projet'!$A$87:$I$107,5,0)*VLOOKUP('Données projet'!$B$11,Paramètres!$A$1:$I$89,7,0))</f>
        <v>0.06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1.3803168471739502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1.3803168471739502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3.65</v>
      </c>
      <c r="BY18" s="13">
        <f>IF('Données projet'!$A$114&gt;35,BY17+BX18-CG17,IF(A18&lt;'Données projet'!$A$114,$BV$205^A18,IF(A18='Données projet'!$A$114,'Données projet'!$B$114,BY17+BX18-CG17)))</f>
        <v>24.974232188561476</v>
      </c>
      <c r="BZ18" s="14">
        <f>BY18*VLOOKUP('Données projet'!$B$12,Paramètres!$A$1:$I$89,3,0)*VLOOKUP('Données projet'!$B$12,Paramètres!$A$1:$I$89,5,0)</f>
        <v>22.596685284210423</v>
      </c>
      <c r="CA18" s="14">
        <f t="shared" si="39"/>
        <v>7.2441259820371586</v>
      </c>
      <c r="CB18" s="22">
        <f t="shared" si="10"/>
        <v>51.972746288714539</v>
      </c>
      <c r="CC18" s="62">
        <f t="shared" si="11"/>
        <v>326.97274628871452</v>
      </c>
      <c r="CD18" s="62">
        <f ca="1">AVERAGE(OFFSET($CC$3,0,0,'Données projet'!$E$12+1,1))-AVERAGE(OFFSET($H$3,0,0,'Données projet'!$E$12+1,1))</f>
        <v>438.70522838726322</v>
      </c>
      <c r="CE18" s="62">
        <f t="shared" si="40"/>
        <v>278.21741231699929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3.65</v>
      </c>
      <c r="CT18" s="13">
        <f>IF('Données projet'!$A$140&gt;35,CT17+CS18-DB17,IF(A18&lt;'Données projet'!$A$140,$CQ$205^A18,IF(A18='Données projet'!$A$140,'Données projet'!$B$140,CT17+CS18-DB17)))</f>
        <v>24.974232188561476</v>
      </c>
      <c r="CU18" s="18">
        <f>CT18*VLOOKUP('Données projet'!$B$13,Paramètres!$A$1:$I$89,3,0)*VLOOKUP('Données projet'!$B$13,Paramètres!$A$1:$I$89,5,0)</f>
        <v>25.323871439201337</v>
      </c>
      <c r="CV18" s="14">
        <f t="shared" si="41"/>
        <v>8.0114524854610902</v>
      </c>
      <c r="CW18" s="22">
        <f t="shared" si="13"/>
        <v>58.059022502120392</v>
      </c>
      <c r="CX18" s="62">
        <f t="shared" si="14"/>
        <v>333.0590225021204</v>
      </c>
      <c r="CY18" s="62">
        <f ca="1">AVERAGE(OFFSET($CX$3,0,0,'Données projet'!$E$13+1,1))-AVERAGE(OFFSET($H$3,0,0,'Données projet'!$E$13+1,1))</f>
        <v>486.63673936259465</v>
      </c>
      <c r="CZ18" s="62">
        <f t="shared" si="42"/>
        <v>306.61893266146666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28.2</v>
      </c>
      <c r="N19" s="14">
        <f>IF('Données projet'!$A$36&gt;35,N18+M19-V18,IF(A19&lt;'Données projet'!$A$36,$K$205^A19,IF(A19='Données projet'!$A$36,'Données projet'!$B$36,N18+M19-V18)))</f>
        <v>190.2</v>
      </c>
      <c r="O19" s="14">
        <f>N19*VLOOKUP('Données projet'!$B$9,Paramètres!$A$1:$I$89,3,0)*VLOOKUP('Données projet'!$B$9,Paramètres!$A$1:$I$89,5,0)</f>
        <v>106.32179999999998</v>
      </c>
      <c r="P19" s="14">
        <f t="shared" si="33"/>
        <v>28.462664081653866</v>
      </c>
      <c r="Q19" s="22">
        <f t="shared" si="2"/>
        <v>234.7496082755471</v>
      </c>
      <c r="R19" s="62">
        <f t="shared" si="0"/>
        <v>510.97183049776936</v>
      </c>
      <c r="S19" s="62">
        <f ca="1">AVERAGE(OFFSET($R$3,0,0,'Données projet'!$E$9+1,1))-AVERAGE(OFFSET($H$3,0,0,'Données projet'!$E$9+1,1))</f>
        <v>555.15881087162279</v>
      </c>
      <c r="T19" s="62">
        <f t="shared" si="34"/>
        <v>668.20427590250733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18.600000000000001</v>
      </c>
      <c r="AI19" s="14">
        <f>IF('Données projet'!$A$62&gt;35,AI18+AH19-AQ18,IF(A19&lt;'Données projet'!$A$62,$AF$205^A19,IF(A19='Données projet'!$A$62,'Données projet'!$B$62,AI18+AH19-AQ18)))</f>
        <v>128.79999999999998</v>
      </c>
      <c r="AJ19" s="14">
        <f>AI19*VLOOKUP('Données projet'!$B$10,Paramètres!$A$1:$I$89,3,0)*VLOOKUP('Données projet'!$B$10,Paramètres!$A$1:$I$89,5,0)</f>
        <v>77.022400000000005</v>
      </c>
      <c r="AK19" s="14">
        <f t="shared" si="35"/>
        <v>21.407546084466961</v>
      </c>
      <c r="AL19" s="22">
        <f t="shared" si="4"/>
        <v>171.43215609711328</v>
      </c>
      <c r="AM19" s="62">
        <f t="shared" si="5"/>
        <v>447.65437831933548</v>
      </c>
      <c r="AN19" s="62">
        <f ca="1">AVERAGE(OFFSET($AM$3,0,0,'Données projet'!$E$10+1,1))-AVERAGE(OFFSET($H$3,0,0,'Données projet'!$E$10+1,1))</f>
        <v>195.80903373714432</v>
      </c>
      <c r="AO19" s="62">
        <f t="shared" si="36"/>
        <v>388.30721786668977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6.7026996820660045</v>
      </c>
      <c r="AX19" s="23">
        <f t="shared" si="6"/>
        <v>6.7026996820660045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12.6</v>
      </c>
      <c r="BD19" s="13">
        <f>IF('Données projet'!$A$88&gt;35,BD18+BC19-BL18,IF(A19&lt;'Données projet'!$A$88,$BA$205^A19,IF(A19='Données projet'!$A$88,'Données projet'!$B$88,BD18+BC19-BL18)))</f>
        <v>129.6</v>
      </c>
      <c r="BE19" s="14">
        <f>BD19*VLOOKUP('Données projet'!$B$11,Paramètres!$A$1:$I$89,3,0)*VLOOKUP('Données projet'!$B$11,Paramètres!$A$1:$I$89,5,0)</f>
        <v>117.26208</v>
      </c>
      <c r="BF19" s="14">
        <f t="shared" si="37"/>
        <v>31.035569170075775</v>
      </c>
      <c r="BG19" s="22">
        <f t="shared" si="7"/>
        <v>258.28507230454863</v>
      </c>
      <c r="BH19" s="62">
        <f t="shared" si="8"/>
        <v>534.50729452677092</v>
      </c>
      <c r="BI19" s="62">
        <f ca="1">AVERAGE(OFFSET($BH$3,0,0,'Données projet'!$E$11+1,1))-AVERAGE(OFFSET($H$3,0,0,'Données projet'!$E$11+1,1))</f>
        <v>366.86025470473652</v>
      </c>
      <c r="BJ19" s="62">
        <f t="shared" si="38"/>
        <v>513.80016421153414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1.3532496757110142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1.3532496757110142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3.65</v>
      </c>
      <c r="BY19" s="13">
        <f>IF('Données projet'!$A$114&gt;35,BY18+BX19-CG18,IF(A19&lt;'Données projet'!$A$114,$BV$205^A19,IF(A19='Données projet'!$A$114,'Données projet'!$B$114,BY18+BX19-CG18)))</f>
        <v>30.949831440200953</v>
      </c>
      <c r="BZ19" s="14">
        <f>BY19*VLOOKUP('Données projet'!$B$12,Paramètres!$A$1:$I$89,3,0)*VLOOKUP('Données projet'!$B$12,Paramètres!$A$1:$I$89,5,0)</f>
        <v>28.003407487093821</v>
      </c>
      <c r="CA19" s="14">
        <f t="shared" si="39"/>
        <v>8.7560372090925433</v>
      </c>
      <c r="CB19" s="22">
        <f t="shared" si="10"/>
        <v>64.022699512524582</v>
      </c>
      <c r="CC19" s="62">
        <f t="shared" si="11"/>
        <v>340.24492173474681</v>
      </c>
      <c r="CD19" s="62">
        <f ca="1">AVERAGE(OFFSET($CC$3,0,0,'Données projet'!$E$12+1,1))-AVERAGE(OFFSET($H$3,0,0,'Données projet'!$E$12+1,1))</f>
        <v>438.70522838726322</v>
      </c>
      <c r="CE19" s="62">
        <f t="shared" si="40"/>
        <v>278.21741231699929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3.65</v>
      </c>
      <c r="CT19" s="13">
        <f>IF('Données projet'!$A$140&gt;35,CT18+CS19-DB18,IF(A19&lt;'Données projet'!$A$140,$CQ$205^A19,IF(A19='Données projet'!$A$140,'Données projet'!$B$140,CT18+CS19-DB18)))</f>
        <v>30.949831440200953</v>
      </c>
      <c r="CU19" s="18">
        <f>CT19*VLOOKUP('Données projet'!$B$13,Paramètres!$A$1:$I$89,3,0)*VLOOKUP('Données projet'!$B$13,Paramètres!$A$1:$I$89,5,0)</f>
        <v>31.383129080363769</v>
      </c>
      <c r="CV19" s="14">
        <f t="shared" si="41"/>
        <v>9.6835113353243223</v>
      </c>
      <c r="CW19" s="22">
        <f t="shared" si="13"/>
        <v>71.524398723990075</v>
      </c>
      <c r="CX19" s="62">
        <f t="shared" si="14"/>
        <v>347.74662094621232</v>
      </c>
      <c r="CY19" s="62">
        <f ca="1">AVERAGE(OFFSET($CX$3,0,0,'Données projet'!$E$13+1,1))-AVERAGE(OFFSET($H$3,0,0,'Données projet'!$E$13+1,1))</f>
        <v>486.63673936259465</v>
      </c>
      <c r="CZ19" s="62">
        <f t="shared" si="42"/>
        <v>306.61893266146666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28.2</v>
      </c>
      <c r="N20" s="14">
        <f>IF('Données projet'!$A$36&gt;35,N19+M20-V19,IF(A20&lt;'Données projet'!$A$36,$K$205^A20,IF(A20='Données projet'!$A$36,'Données projet'!$B$36,N19+M20-V19)))</f>
        <v>218.39999999999998</v>
      </c>
      <c r="O20" s="14">
        <f>N20*VLOOKUP('Données projet'!$B$9,Paramètres!$A$1:$I$89,3,0)*VLOOKUP('Données projet'!$B$9,Paramètres!$A$1:$I$89,5,0)</f>
        <v>122.0856</v>
      </c>
      <c r="P20" s="14">
        <f t="shared" si="33"/>
        <v>32.160942364346717</v>
      </c>
      <c r="Q20" s="22">
        <f t="shared" si="2"/>
        <v>268.64606128457052</v>
      </c>
      <c r="R20" s="62">
        <f t="shared" si="0"/>
        <v>546.09050572901492</v>
      </c>
      <c r="S20" s="62">
        <f ca="1">AVERAGE(OFFSET($R$3,0,0,'Données projet'!$E$9+1,1))-AVERAGE(OFFSET($H$3,0,0,'Données projet'!$E$9+1,1))</f>
        <v>555.15881087162279</v>
      </c>
      <c r="T20" s="62">
        <f t="shared" si="34"/>
        <v>668.20427590250733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18.600000000000001</v>
      </c>
      <c r="AI20" s="14">
        <f>IF('Données projet'!$A$62&gt;35,AI19+AH20-AQ19,IF(A20&lt;'Données projet'!$A$62,$AF$205^A20,IF(A20='Données projet'!$A$62,'Données projet'!$B$62,AI19+AH20-AQ19)))</f>
        <v>147.39999999999998</v>
      </c>
      <c r="AJ20" s="14">
        <f>AI20*VLOOKUP('Données projet'!$B$10,Paramètres!$A$1:$I$89,3,0)*VLOOKUP('Données projet'!$B$10,Paramètres!$A$1:$I$89,5,0)</f>
        <v>88.145199999999988</v>
      </c>
      <c r="AK20" s="14">
        <f t="shared" si="35"/>
        <v>24.117351189004136</v>
      </c>
      <c r="AL20" s="22">
        <f t="shared" si="4"/>
        <v>195.52394332084884</v>
      </c>
      <c r="AM20" s="62">
        <f t="shared" si="5"/>
        <v>472.9683877652933</v>
      </c>
      <c r="AN20" s="62">
        <f ca="1">AVERAGE(OFFSET($AM$3,0,0,'Données projet'!$E$10+1,1))-AVERAGE(OFFSET($H$3,0,0,'Données projet'!$E$10+1,1))</f>
        <v>195.80903373714432</v>
      </c>
      <c r="AO20" s="62">
        <f t="shared" si="36"/>
        <v>388.30721786668977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4.7395243974457886</v>
      </c>
      <c r="AX20" s="23">
        <f t="shared" si="6"/>
        <v>4.7395243974457886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12.6</v>
      </c>
      <c r="BD20" s="13">
        <f>IF('Données projet'!$A$88&gt;35,BD19+BC20-BL19,IF(A20&lt;'Données projet'!$A$88,$BA$205^A20,IF(A20='Données projet'!$A$88,'Données projet'!$B$88,BD19+BC20-BL19)))</f>
        <v>142.19999999999999</v>
      </c>
      <c r="BE20" s="14">
        <f>BD20*VLOOKUP('Données projet'!$B$11,Paramètres!$A$1:$I$89,3,0)*VLOOKUP('Données projet'!$B$11,Paramètres!$A$1:$I$89,5,0)</f>
        <v>128.66255999999998</v>
      </c>
      <c r="BF20" s="14">
        <f t="shared" si="37"/>
        <v>33.687130461083775</v>
      </c>
      <c r="BG20" s="22">
        <f t="shared" si="7"/>
        <v>282.75904421972086</v>
      </c>
      <c r="BH20" s="62">
        <f t="shared" si="8"/>
        <v>560.20348866416532</v>
      </c>
      <c r="BI20" s="62">
        <f ca="1">AVERAGE(OFFSET($BH$3,0,0,'Données projet'!$E$11+1,1))-AVERAGE(OFFSET($H$3,0,0,'Données projet'!$E$11+1,1))</f>
        <v>366.86025470473652</v>
      </c>
      <c r="BJ20" s="62">
        <f t="shared" si="38"/>
        <v>513.80016421153414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1.3267132749711219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1.3267132749711219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3.65</v>
      </c>
      <c r="BY20" s="13">
        <f>IF('Données projet'!$A$114&gt;35,BY19+BX20-CG19,IF(A20&lt;'Données projet'!$A$114,$BV$205^A20,IF(A20='Données projet'!$A$114,'Données projet'!$B$114,BY19+BX20-CG19)))</f>
        <v>38.355215845858055</v>
      </c>
      <c r="BZ20" s="14">
        <f>BY20*VLOOKUP('Données projet'!$B$12,Paramètres!$A$1:$I$89,3,0)*VLOOKUP('Données projet'!$B$12,Paramètres!$A$1:$I$89,5,0)</f>
        <v>34.703799297332367</v>
      </c>
      <c r="CA20" s="14">
        <f t="shared" si="39"/>
        <v>10.583497277259243</v>
      </c>
      <c r="CB20" s="22">
        <f t="shared" si="10"/>
        <v>78.875374867413711</v>
      </c>
      <c r="CC20" s="62">
        <f t="shared" si="11"/>
        <v>356.31981931185817</v>
      </c>
      <c r="CD20" s="62">
        <f ca="1">AVERAGE(OFFSET($CC$3,0,0,'Données projet'!$E$12+1,1))-AVERAGE(OFFSET($H$3,0,0,'Données projet'!$E$12+1,1))</f>
        <v>438.70522838726322</v>
      </c>
      <c r="CE20" s="62">
        <f t="shared" si="40"/>
        <v>278.21741231699929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3.65</v>
      </c>
      <c r="CT20" s="13">
        <f>IF('Données projet'!$A$140&gt;35,CT19+CS20-DB19,IF(A20&lt;'Données projet'!$A$140,$CQ$205^A20,IF(A20='Données projet'!$A$140,'Données projet'!$B$140,CT19+CS20-DB19)))</f>
        <v>38.355215845858055</v>
      </c>
      <c r="CU20" s="18">
        <f>CT20*VLOOKUP('Données projet'!$B$13,Paramètres!$A$1:$I$89,3,0)*VLOOKUP('Données projet'!$B$13,Paramètres!$A$1:$I$89,5,0)</f>
        <v>38.892188867700071</v>
      </c>
      <c r="CV20" s="14">
        <f t="shared" si="41"/>
        <v>11.704543208803392</v>
      </c>
      <c r="CW20" s="22">
        <f t="shared" si="13"/>
        <v>88.122641699910204</v>
      </c>
      <c r="CX20" s="62">
        <f t="shared" si="14"/>
        <v>365.56708614435468</v>
      </c>
      <c r="CY20" s="62">
        <f ca="1">AVERAGE(OFFSET($CX$3,0,0,'Données projet'!$E$13+1,1))-AVERAGE(OFFSET($H$3,0,0,'Données projet'!$E$13+1,1))</f>
        <v>486.63673936259465</v>
      </c>
      <c r="CZ20" s="62">
        <f t="shared" si="42"/>
        <v>306.61893266146666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28.2</v>
      </c>
      <c r="N21" s="14">
        <f>IF('Données projet'!$A$36&gt;35,N20+M21-V20,IF(A21&lt;'Données projet'!$A$36,$K$205^A21,IF(A21='Données projet'!$A$36,'Données projet'!$B$36,N20+M21-V20)))</f>
        <v>246.59999999999997</v>
      </c>
      <c r="O21" s="14">
        <f>N21*VLOOKUP('Données projet'!$B$9,Paramètres!$A$1:$I$89,3,0)*VLOOKUP('Données projet'!$B$9,Paramètres!$A$1:$I$89,5,0)</f>
        <v>137.84939999999997</v>
      </c>
      <c r="P21" s="14">
        <f t="shared" si="33"/>
        <v>35.803890229822542</v>
      </c>
      <c r="Q21" s="22">
        <f t="shared" si="2"/>
        <v>302.44614715027416</v>
      </c>
      <c r="R21" s="62">
        <f t="shared" si="0"/>
        <v>581.11281381694084</v>
      </c>
      <c r="S21" s="62">
        <f ca="1">AVERAGE(OFFSET($R$3,0,0,'Données projet'!$E$9+1,1))-AVERAGE(OFFSET($H$3,0,0,'Données projet'!$E$9+1,1))</f>
        <v>555.15881087162279</v>
      </c>
      <c r="T21" s="62">
        <f t="shared" si="34"/>
        <v>668.20427590250733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>
        <f>VLOOKUP(A21,'Données projet'!$A$61:$I$81,2,0)</f>
        <v>166</v>
      </c>
      <c r="AG21" s="13">
        <f>VLOOKUP(A21,'Données projet'!$A$61:$I$81,9,0)</f>
        <v>18.600000000000001</v>
      </c>
      <c r="AH21" s="13">
        <f t="array" ref="AH21">INDEX(AG:AG,MIN(IF(ISNUMBER(AG21:AG217),ROW(AG21:AG217),"")))</f>
        <v>18.600000000000001</v>
      </c>
      <c r="AI21" s="14">
        <f>IF('Données projet'!$A$62&gt;35,AI20+AH21-AQ20,IF(A21&lt;'Données projet'!$A$62,$AF$205^A21,IF(A21='Données projet'!$A$62,'Données projet'!$B$62,AI20+AH21-AQ20)))</f>
        <v>165.99999999999997</v>
      </c>
      <c r="AJ21" s="14">
        <f>AI21*VLOOKUP('Données projet'!$B$10,Paramètres!$A$1:$I$89,3,0)*VLOOKUP('Données projet'!$B$10,Paramètres!$A$1:$I$89,5,0)</f>
        <v>99.267999999999986</v>
      </c>
      <c r="AK21" s="14">
        <f t="shared" si="35"/>
        <v>26.78753414535981</v>
      </c>
      <c r="AL21" s="22">
        <f t="shared" si="4"/>
        <v>219.54672196983498</v>
      </c>
      <c r="AM21" s="62">
        <f t="shared" si="5"/>
        <v>498.21338863650169</v>
      </c>
      <c r="AN21" s="62">
        <f ca="1">AVERAGE(OFFSET($AM$3,0,0,'Données projet'!$E$10+1,1))-AVERAGE(OFFSET($H$3,0,0,'Données projet'!$E$10+1,1))</f>
        <v>195.80903373714432</v>
      </c>
      <c r="AO21" s="62">
        <f t="shared" si="36"/>
        <v>388.30721786668977</v>
      </c>
      <c r="AP21" s="16">
        <f>IF(ISNA(VLOOKUP(A21,'Données projet'!$A$61:$I$81,3,0)),0,VLOOKUP(A21,'Données projet'!$A$61:$I$81,3,0))</f>
        <v>2</v>
      </c>
      <c r="AQ21" s="16">
        <f>IF(ISNA(VLOOKUP(A21,'Données projet'!$A$61:$I$81,4,0)),0,VLOOKUP(A21,'Données projet'!$A$61:$I$81,4,0))</f>
        <v>40</v>
      </c>
      <c r="AR21" s="17">
        <f>IF(ISNA(VLOOKUP(A21,'Données projet'!$A$61:$I$81,5,0)),0%,VLOOKUP(A21,'Données projet'!$A$61:$I$81,5,0)*VLOOKUP('Données projet'!$B$10,Paramètres!$A$1:$I$89,7,0))</f>
        <v>0.1125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0.75</v>
      </c>
      <c r="AU21" s="23">
        <f>EXP(-LN(2)/35)*AU20+(1-EXP(-LN(2)/35))/(LN(2)/35)*AQ21*AR21*VLOOKUP('Données projet'!$B$10,Paramètres!$A$1:$I$89,3,0)*0.475*44/12</f>
        <v>3.5697849495878025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23.663597258657802</v>
      </c>
      <c r="AX21" s="23">
        <f t="shared" si="6"/>
        <v>27.233382208245605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12.6</v>
      </c>
      <c r="BD21" s="13">
        <f>IF('Données projet'!$A$88&gt;35,BD20+BC21-BL20,IF(A21&lt;'Données projet'!$A$88,$BA$205^A21,IF(A21='Données projet'!$A$88,'Données projet'!$B$88,BD20+BC21-BL20)))</f>
        <v>154.79999999999998</v>
      </c>
      <c r="BE21" s="14">
        <f>BD21*VLOOKUP('Données projet'!$B$11,Paramètres!$A$1:$I$89,3,0)*VLOOKUP('Données projet'!$B$11,Paramètres!$A$1:$I$89,5,0)</f>
        <v>140.06303999999997</v>
      </c>
      <c r="BF21" s="14">
        <f t="shared" si="37"/>
        <v>36.31144669536954</v>
      </c>
      <c r="BG21" s="22">
        <f t="shared" si="7"/>
        <v>307.18556432776853</v>
      </c>
      <c r="BH21" s="62">
        <f t="shared" si="8"/>
        <v>585.85223099443522</v>
      </c>
      <c r="BI21" s="62">
        <f ca="1">AVERAGE(OFFSET($BH$3,0,0,'Données projet'!$E$11+1,1))-AVERAGE(OFFSET($H$3,0,0,'Données projet'!$E$11+1,1))</f>
        <v>366.86025470473652</v>
      </c>
      <c r="BJ21" s="62">
        <f t="shared" si="38"/>
        <v>513.80016421153414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1.3006972368641325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1.3006972368641325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3.65</v>
      </c>
      <c r="BY21" s="13">
        <f>IF('Données projet'!$A$114&gt;35,BY20+BX21-CG20,IF(A21&lt;'Données projet'!$A$114,$BV$205^A21,IF(A21='Données projet'!$A$114,'Données projet'!$B$114,BY20+BX21-CG20)))</f>
        <v>47.532490941824946</v>
      </c>
      <c r="BZ21" s="14">
        <f>BY21*VLOOKUP('Données projet'!$B$12,Paramètres!$A$1:$I$89,3,0)*VLOOKUP('Données projet'!$B$12,Paramètres!$A$1:$I$89,5,0)</f>
        <v>43.007397804163212</v>
      </c>
      <c r="CA21" s="14">
        <f t="shared" si="39"/>
        <v>12.792363936215189</v>
      </c>
      <c r="CB21" s="22">
        <f t="shared" si="10"/>
        <v>97.184585031159045</v>
      </c>
      <c r="CC21" s="62">
        <f t="shared" si="11"/>
        <v>375.85125169782572</v>
      </c>
      <c r="CD21" s="62">
        <f ca="1">AVERAGE(OFFSET($CC$3,0,0,'Données projet'!$E$12+1,1))-AVERAGE(OFFSET($H$3,0,0,'Données projet'!$E$12+1,1))</f>
        <v>438.70522838726322</v>
      </c>
      <c r="CE21" s="62">
        <f t="shared" si="40"/>
        <v>278.21741231699929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3.65</v>
      </c>
      <c r="CT21" s="13">
        <f>IF('Données projet'!$A$140&gt;35,CT20+CS21-DB20,IF(A21&lt;'Données projet'!$A$140,$CQ$205^A21,IF(A21='Données projet'!$A$140,'Données projet'!$B$140,CT20+CS21-DB20)))</f>
        <v>47.532490941824946</v>
      </c>
      <c r="CU21" s="18">
        <f>CT21*VLOOKUP('Données projet'!$B$13,Paramètres!$A$1:$I$89,3,0)*VLOOKUP('Données projet'!$B$13,Paramètres!$A$1:$I$89,5,0)</f>
        <v>48.197945815010499</v>
      </c>
      <c r="CV21" s="14">
        <f t="shared" si="41"/>
        <v>14.147381769152156</v>
      </c>
      <c r="CW21" s="22">
        <f t="shared" si="13"/>
        <v>108.58477887574996</v>
      </c>
      <c r="CX21" s="62">
        <f t="shared" si="14"/>
        <v>387.25144554241666</v>
      </c>
      <c r="CY21" s="62">
        <f ca="1">AVERAGE(OFFSET($CX$3,0,0,'Données projet'!$E$13+1,1))-AVERAGE(OFFSET($H$3,0,0,'Données projet'!$E$13+1,1))</f>
        <v>486.63673936259465</v>
      </c>
      <c r="CZ21" s="62">
        <f t="shared" si="42"/>
        <v>306.61893266146666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28.2</v>
      </c>
      <c r="N22" s="14">
        <f>IF('Données projet'!$A$36&gt;35,N21+M22-V21,IF(A22&lt;'Données projet'!$A$36,$K$205^A22,IF(A22='Données projet'!$A$36,'Données projet'!$B$36,N21+M22-V21)))</f>
        <v>274.79999999999995</v>
      </c>
      <c r="O22" s="14">
        <f>N22*VLOOKUP('Données projet'!$B$9,Paramètres!$A$1:$I$89,3,0)*VLOOKUP('Données projet'!$B$9,Paramètres!$A$1:$I$89,5,0)</f>
        <v>153.61319999999998</v>
      </c>
      <c r="P22" s="14">
        <f t="shared" si="33"/>
        <v>39.398557339898318</v>
      </c>
      <c r="Q22" s="22">
        <f t="shared" si="2"/>
        <v>336.16214403365615</v>
      </c>
      <c r="R22" s="62">
        <f t="shared" si="0"/>
        <v>616.05103292254501</v>
      </c>
      <c r="S22" s="62">
        <f ca="1">AVERAGE(OFFSET($R$3,0,0,'Données projet'!$E$9+1,1))-AVERAGE(OFFSET($H$3,0,0,'Données projet'!$E$9+1,1))</f>
        <v>555.15881087162279</v>
      </c>
      <c r="T22" s="62">
        <f t="shared" si="34"/>
        <v>668.20427590250733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17.8</v>
      </c>
      <c r="AI22" s="14">
        <f>IF('Données projet'!$A$62&gt;35,AI21+AH22-AQ21,IF(A22&lt;'Données projet'!$A$62,$AF$205^A22,IF(A22='Données projet'!$A$62,'Données projet'!$B$62,AI21+AH22-AQ21)))</f>
        <v>143.79999999999998</v>
      </c>
      <c r="AJ22" s="14">
        <f>AI22*VLOOKUP('Données projet'!$B$10,Paramètres!$A$1:$I$89,3,0)*VLOOKUP('Données projet'!$B$10,Paramètres!$A$1:$I$89,5,0)</f>
        <v>85.992400000000004</v>
      </c>
      <c r="AK22" s="14">
        <f t="shared" si="35"/>
        <v>23.596141005324462</v>
      </c>
      <c r="AL22" s="22">
        <f t="shared" si="4"/>
        <v>190.86670891760676</v>
      </c>
      <c r="AM22" s="62">
        <f t="shared" si="5"/>
        <v>470.75559780649564</v>
      </c>
      <c r="AN22" s="62">
        <f ca="1">AVERAGE(OFFSET($AM$3,0,0,'Données projet'!$E$10+1,1))-AVERAGE(OFFSET($H$3,0,0,'Données projet'!$E$10+1,1))</f>
        <v>195.80903373714432</v>
      </c>
      <c r="AO22" s="62">
        <f t="shared" si="36"/>
        <v>388.30721786668977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3.499783644080209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16.732690088864331</v>
      </c>
      <c r="AX22" s="23">
        <f t="shared" si="6"/>
        <v>20.232473732944541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12.6</v>
      </c>
      <c r="BD22" s="13">
        <f>IF('Données projet'!$A$88&gt;35,BD21+BC22-BL21,IF(A22&lt;'Données projet'!$A$88,$BA$205^A22,IF(A22='Données projet'!$A$88,'Données projet'!$B$88,BD21+BC22-BL21)))</f>
        <v>167.39999999999998</v>
      </c>
      <c r="BE22" s="14">
        <f>BD22*VLOOKUP('Données projet'!$B$11,Paramètres!$A$1:$I$89,3,0)*VLOOKUP('Données projet'!$B$11,Paramètres!$A$1:$I$89,5,0)</f>
        <v>151.46351999999999</v>
      </c>
      <c r="BF22" s="14">
        <f t="shared" si="37"/>
        <v>38.910987614777085</v>
      </c>
      <c r="BG22" s="22">
        <f t="shared" si="7"/>
        <v>331.56893409573678</v>
      </c>
      <c r="BH22" s="62">
        <f t="shared" si="8"/>
        <v>611.45782298462564</v>
      </c>
      <c r="BI22" s="62">
        <f ca="1">AVERAGE(OFFSET($BH$3,0,0,'Données projet'!$E$11+1,1))-AVERAGE(OFFSET($H$3,0,0,'Données projet'!$E$11+1,1))</f>
        <v>366.86025470473652</v>
      </c>
      <c r="BJ22" s="62">
        <f t="shared" si="38"/>
        <v>513.80016421153414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1.2751913573962048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1.2751913573962048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3.65</v>
      </c>
      <c r="BY22" s="13">
        <f>IF('Données projet'!$A$114&gt;35,BY21+BX22-CG21,IF(A22&lt;'Données projet'!$A$114,$BV$205^A22,IF(A22='Données projet'!$A$114,'Données projet'!$B$114,BY21+BX22-CG21)))</f>
        <v>58.90561805764559</v>
      </c>
      <c r="BZ22" s="14">
        <f>BY22*VLOOKUP('Données projet'!$B$12,Paramètres!$A$1:$I$89,3,0)*VLOOKUP('Données projet'!$B$12,Paramètres!$A$1:$I$89,5,0)</f>
        <v>53.297803218557732</v>
      </c>
      <c r="CA22" s="14">
        <f t="shared" si="39"/>
        <v>15.462240012873817</v>
      </c>
      <c r="CB22" s="22">
        <f t="shared" si="10"/>
        <v>119.75707529474329</v>
      </c>
      <c r="CC22" s="62">
        <f t="shared" si="11"/>
        <v>399.64596418363215</v>
      </c>
      <c r="CD22" s="62">
        <f ca="1">AVERAGE(OFFSET($CC$3,0,0,'Données projet'!$E$12+1,1))-AVERAGE(OFFSET($H$3,0,0,'Données projet'!$E$12+1,1))</f>
        <v>438.70522838726322</v>
      </c>
      <c r="CE22" s="62">
        <f t="shared" si="40"/>
        <v>278.21741231699929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3.65</v>
      </c>
      <c r="CT22" s="13">
        <f>IF('Données projet'!$A$140&gt;35,CT21+CS22-DB21,IF(A22&lt;'Données projet'!$A$140,$CQ$205^A22,IF(A22='Données projet'!$A$140,'Données projet'!$B$140,CT21+CS22-DB21)))</f>
        <v>58.90561805764559</v>
      </c>
      <c r="CU22" s="18">
        <f>CT22*VLOOKUP('Données projet'!$B$13,Paramètres!$A$1:$I$89,3,0)*VLOOKUP('Données projet'!$B$13,Paramètres!$A$1:$I$89,5,0)</f>
        <v>59.730296710452635</v>
      </c>
      <c r="CV22" s="14">
        <f t="shared" si="41"/>
        <v>17.100061689857345</v>
      </c>
      <c r="CW22" s="22">
        <f t="shared" si="13"/>
        <v>133.81287421387319</v>
      </c>
      <c r="CX22" s="62">
        <f t="shared" si="14"/>
        <v>413.70176310276202</v>
      </c>
      <c r="CY22" s="62">
        <f ca="1">AVERAGE(OFFSET($CX$3,0,0,'Données projet'!$E$13+1,1))-AVERAGE(OFFSET($H$3,0,0,'Données projet'!$E$13+1,1))</f>
        <v>486.63673936259465</v>
      </c>
      <c r="CZ22" s="62">
        <f t="shared" si="42"/>
        <v>306.61893266146666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303</v>
      </c>
      <c r="L23" s="13">
        <f>VLOOKUP(A23,'Données projet'!$A$35:$I$55,9,0)</f>
        <v>28.2</v>
      </c>
      <c r="M23" s="13">
        <f t="array" ref="M23">INDEX(L:L,MIN(IF(ISNUMBER(L23:L219),ROW(L23:L219),"")))</f>
        <v>28.2</v>
      </c>
      <c r="N23" s="14">
        <f>IF('Données projet'!$A$36&gt;35,N22+M23-V22,IF(A23&lt;'Données projet'!$A$36,$K$205^A23,IF(A23='Données projet'!$A$36,'Données projet'!$B$36,N22+M23-V22)))</f>
        <v>302.99999999999994</v>
      </c>
      <c r="O23" s="14">
        <f>N23*VLOOKUP('Données projet'!$B$9,Paramètres!$A$1:$I$89,3,0)*VLOOKUP('Données projet'!$B$9,Paramètres!$A$1:$I$89,5,0)</f>
        <v>169.37699999999995</v>
      </c>
      <c r="P23" s="14">
        <f t="shared" si="33"/>
        <v>42.950462509094685</v>
      </c>
      <c r="Q23" s="22">
        <f t="shared" si="2"/>
        <v>369.80366387000646</v>
      </c>
      <c r="R23" s="62">
        <f t="shared" si="0"/>
        <v>650.9147749811176</v>
      </c>
      <c r="S23" s="62">
        <f ca="1">AVERAGE(OFFSET($R$3,0,0,'Données projet'!$E$9+1,1))-AVERAGE(OFFSET($H$3,0,0,'Données projet'!$E$9+1,1))</f>
        <v>555.15881087162279</v>
      </c>
      <c r="T23" s="62">
        <f t="shared" si="34"/>
        <v>668.20427590250733</v>
      </c>
      <c r="U23" s="16">
        <f>IF(ISNA(VLOOKUP(A23,'Données projet'!$A$35:$I$55,3,0)),0,VLOOKUP(A23,'Données projet'!$A$35:$I$55,3,0))</f>
        <v>2</v>
      </c>
      <c r="V23" s="16">
        <f>IF(ISNA(VLOOKUP(A23,'Données projet'!$A$35:$I$55,4,0)),0,VLOOKUP(A23,'Données projet'!$A$35:$I$55,4,0))</f>
        <v>43</v>
      </c>
      <c r="W23" s="17">
        <f>IF(ISNA(VLOOKUP(A23,'Données projet'!$A$35:$I$55,5,0)),0%,VLOOKUP(A23,'Données projet'!$A$35:$I$55,5,0)*VLOOKUP('Données projet'!$B$9,Paramètres!$A$1:$I$89,7,0))</f>
        <v>5.5000000000000007E-2</v>
      </c>
      <c r="X23" s="78">
        <f>IF(ISNA(VLOOKUP(A23,'Données projet'!$A$35:$I$55,6,0)),0%,VLOOKUP(A23,'Données projet'!$A$35:$I$55,6,0)*VLOOKUP('Données projet'!$B$9,Paramètres!$A$1:$I$89,7,0))</f>
        <v>0.22000000000000003</v>
      </c>
      <c r="Y23" s="17">
        <f>IF(ISNA(VLOOKUP(A23,'Données projet'!$A$35:$I$55,7,0)),0%,VLOOKUP(A23,'Données projet'!$A$35:$I$55,7,0))</f>
        <v>0.5</v>
      </c>
      <c r="Z23" s="23">
        <f>EXP(-LN(2)/35)*Z22+(1-EXP(-LN(2)/35))/(LN(2)/35)*V23*W23*VLOOKUP('Données projet'!$B$9,Paramètres!$A$1:$I$89,3,0)*0.475*44/12</f>
        <v>1.7537646398470124</v>
      </c>
      <c r="AA23" s="23">
        <f>EXP(-LN(2)/25)*AA22+(1-EXP(-LN(2)/25))/(LN(2)/25)*Calculateur!V23*Calculateur!X23*VLOOKUP('Données projet'!$B$9,Paramètres!$A$1:$I$89,3,0)*0.475*44/12</f>
        <v>6.9874376008928722</v>
      </c>
      <c r="AB23" s="23">
        <f>EXP(-LN(2)/2)*AB22+(1-EXP(-LN(2)/2))/(LN(2)/2)*V23*Y23*VLOOKUP('Données projet'!$B$9,Paramètres!$A$1:$I$89,3,0)*0.475*44/12</f>
        <v>13.607733867821828</v>
      </c>
      <c r="AC23" s="24">
        <f t="shared" si="3"/>
        <v>22.348936108561713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17.8</v>
      </c>
      <c r="AI23" s="14">
        <f>IF('Données projet'!$A$62&gt;35,AI22+AH23-AQ22,IF(A23&lt;'Données projet'!$A$62,$AF$205^A23,IF(A23='Données projet'!$A$62,'Données projet'!$B$62,AI22+AH23-AQ22)))</f>
        <v>161.6</v>
      </c>
      <c r="AJ23" s="14">
        <f>AI23*VLOOKUP('Données projet'!$B$10,Paramètres!$A$1:$I$89,3,0)*VLOOKUP('Données projet'!$B$10,Paramètres!$A$1:$I$89,5,0)</f>
        <v>96.636800000000008</v>
      </c>
      <c r="AK23" s="14">
        <f t="shared" si="35"/>
        <v>26.159173215164081</v>
      </c>
      <c r="AL23" s="22">
        <f t="shared" si="4"/>
        <v>213.86965334974411</v>
      </c>
      <c r="AM23" s="62">
        <f t="shared" si="5"/>
        <v>494.98076446085526</v>
      </c>
      <c r="AN23" s="62">
        <f ca="1">AVERAGE(OFFSET($AM$3,0,0,'Données projet'!$E$10+1,1))-AVERAGE(OFFSET($H$3,0,0,'Données projet'!$E$10+1,1))</f>
        <v>195.80903373714432</v>
      </c>
      <c r="AO23" s="62">
        <f t="shared" si="36"/>
        <v>388.30721786668977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3.4311550214770392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11.831798629328903</v>
      </c>
      <c r="AX23" s="23">
        <f t="shared" si="6"/>
        <v>15.262953650805942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180</v>
      </c>
      <c r="BB23" s="13">
        <f>VLOOKUP(A23,'Données projet'!$A$87:$I$107,9,0)</f>
        <v>12.6</v>
      </c>
      <c r="BC23" s="13">
        <f t="array" ref="BC23">INDEX(BB:BB,MIN(IF(ISNUMBER(BB23:BB219),ROW(BB23:BB219),"")))</f>
        <v>12.6</v>
      </c>
      <c r="BD23" s="13">
        <f>IF('Données projet'!$A$88&gt;35,BD22+BC23-BL22,IF(A23&lt;'Données projet'!$A$88,$BA$205^A23,IF(A23='Données projet'!$A$88,'Données projet'!$B$88,BD22+BC23-BL22)))</f>
        <v>179.99999999999997</v>
      </c>
      <c r="BE23" s="14">
        <f>BD23*VLOOKUP('Données projet'!$B$11,Paramètres!$A$1:$I$89,3,0)*VLOOKUP('Données projet'!$B$11,Paramètres!$A$1:$I$89,5,0)</f>
        <v>162.86399999999998</v>
      </c>
      <c r="BF23" s="14">
        <f t="shared" si="37"/>
        <v>41.487830069509123</v>
      </c>
      <c r="BG23" s="22">
        <f t="shared" si="7"/>
        <v>355.91277070439497</v>
      </c>
      <c r="BH23" s="62">
        <f t="shared" si="8"/>
        <v>637.02388181550612</v>
      </c>
      <c r="BI23" s="62">
        <f ca="1">AVERAGE(OFFSET($BH$3,0,0,'Données projet'!$E$11+1,1))-AVERAGE(OFFSET($H$3,0,0,'Données projet'!$E$11+1,1))</f>
        <v>366.86025470473652</v>
      </c>
      <c r="BJ23" s="62">
        <f t="shared" si="38"/>
        <v>513.80016421153414</v>
      </c>
      <c r="BK23" s="16">
        <f>IF(ISNA(VLOOKUP(A23,'Données projet'!$A$87:$I$107,3,0)),0,VLOOKUP(A23,'Données projet'!$A$87:$I$107,3,0))</f>
        <v>4</v>
      </c>
      <c r="BL23" s="16">
        <f>IF(ISNA(VLOOKUP(A23,'Données projet'!$A$87:$I$107,4,0)),0,VLOOKUP(A23,'Données projet'!$A$87:$I$107,4,0))</f>
        <v>18</v>
      </c>
      <c r="BM23" s="17">
        <f>IF(ISNA(VLOOKUP(A23,'Données projet'!$A$87:$I$107,5,0)),0%,VLOOKUP(A23,'Données projet'!$A$87:$I$107,5,0)*VLOOKUP('Données projet'!$B$11,Paramètres!$A$1:$I$89,7,0))</f>
        <v>0.24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5.5711775020816985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5.5711775020816985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73</v>
      </c>
      <c r="BW23" s="13">
        <f>VLOOKUP(A23,'Données projet'!$A$113:$I$133,9,0)</f>
        <v>3.65</v>
      </c>
      <c r="BX23" s="13">
        <f t="array" ref="BX23">INDEX(BW:BW,MIN(IF(ISNUMBER(BW23:BW219),ROW(BW23:BW219),"")))</f>
        <v>3.65</v>
      </c>
      <c r="BY23" s="13">
        <f>IF('Données projet'!$A$114&gt;35,BY22+BX23-CG22,IF(A23&lt;'Données projet'!$A$114,$BV$205^A23,IF(A23='Données projet'!$A$114,'Données projet'!$B$114,BY22+BX23-CG22)))</f>
        <v>73</v>
      </c>
      <c r="BZ23" s="14">
        <f>BY23*VLOOKUP('Données projet'!$B$12,Paramètres!$A$1:$I$89,3,0)*VLOOKUP('Données projet'!$B$12,Paramètres!$A$1:$I$89,5,0)</f>
        <v>66.050399999999996</v>
      </c>
      <c r="CA23" s="14">
        <f t="shared" si="39"/>
        <v>18.689342126897891</v>
      </c>
      <c r="CB23" s="22">
        <f t="shared" si="10"/>
        <v>147.58838420434714</v>
      </c>
      <c r="CC23" s="62">
        <f t="shared" si="11"/>
        <v>428.69949531545831</v>
      </c>
      <c r="CD23" s="62">
        <f ca="1">AVERAGE(OFFSET($CC$3,0,0,'Données projet'!$E$12+1,1))-AVERAGE(OFFSET($H$3,0,0,'Données projet'!$E$12+1,1))</f>
        <v>438.70522838726322</v>
      </c>
      <c r="CE23" s="62">
        <f t="shared" si="40"/>
        <v>278.21741231699929</v>
      </c>
      <c r="CF23" s="16">
        <f>IF(ISNA(VLOOKUP(A23,'Données projet'!$A$113:$I$133,3,0)),0,VLOOKUP(A23,'Données projet'!$A$113:$I$133,3,0))</f>
        <v>1</v>
      </c>
      <c r="CG23" s="16">
        <f>IF(ISNA(VLOOKUP(A23,'Données projet'!$A$113:$I$133,4,0)),0,VLOOKUP(A23,'Données projet'!$A$113:$I$133,4,0))</f>
        <v>6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73</v>
      </c>
      <c r="CR23" s="13">
        <f>VLOOKUP(A23,'Données projet'!$A$139:$I$159,9,0)</f>
        <v>3.65</v>
      </c>
      <c r="CS23" s="13">
        <f t="array" ref="CS23">INDEX(CR:CR,MIN(IF(ISNUMBER(CR23:CR219),ROW(CR23:CR219),"")))</f>
        <v>3.65</v>
      </c>
      <c r="CT23" s="13">
        <f>IF('Données projet'!$A$140&gt;35,CT22+CS23-DB22,IF(A23&lt;'Données projet'!$A$140,$CQ$205^A23,IF(A23='Données projet'!$A$140,'Données projet'!$B$140,CT22+CS23-DB22)))</f>
        <v>73</v>
      </c>
      <c r="CU23" s="18">
        <f>CT23*VLOOKUP('Données projet'!$B$13,Paramètres!$A$1:$I$89,3,0)*VLOOKUP('Données projet'!$B$13,Paramètres!$A$1:$I$89,5,0)</f>
        <v>74.022000000000006</v>
      </c>
      <c r="CV23" s="14">
        <f t="shared" si="41"/>
        <v>20.668991235856851</v>
      </c>
      <c r="CW23" s="22">
        <f t="shared" si="13"/>
        <v>164.92014306911736</v>
      </c>
      <c r="CX23" s="62">
        <f t="shared" si="14"/>
        <v>446.03125418022853</v>
      </c>
      <c r="CY23" s="62">
        <f ca="1">AVERAGE(OFFSET($CX$3,0,0,'Données projet'!$E$13+1,1))-AVERAGE(OFFSET($H$3,0,0,'Données projet'!$E$13+1,1))</f>
        <v>486.63673936259465</v>
      </c>
      <c r="CZ23" s="62">
        <f t="shared" si="42"/>
        <v>306.61893266146666</v>
      </c>
      <c r="DA23" s="16">
        <f>IF(ISNA(VLOOKUP(A23,'Données projet'!$A$139:$I$159,3,0)),0,VLOOKUP(A23,'Données projet'!$A$139:$I$159,3,0))</f>
        <v>1</v>
      </c>
      <c r="DB23" s="16">
        <f>IF(ISNA(VLOOKUP(A23,'Données projet'!$A$139:$I$159,4,0)),0,VLOOKUP(A23,'Données projet'!$A$139:$I$159,4,0))</f>
        <v>6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31.8</v>
      </c>
      <c r="N24" s="14">
        <f>IF('Données projet'!$A$36&gt;35,N23+M24-V23,IF(A24&lt;'Données projet'!$A$36,$K$205^A24,IF(A24='Données projet'!$A$36,'Données projet'!$B$36,N23+M24-V23)))</f>
        <v>291.79999999999995</v>
      </c>
      <c r="O24" s="14">
        <f>N24*VLOOKUP('Données projet'!$B$9,Paramètres!$A$1:$I$89,3,0)*VLOOKUP('Données projet'!$B$9,Paramètres!$A$1:$I$89,5,0)</f>
        <v>163.11619999999996</v>
      </c>
      <c r="P24" s="14">
        <f t="shared" si="33"/>
        <v>41.544592017733109</v>
      </c>
      <c r="Q24" s="22">
        <f t="shared" si="2"/>
        <v>356.4508794308851</v>
      </c>
      <c r="R24" s="62">
        <f t="shared" si="0"/>
        <v>638.78421276421841</v>
      </c>
      <c r="S24" s="62">
        <f ca="1">AVERAGE(OFFSET($R$3,0,0,'Données projet'!$E$9+1,1))-AVERAGE(OFFSET($H$3,0,0,'Données projet'!$E$9+1,1))</f>
        <v>555.15881087162279</v>
      </c>
      <c r="T24" s="62">
        <f t="shared" si="34"/>
        <v>668.20427590250733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1.7193743849504195</v>
      </c>
      <c r="AA24" s="23">
        <f>EXP(-LN(2)/25)*AA23+(1-EXP(-LN(2)/25))/(LN(2)/25)*Calculateur!V24*Calculateur!X24*VLOOKUP('Données projet'!$B$9,Paramètres!$A$1:$I$89,3,0)*0.475*44/12</f>
        <v>6.7963657522430836</v>
      </c>
      <c r="AB24" s="23">
        <f>EXP(-LN(2)/2)*AB23+(1-EXP(-LN(2)/2))/(LN(2)/2)*V24*Y24*VLOOKUP('Données projet'!$B$9,Paramètres!$A$1:$I$89,3,0)*0.475*44/12</f>
        <v>9.6221208945186625</v>
      </c>
      <c r="AC24" s="24">
        <f t="shared" si="3"/>
        <v>18.137861031712166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17.8</v>
      </c>
      <c r="AI24" s="14">
        <f>IF('Données projet'!$A$62&gt;35,AI23+AH24-AQ23,IF(A24&lt;'Données projet'!$A$62,$AF$205^A24,IF(A24='Données projet'!$A$62,'Données projet'!$B$62,AI23+AH24-AQ23)))</f>
        <v>179.4</v>
      </c>
      <c r="AJ24" s="14">
        <f>AI24*VLOOKUP('Données projet'!$B$10,Paramètres!$A$1:$I$89,3,0)*VLOOKUP('Données projet'!$B$10,Paramètres!$A$1:$I$89,5,0)</f>
        <v>107.2812</v>
      </c>
      <c r="AK24" s="14">
        <f t="shared" si="35"/>
        <v>28.68948404302737</v>
      </c>
      <c r="AL24" s="22">
        <f t="shared" si="4"/>
        <v>236.81560804160597</v>
      </c>
      <c r="AM24" s="62">
        <f t="shared" si="5"/>
        <v>519.14894137493934</v>
      </c>
      <c r="AN24" s="62">
        <f ca="1">AVERAGE(OFFSET($AM$3,0,0,'Données projet'!$E$10+1,1))-AVERAGE(OFFSET($H$3,0,0,'Données projet'!$E$10+1,1))</f>
        <v>195.80903373714432</v>
      </c>
      <c r="AO24" s="62">
        <f t="shared" si="36"/>
        <v>388.30721786668977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3.3638721643037908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8.3663450444321654</v>
      </c>
      <c r="AX24" s="23">
        <f t="shared" si="6"/>
        <v>11.730217208735956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10.4</v>
      </c>
      <c r="BD24" s="13">
        <f>IF('Données projet'!$A$88&gt;35,BD23+BC24-BL23,IF(A24&lt;'Données projet'!$A$88,$BA$205^A24,IF(A24='Données projet'!$A$88,'Données projet'!$B$88,BD23+BC24-BL23)))</f>
        <v>172.39999999999998</v>
      </c>
      <c r="BE24" s="14">
        <f>BD24*VLOOKUP('Données projet'!$B$11,Paramètres!$A$1:$I$89,3,0)*VLOOKUP('Données projet'!$B$11,Paramètres!$A$1:$I$89,5,0)</f>
        <v>155.98751999999996</v>
      </c>
      <c r="BF24" s="14">
        <f t="shared" si="37"/>
        <v>39.936155927663087</v>
      </c>
      <c r="BG24" s="22">
        <f t="shared" si="7"/>
        <v>341.23373557401311</v>
      </c>
      <c r="BH24" s="62">
        <f t="shared" si="8"/>
        <v>623.56706890734642</v>
      </c>
      <c r="BI24" s="62">
        <f ca="1">AVERAGE(OFFSET($BH$3,0,0,'Données projet'!$E$11+1,1))-AVERAGE(OFFSET($H$3,0,0,'Données projet'!$E$11+1,1))</f>
        <v>366.86025470473652</v>
      </c>
      <c r="BJ24" s="62">
        <f t="shared" si="38"/>
        <v>513.80016421153414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5.4619301093486197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5.4619301093486197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7.2</v>
      </c>
      <c r="BY24" s="13">
        <f>IF('Données projet'!$A$114&gt;35,BY23+BX24-CG23,IF(A24&lt;'Données projet'!$A$114,$BV$205^A24,IF(A24='Données projet'!$A$114,'Données projet'!$B$114,BY23+BX24-CG23)))</f>
        <v>74.2</v>
      </c>
      <c r="BZ24" s="14">
        <f>BY24*VLOOKUP('Données projet'!$B$12,Paramètres!$A$1:$I$89,3,0)*VLOOKUP('Données projet'!$B$12,Paramètres!$A$1:$I$89,5,0)</f>
        <v>67.136160000000004</v>
      </c>
      <c r="CA24" s="14">
        <f t="shared" si="39"/>
        <v>18.960545405756019</v>
      </c>
      <c r="CB24" s="22">
        <f t="shared" si="10"/>
        <v>149.95176191502506</v>
      </c>
      <c r="CC24" s="62">
        <f t="shared" si="11"/>
        <v>432.2850952483584</v>
      </c>
      <c r="CD24" s="62">
        <f ca="1">AVERAGE(OFFSET($CC$3,0,0,'Données projet'!$E$12+1,1))-AVERAGE(OFFSET($H$3,0,0,'Données projet'!$E$12+1,1))</f>
        <v>438.70522838726322</v>
      </c>
      <c r="CE24" s="62">
        <f t="shared" si="40"/>
        <v>278.21741231699929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7.2</v>
      </c>
      <c r="CT24" s="13">
        <f>IF('Données projet'!$A$140&gt;35,CT23+CS24-DB23,IF(A24&lt;'Données projet'!$A$140,$CQ$205^A24,IF(A24='Données projet'!$A$140,'Données projet'!$B$140,CT23+CS24-DB23)))</f>
        <v>74.2</v>
      </c>
      <c r="CU24" s="18">
        <f>CT24*VLOOKUP('Données projet'!$B$13,Paramètres!$A$1:$I$89,3,0)*VLOOKUP('Données projet'!$B$13,Paramètres!$A$1:$I$89,5,0)</f>
        <v>75.238800000000012</v>
      </c>
      <c r="CV24" s="14">
        <f t="shared" si="41"/>
        <v>20.96892143970209</v>
      </c>
      <c r="CW24" s="22">
        <f t="shared" si="13"/>
        <v>167.56178150748116</v>
      </c>
      <c r="CX24" s="62">
        <f t="shared" si="14"/>
        <v>449.89511484081447</v>
      </c>
      <c r="CY24" s="62">
        <f ca="1">AVERAGE(OFFSET($CX$3,0,0,'Données projet'!$E$13+1,1))-AVERAGE(OFFSET($H$3,0,0,'Données projet'!$E$13+1,1))</f>
        <v>486.63673936259465</v>
      </c>
      <c r="CZ24" s="62">
        <f t="shared" si="42"/>
        <v>306.61893266146666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31.8</v>
      </c>
      <c r="N25" s="14">
        <f>IF('Données projet'!$A$36&gt;35,N24+M25-V24,IF(A25&lt;'Données projet'!$A$36,$K$205^A25,IF(A25='Données projet'!$A$36,'Données projet'!$B$36,N24+M25-V24)))</f>
        <v>323.59999999999997</v>
      </c>
      <c r="O25" s="14">
        <f>N25*VLOOKUP('Données projet'!$B$9,Paramètres!$A$1:$I$89,3,0)*VLOOKUP('Données projet'!$B$9,Paramètres!$A$1:$I$89,5,0)</f>
        <v>180.89240000000001</v>
      </c>
      <c r="P25" s="14">
        <f t="shared" si="33"/>
        <v>45.520671542487669</v>
      </c>
      <c r="Q25" s="22">
        <f t="shared" si="2"/>
        <v>394.33609960316602</v>
      </c>
      <c r="R25" s="62">
        <f t="shared" si="0"/>
        <v>677.89165515872151</v>
      </c>
      <c r="S25" s="62">
        <f ca="1">AVERAGE(OFFSET($R$3,0,0,'Données projet'!$E$9+1,1))-AVERAGE(OFFSET($H$3,0,0,'Données projet'!$E$9+1,1))</f>
        <v>555.15881087162279</v>
      </c>
      <c r="T25" s="62">
        <f t="shared" si="34"/>
        <v>668.20427590250733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1.6856585019763646</v>
      </c>
      <c r="AA25" s="23">
        <f>EXP(-LN(2)/25)*AA24+(1-EXP(-LN(2)/25))/(LN(2)/25)*Calculateur!V25*Calculateur!X25*VLOOKUP('Données projet'!$B$9,Paramètres!$A$1:$I$89,3,0)*0.475*44/12</f>
        <v>6.6105187733426547</v>
      </c>
      <c r="AB25" s="23">
        <f>EXP(-LN(2)/2)*AB24+(1-EXP(-LN(2)/2))/(LN(2)/2)*V25*Y25*VLOOKUP('Données projet'!$B$9,Paramètres!$A$1:$I$89,3,0)*0.475*44/12</f>
        <v>6.803866933910915</v>
      </c>
      <c r="AC25" s="24">
        <f t="shared" si="3"/>
        <v>15.100044209229935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17.8</v>
      </c>
      <c r="AI25" s="14">
        <f>IF('Données projet'!$A$62&gt;35,AI24+AH25-AQ24,IF(A25&lt;'Données projet'!$A$62,$AF$205^A25,IF(A25='Données projet'!$A$62,'Données projet'!$B$62,AI24+AH25-AQ24)))</f>
        <v>197.20000000000002</v>
      </c>
      <c r="AJ25" s="14">
        <f>AI25*VLOOKUP('Données projet'!$B$10,Paramètres!$A$1:$I$89,3,0)*VLOOKUP('Données projet'!$B$10,Paramètres!$A$1:$I$89,5,0)</f>
        <v>117.92560000000003</v>
      </c>
      <c r="AK25" s="14">
        <f t="shared" si="35"/>
        <v>31.190689636070587</v>
      </c>
      <c r="AL25" s="22">
        <f t="shared" si="4"/>
        <v>259.71087111615634</v>
      </c>
      <c r="AM25" s="62">
        <f t="shared" si="5"/>
        <v>543.26642667171188</v>
      </c>
      <c r="AN25" s="62">
        <f ca="1">AVERAGE(OFFSET($AM$3,0,0,'Données projet'!$E$10+1,1))-AVERAGE(OFFSET($H$3,0,0,'Données projet'!$E$10+1,1))</f>
        <v>195.80903373714432</v>
      </c>
      <c r="AO25" s="62">
        <f t="shared" si="36"/>
        <v>388.30721786668977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3.2979086829212192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5.9158993146644514</v>
      </c>
      <c r="AX25" s="23">
        <f t="shared" si="6"/>
        <v>9.2138079975856702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10.4</v>
      </c>
      <c r="BD25" s="13">
        <f>IF('Données projet'!$A$88&gt;35,BD24+BC25-BL24,IF(A25&lt;'Données projet'!$A$88,$BA$205^A25,IF(A25='Données projet'!$A$88,'Données projet'!$B$88,BD24+BC25-BL24)))</f>
        <v>182.79999999999998</v>
      </c>
      <c r="BE25" s="14">
        <f>BD25*VLOOKUP('Données projet'!$B$11,Paramètres!$A$1:$I$89,3,0)*VLOOKUP('Données projet'!$B$11,Paramètres!$A$1:$I$89,5,0)</f>
        <v>165.39743999999999</v>
      </c>
      <c r="BF25" s="14">
        <f t="shared" si="37"/>
        <v>42.057562385840804</v>
      </c>
      <c r="BG25" s="22">
        <f t="shared" si="7"/>
        <v>361.31746248867267</v>
      </c>
      <c r="BH25" s="62">
        <f t="shared" si="8"/>
        <v>644.87301804422827</v>
      </c>
      <c r="BI25" s="62">
        <f ca="1">AVERAGE(OFFSET($BH$3,0,0,'Données projet'!$E$11+1,1))-AVERAGE(OFFSET($H$3,0,0,'Données projet'!$E$11+1,1))</f>
        <v>366.86025470473652</v>
      </c>
      <c r="BJ25" s="62">
        <f t="shared" si="38"/>
        <v>513.80016421153414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5.3548249913527064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5.3548249913527064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7.2</v>
      </c>
      <c r="BY25" s="13">
        <f>IF('Données projet'!$A$114&gt;35,BY24+BX25-CG24,IF(A25&lt;'Données projet'!$A$114,$BV$205^A25,IF(A25='Données projet'!$A$114,'Données projet'!$B$114,BY24+BX25-CG24)))</f>
        <v>81.400000000000006</v>
      </c>
      <c r="BZ25" s="14">
        <f>BY25*VLOOKUP('Données projet'!$B$12,Paramètres!$A$1:$I$89,3,0)*VLOOKUP('Données projet'!$B$12,Paramètres!$A$1:$I$89,5,0)</f>
        <v>73.650720000000007</v>
      </c>
      <c r="CA25" s="14">
        <f t="shared" si="39"/>
        <v>20.577360172493922</v>
      </c>
      <c r="CB25" s="22">
        <f t="shared" si="10"/>
        <v>164.11390630042692</v>
      </c>
      <c r="CC25" s="62">
        <f t="shared" si="11"/>
        <v>447.66946185598249</v>
      </c>
      <c r="CD25" s="62">
        <f ca="1">AVERAGE(OFFSET($CC$3,0,0,'Données projet'!$E$12+1,1))-AVERAGE(OFFSET($H$3,0,0,'Données projet'!$E$12+1,1))</f>
        <v>438.70522838726322</v>
      </c>
      <c r="CE25" s="62">
        <f t="shared" si="40"/>
        <v>278.21741231699929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7.2</v>
      </c>
      <c r="CT25" s="13">
        <f>IF('Données projet'!$A$140&gt;35,CT24+CS25-DB24,IF(A25&lt;'Données projet'!$A$140,$CQ$205^A25,IF(A25='Données projet'!$A$140,'Données projet'!$B$140,CT24+CS25-DB24)))</f>
        <v>81.400000000000006</v>
      </c>
      <c r="CU25" s="18">
        <f>CT25*VLOOKUP('Données projet'!$B$13,Paramètres!$A$1:$I$89,3,0)*VLOOKUP('Données projet'!$B$13,Paramètres!$A$1:$I$89,5,0)</f>
        <v>82.539600000000007</v>
      </c>
      <c r="CV25" s="14">
        <f t="shared" si="41"/>
        <v>22.756995627482848</v>
      </c>
      <c r="CW25" s="22">
        <f t="shared" si="13"/>
        <v>183.39157071786599</v>
      </c>
      <c r="CX25" s="62">
        <f t="shared" si="14"/>
        <v>466.94712627342153</v>
      </c>
      <c r="CY25" s="62">
        <f ca="1">AVERAGE(OFFSET($CX$3,0,0,'Données projet'!$E$13+1,1))-AVERAGE(OFFSET($H$3,0,0,'Données projet'!$E$13+1,1))</f>
        <v>486.63673936259465</v>
      </c>
      <c r="CZ25" s="62">
        <f t="shared" si="42"/>
        <v>306.61893266146666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31.8</v>
      </c>
      <c r="N26" s="14">
        <f>IF('Données projet'!$A$36&gt;35,N25+M26-V25,IF(A26&lt;'Données projet'!$A$36,$K$205^A26,IF(A26='Données projet'!$A$36,'Données projet'!$B$36,N25+M26-V25)))</f>
        <v>355.4</v>
      </c>
      <c r="O26" s="14">
        <f>N26*VLOOKUP('Données projet'!$B$9,Paramètres!$A$1:$I$89,3,0)*VLOOKUP('Données projet'!$B$9,Paramètres!$A$1:$I$89,5,0)</f>
        <v>198.66859999999997</v>
      </c>
      <c r="P26" s="14">
        <f t="shared" si="33"/>
        <v>49.451452656287465</v>
      </c>
      <c r="Q26" s="22">
        <f t="shared" si="2"/>
        <v>432.14242504303394</v>
      </c>
      <c r="R26" s="62">
        <f t="shared" si="0"/>
        <v>716.92020282081171</v>
      </c>
      <c r="S26" s="62">
        <f ca="1">AVERAGE(OFFSET($R$3,0,0,'Données projet'!$E$9+1,1))-AVERAGE(OFFSET($H$3,0,0,'Données projet'!$E$9+1,1))</f>
        <v>555.15881087162279</v>
      </c>
      <c r="T26" s="62">
        <f t="shared" si="34"/>
        <v>668.20427590250733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1.6526037669027729</v>
      </c>
      <c r="AA26" s="23">
        <f>EXP(-LN(2)/25)*AA25+(1-EXP(-LN(2)/25))/(LN(2)/25)*Calculateur!V26*Calculateur!X26*VLOOKUP('Données projet'!$B$9,Paramètres!$A$1:$I$89,3,0)*0.475*44/12</f>
        <v>6.4297537898535264</v>
      </c>
      <c r="AB26" s="23">
        <f>EXP(-LN(2)/2)*AB25+(1-EXP(-LN(2)/2))/(LN(2)/2)*V26*Y26*VLOOKUP('Données projet'!$B$9,Paramètres!$A$1:$I$89,3,0)*0.475*44/12</f>
        <v>4.8110604472593321</v>
      </c>
      <c r="AC26" s="24">
        <f t="shared" si="3"/>
        <v>12.893418004015633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>
        <f>VLOOKUP(A26,'Données projet'!$A$61:$I$81,2,0)</f>
        <v>215</v>
      </c>
      <c r="AG26" s="13">
        <f>VLOOKUP(A26,'Données projet'!$A$61:$I$81,9,0)</f>
        <v>17.8</v>
      </c>
      <c r="AH26" s="13">
        <f t="array" ref="AH26">INDEX(AG:AG,MIN(IF(ISNUMBER(AG26:AG222),ROW(AG26:AG222),"")))</f>
        <v>17.8</v>
      </c>
      <c r="AI26" s="14">
        <f>IF('Données projet'!$A$62&gt;35,AI25+AH26-AQ25,IF(A26&lt;'Données projet'!$A$62,$AF$205^A26,IF(A26='Données projet'!$A$62,'Données projet'!$B$62,AI25+AH26-AQ25)))</f>
        <v>215.00000000000003</v>
      </c>
      <c r="AJ26" s="14">
        <f>AI26*VLOOKUP('Données projet'!$B$10,Paramètres!$A$1:$I$89,3,0)*VLOOKUP('Données projet'!$B$10,Paramètres!$A$1:$I$89,5,0)</f>
        <v>128.57000000000002</v>
      </c>
      <c r="AK26" s="14">
        <f t="shared" si="35"/>
        <v>33.665715905233277</v>
      </c>
      <c r="AL26" s="22">
        <f t="shared" si="4"/>
        <v>282.56053853494797</v>
      </c>
      <c r="AM26" s="62">
        <f t="shared" si="5"/>
        <v>567.33831631272574</v>
      </c>
      <c r="AN26" s="62">
        <f ca="1">AVERAGE(OFFSET($AM$3,0,0,'Données projet'!$E$10+1,1))-AVERAGE(OFFSET($H$3,0,0,'Données projet'!$E$10+1,1))</f>
        <v>195.80903373714432</v>
      </c>
      <c r="AO26" s="62">
        <f t="shared" si="36"/>
        <v>388.30721786668977</v>
      </c>
      <c r="AP26" s="16">
        <f>IF(ISNA(VLOOKUP(A26,'Données projet'!$A$61:$I$81,3,0)),0,VLOOKUP(A26,'Données projet'!$A$61:$I$81,3,0))</f>
        <v>3</v>
      </c>
      <c r="AQ26" s="16">
        <f>IF(ISNA(VLOOKUP(A26,'Données projet'!$A$61:$I$81,4,0)),0,VLOOKUP(A26,'Données projet'!$A$61:$I$81,4,0))</f>
        <v>52</v>
      </c>
      <c r="AR26" s="17">
        <f>IF(ISNA(VLOOKUP(A26,'Données projet'!$A$61:$I$81,5,0)),0%,VLOOKUP(A26,'Données projet'!$A$61:$I$81,5,0)*VLOOKUP('Données projet'!$B$10,Paramètres!$A$1:$I$89,7,0))</f>
        <v>0.22500000000000001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0.5</v>
      </c>
      <c r="AU26" s="23">
        <f>EXP(-LN(2)/35)*AU25+(1-EXP(-LN(2)/35))/(LN(2)/35)*AQ26*AR26*VLOOKUP('Données projet'!$B$10,Paramètres!$A$1:$I$89,3,0)*0.475*44/12</f>
        <v>12.514679574103097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21.787120284157577</v>
      </c>
      <c r="AX26" s="23">
        <f t="shared" si="6"/>
        <v>34.301799858260672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10.4</v>
      </c>
      <c r="BD26" s="13">
        <f>IF('Données projet'!$A$88&gt;35,BD25+BC26-BL25,IF(A26&lt;'Données projet'!$A$88,$BA$205^A26,IF(A26='Données projet'!$A$88,'Données projet'!$B$88,BD25+BC26-BL25)))</f>
        <v>193.2</v>
      </c>
      <c r="BE26" s="14">
        <f>BD26*VLOOKUP('Données projet'!$B$11,Paramètres!$A$1:$I$89,3,0)*VLOOKUP('Données projet'!$B$11,Paramètres!$A$1:$I$89,5,0)</f>
        <v>174.80735999999999</v>
      </c>
      <c r="BF26" s="14">
        <f t="shared" si="37"/>
        <v>44.164958649772579</v>
      </c>
      <c r="BG26" s="22">
        <f t="shared" si="7"/>
        <v>381.37678831502052</v>
      </c>
      <c r="BH26" s="62">
        <f t="shared" si="8"/>
        <v>666.15456609279829</v>
      </c>
      <c r="BI26" s="62">
        <f ca="1">AVERAGE(OFFSET($BH$3,0,0,'Données projet'!$E$11+1,1))-AVERAGE(OFFSET($H$3,0,0,'Données projet'!$E$11+1,1))</f>
        <v>366.86025470473652</v>
      </c>
      <c r="BJ26" s="62">
        <f t="shared" si="38"/>
        <v>513.80016421153414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5.2498201393930222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5.2498201393930222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7.2</v>
      </c>
      <c r="BY26" s="13">
        <f>IF('Données projet'!$A$114&gt;35,BY25+BX26-CG25,IF(A26&lt;'Données projet'!$A$114,$BV$205^A26,IF(A26='Données projet'!$A$114,'Données projet'!$B$114,BY25+BX26-CG25)))</f>
        <v>88.600000000000009</v>
      </c>
      <c r="BZ26" s="14">
        <f>BY26*VLOOKUP('Données projet'!$B$12,Paramètres!$A$1:$I$89,3,0)*VLOOKUP('Données projet'!$B$12,Paramètres!$A$1:$I$89,5,0)</f>
        <v>80.165279999999996</v>
      </c>
      <c r="CA26" s="14">
        <f t="shared" si="39"/>
        <v>22.177591092468788</v>
      </c>
      <c r="CB26" s="22">
        <f t="shared" si="10"/>
        <v>178.24716715271646</v>
      </c>
      <c r="CC26" s="62">
        <f t="shared" si="11"/>
        <v>463.02494493049426</v>
      </c>
      <c r="CD26" s="62">
        <f ca="1">AVERAGE(OFFSET($CC$3,0,0,'Données projet'!$E$12+1,1))-AVERAGE(OFFSET($H$3,0,0,'Données projet'!$E$12+1,1))</f>
        <v>438.70522838726322</v>
      </c>
      <c r="CE26" s="62">
        <f t="shared" si="40"/>
        <v>278.21741231699929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7.2</v>
      </c>
      <c r="CT26" s="13">
        <f>IF('Données projet'!$A$140&gt;35,CT25+CS26-DB25,IF(A26&lt;'Données projet'!$A$140,$CQ$205^A26,IF(A26='Données projet'!$A$140,'Données projet'!$B$140,CT25+CS26-DB25)))</f>
        <v>88.600000000000009</v>
      </c>
      <c r="CU26" s="18">
        <f>CT26*VLOOKUP('Données projet'!$B$13,Paramètres!$A$1:$I$89,3,0)*VLOOKUP('Données projet'!$B$13,Paramètres!$A$1:$I$89,5,0)</f>
        <v>89.840400000000017</v>
      </c>
      <c r="CV26" s="14">
        <f t="shared" si="41"/>
        <v>24.526729341796202</v>
      </c>
      <c r="CW26" s="22">
        <f t="shared" si="13"/>
        <v>199.18941693696172</v>
      </c>
      <c r="CX26" s="62">
        <f t="shared" si="14"/>
        <v>483.96719471473949</v>
      </c>
      <c r="CY26" s="62">
        <f ca="1">AVERAGE(OFFSET($CX$3,0,0,'Données projet'!$E$13+1,1))-AVERAGE(OFFSET($H$3,0,0,'Données projet'!$E$13+1,1))</f>
        <v>486.63673936259465</v>
      </c>
      <c r="CZ26" s="62">
        <f t="shared" si="42"/>
        <v>306.61893266146666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31.8</v>
      </c>
      <c r="N27" s="14">
        <f>IF('Données projet'!$A$36&gt;35,N26+M27-V26,IF(A27&lt;'Données projet'!$A$36,$K$205^A27,IF(A27='Données projet'!$A$36,'Données projet'!$B$36,N26+M27-V26)))</f>
        <v>387.2</v>
      </c>
      <c r="O27" s="14">
        <f>N27*VLOOKUP('Données projet'!$B$9,Paramètres!$A$1:$I$89,3,0)*VLOOKUP('Données projet'!$B$9,Paramètres!$A$1:$I$89,5,0)</f>
        <v>216.44479999999999</v>
      </c>
      <c r="P27" s="14">
        <f t="shared" si="33"/>
        <v>53.341449419561528</v>
      </c>
      <c r="Q27" s="22">
        <f t="shared" si="2"/>
        <v>469.87771773906962</v>
      </c>
      <c r="R27" s="62">
        <f t="shared" si="0"/>
        <v>755.87771773906957</v>
      </c>
      <c r="S27" s="62">
        <f ca="1">AVERAGE(OFFSET($R$3,0,0,'Données projet'!$E$9+1,1))-AVERAGE(OFFSET($H$3,0,0,'Données projet'!$E$9+1,1))</f>
        <v>555.15881087162279</v>
      </c>
      <c r="T27" s="62">
        <f t="shared" si="34"/>
        <v>668.20427590250733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1.6201972150225767</v>
      </c>
      <c r="AA27" s="23">
        <f>EXP(-LN(2)/25)*AA26+(1-EXP(-LN(2)/25))/(LN(2)/25)*Calculateur!V27*Calculateur!X27*VLOOKUP('Données projet'!$B$9,Paramètres!$A$1:$I$89,3,0)*0.475*44/12</f>
        <v>6.2539318343439252</v>
      </c>
      <c r="AB27" s="23">
        <f>EXP(-LN(2)/2)*AB26+(1-EXP(-LN(2)/2))/(LN(2)/2)*V27*Y27*VLOOKUP('Données projet'!$B$9,Paramètres!$A$1:$I$89,3,0)*0.475*44/12</f>
        <v>3.4019334669554584</v>
      </c>
      <c r="AC27" s="24">
        <f t="shared" si="3"/>
        <v>11.276062516321961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15.142857142857142</v>
      </c>
      <c r="AI27" s="14">
        <f>IF('Données projet'!$A$62&gt;35,AI26+AH27-AQ26,IF(A27&lt;'Données projet'!$A$62,$AF$205^A27,IF(A27='Données projet'!$A$62,'Données projet'!$B$62,AI26+AH27-AQ26)))</f>
        <v>178.14285714285717</v>
      </c>
      <c r="AJ27" s="14">
        <f>AI27*VLOOKUP('Données projet'!$B$10,Paramètres!$A$1:$I$89,3,0)*VLOOKUP('Données projet'!$B$10,Paramètres!$A$1:$I$89,5,0)</f>
        <v>106.5294285714286</v>
      </c>
      <c r="AK27" s="14">
        <f t="shared" si="35"/>
        <v>28.511771457031461</v>
      </c>
      <c r="AL27" s="22">
        <f t="shared" si="4"/>
        <v>235.19675671623455</v>
      </c>
      <c r="AM27" s="62">
        <f t="shared" si="5"/>
        <v>521.19675671623452</v>
      </c>
      <c r="AN27" s="62">
        <f ca="1">AVERAGE(OFFSET($AM$3,0,0,'Données projet'!$E$10+1,1))-AVERAGE(OFFSET($H$3,0,0,'Données projet'!$E$10+1,1))</f>
        <v>195.80903373714432</v>
      </c>
      <c r="AO27" s="62">
        <f t="shared" si="36"/>
        <v>388.30721786668977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12.269274340855759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15.405820495454805</v>
      </c>
      <c r="AX27" s="23">
        <f t="shared" si="6"/>
        <v>27.675094836310564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10.4</v>
      </c>
      <c r="BD27" s="13">
        <f>IF('Données projet'!$A$88&gt;35,BD26+BC27-BL26,IF(A27&lt;'Données projet'!$A$88,$BA$205^A27,IF(A27='Données projet'!$A$88,'Données projet'!$B$88,BD26+BC27-BL26)))</f>
        <v>203.6</v>
      </c>
      <c r="BE27" s="14">
        <f>BD27*VLOOKUP('Données projet'!$B$11,Paramètres!$A$1:$I$89,3,0)*VLOOKUP('Données projet'!$B$11,Paramètres!$A$1:$I$89,5,0)</f>
        <v>184.21727999999999</v>
      </c>
      <c r="BF27" s="14">
        <f t="shared" si="37"/>
        <v>46.25918487744358</v>
      </c>
      <c r="BG27" s="22">
        <f t="shared" si="7"/>
        <v>401.41317632821421</v>
      </c>
      <c r="BH27" s="62">
        <f t="shared" si="8"/>
        <v>687.41317632821415</v>
      </c>
      <c r="BI27" s="62">
        <f ca="1">AVERAGE(OFFSET($BH$3,0,0,'Données projet'!$E$11+1,1))-AVERAGE(OFFSET($H$3,0,0,'Données projet'!$E$11+1,1))</f>
        <v>366.86025470473652</v>
      </c>
      <c r="BJ27" s="62">
        <f t="shared" si="38"/>
        <v>513.80016421153414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5.1468743685336316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5.1468743685336316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7.2</v>
      </c>
      <c r="BY27" s="13">
        <f>IF('Données projet'!$A$114&gt;35,BY26+BX27-CG26,IF(A27&lt;'Données projet'!$A$114,$BV$205^A27,IF(A27='Données projet'!$A$114,'Données projet'!$B$114,BY26+BX27-CG26)))</f>
        <v>95.800000000000011</v>
      </c>
      <c r="BZ27" s="14">
        <f>BY27*VLOOKUP('Données projet'!$B$12,Paramètres!$A$1:$I$89,3,0)*VLOOKUP('Données projet'!$B$12,Paramètres!$A$1:$I$89,5,0)</f>
        <v>86.679839999999999</v>
      </c>
      <c r="CA27" s="14">
        <f t="shared" si="39"/>
        <v>23.762739053789723</v>
      </c>
      <c r="CB27" s="22">
        <f t="shared" si="10"/>
        <v>192.35415851868379</v>
      </c>
      <c r="CC27" s="62">
        <f t="shared" si="11"/>
        <v>478.35415851868379</v>
      </c>
      <c r="CD27" s="62">
        <f ca="1">AVERAGE(OFFSET($CC$3,0,0,'Données projet'!$E$12+1,1))-AVERAGE(OFFSET($H$3,0,0,'Données projet'!$E$12+1,1))</f>
        <v>438.70522838726322</v>
      </c>
      <c r="CE27" s="62">
        <f t="shared" si="40"/>
        <v>278.21741231699929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7.2</v>
      </c>
      <c r="CT27" s="13">
        <f>IF('Données projet'!$A$140&gt;35,CT26+CS27-DB26,IF(A27&lt;'Données projet'!$A$140,$CQ$205^A27,IF(A27='Données projet'!$A$140,'Données projet'!$B$140,CT26+CS27-DB26)))</f>
        <v>95.800000000000011</v>
      </c>
      <c r="CU27" s="18">
        <f>CT27*VLOOKUP('Données projet'!$B$13,Paramètres!$A$1:$I$89,3,0)*VLOOKUP('Données projet'!$B$13,Paramètres!$A$1:$I$89,5,0)</f>
        <v>97.141200000000026</v>
      </c>
      <c r="CV27" s="14">
        <f t="shared" si="41"/>
        <v>26.279782450761708</v>
      </c>
      <c r="CW27" s="22">
        <f t="shared" si="13"/>
        <v>214.95821110174333</v>
      </c>
      <c r="CX27" s="62">
        <f t="shared" si="14"/>
        <v>500.95821110174336</v>
      </c>
      <c r="CY27" s="62">
        <f ca="1">AVERAGE(OFFSET($CX$3,0,0,'Données projet'!$E$13+1,1))-AVERAGE(OFFSET($H$3,0,0,'Données projet'!$E$13+1,1))</f>
        <v>486.63673936259465</v>
      </c>
      <c r="CZ27" s="62">
        <f t="shared" si="42"/>
        <v>306.61893266146666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419</v>
      </c>
      <c r="L28" s="13">
        <f>VLOOKUP(A28,'Données projet'!$A$35:$I$55,9,0)</f>
        <v>31.8</v>
      </c>
      <c r="M28" s="13">
        <f t="array" ref="M28">INDEX(L:L,MIN(IF(ISNUMBER(L28:L224),ROW(L28:L224),"")))</f>
        <v>31.8</v>
      </c>
      <c r="N28" s="14">
        <f>IF('Données projet'!$A$36&gt;35,N27+M28-V27,IF(A28&lt;'Données projet'!$A$36,$K$205^A28,IF(A28='Données projet'!$A$36,'Données projet'!$B$36,N27+M28-V27)))</f>
        <v>419</v>
      </c>
      <c r="O28" s="14">
        <f>N28*VLOOKUP('Données projet'!$B$9,Paramètres!$A$1:$I$89,3,0)*VLOOKUP('Données projet'!$B$9,Paramètres!$A$1:$I$89,5,0)</f>
        <v>234.221</v>
      </c>
      <c r="P28" s="14">
        <f t="shared" si="33"/>
        <v>57.194392182630075</v>
      </c>
      <c r="Q28" s="22">
        <f t="shared" si="2"/>
        <v>507.54847471808063</v>
      </c>
      <c r="R28" s="62">
        <f t="shared" si="0"/>
        <v>794.77069694030286</v>
      </c>
      <c r="S28" s="62">
        <f ca="1">AVERAGE(OFFSET($R$3,0,0,'Données projet'!$E$9+1,1))-AVERAGE(OFFSET($H$3,0,0,'Données projet'!$E$9+1,1))</f>
        <v>555.15881087162279</v>
      </c>
      <c r="T28" s="62">
        <f t="shared" si="34"/>
        <v>668.20427590250733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60</v>
      </c>
      <c r="W28" s="17">
        <f>IF(ISNA(VLOOKUP(A28,'Données projet'!$A$35:$I$55,5,0)),0%,VLOOKUP(A28,'Données projet'!$A$35:$I$55,5,0)*VLOOKUP('Données projet'!$B$9,Paramètres!$A$1:$I$89,7,0))</f>
        <v>0.22000000000000003</v>
      </c>
      <c r="X28" s="17">
        <f>IF(ISNA(VLOOKUP(A28,'Données projet'!$A$35:$I$55,6,0)),0%,VLOOKUP(A28,'Données projet'!$A$35:$I$55,6,0)*VLOOKUP('Données projet'!$B$9,Paramètres!$A$1:$I$89,7,0))</f>
        <v>0.16500000000000001</v>
      </c>
      <c r="Y28" s="17">
        <f>IF(ISNA(VLOOKUP(A28,'Données projet'!$A$35:$I$55,7,0)),0%,VLOOKUP(A28,'Données projet'!$A$35:$I$55,7,0))</f>
        <v>0.3</v>
      </c>
      <c r="Z28" s="23">
        <f>EXP(-LN(2)/35)*Z27+(1-EXP(-LN(2)/35))/(LN(2)/35)*V28*W28*VLOOKUP('Données projet'!$B$9,Paramètres!$A$1:$I$89,3,0)*0.475*44/12</f>
        <v>11.376879939655986</v>
      </c>
      <c r="AA28" s="23">
        <f>EXP(-LN(2)/25)*AA27+(1-EXP(-LN(2)/25))/(LN(2)/25)*Calculateur!V28*Calculateur!X28*VLOOKUP('Données projet'!$B$9,Paramètres!$A$1:$I$89,3,0)*0.475*44/12</f>
        <v>13.395352438062627</v>
      </c>
      <c r="AB28" s="23">
        <f>EXP(-LN(2)/2)*AB27+(1-EXP(-LN(2)/2))/(LN(2)/2)*V28*Y28*VLOOKUP('Données projet'!$B$9,Paramètres!$A$1:$I$89,3,0)*0.475*44/12</f>
        <v>13.798051601340966</v>
      </c>
      <c r="AC28" s="24">
        <f t="shared" si="3"/>
        <v>38.570283979059582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15.142857142857142</v>
      </c>
      <c r="AI28" s="14">
        <f>IF('Données projet'!$A$62&gt;35,AI27+AH28-AQ27,IF(A28&lt;'Données projet'!$A$62,$AF$205^A28,IF(A28='Données projet'!$A$62,'Données projet'!$B$62,AI27+AH28-AQ27)))</f>
        <v>193.28571428571431</v>
      </c>
      <c r="AJ28" s="14">
        <f>AI28*VLOOKUP('Données projet'!$B$10,Paramètres!$A$1:$I$89,3,0)*VLOOKUP('Données projet'!$B$10,Paramètres!$A$1:$I$89,5,0)</f>
        <v>115.58485714285716</v>
      </c>
      <c r="AK28" s="14">
        <f t="shared" si="35"/>
        <v>30.643003864758004</v>
      </c>
      <c r="AL28" s="22">
        <f t="shared" si="4"/>
        <v>254.68019125492972</v>
      </c>
      <c r="AM28" s="62">
        <f t="shared" si="5"/>
        <v>541.90241347715198</v>
      </c>
      <c r="AN28" s="62">
        <f ca="1">AVERAGE(OFFSET($AM$3,0,0,'Données projet'!$E$10+1,1))-AVERAGE(OFFSET($H$3,0,0,'Données projet'!$E$10+1,1))</f>
        <v>195.80903373714432</v>
      </c>
      <c r="AO28" s="62">
        <f t="shared" si="36"/>
        <v>388.30721786668977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12.02868135454999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10.89356014207879</v>
      </c>
      <c r="AX28" s="23">
        <f t="shared" si="6"/>
        <v>22.922241496628779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214</v>
      </c>
      <c r="BB28" s="13">
        <f>VLOOKUP(A28,'Données projet'!$A$87:$I$107,9,0)</f>
        <v>10.4</v>
      </c>
      <c r="BC28" s="13">
        <f t="array" ref="BC28">INDEX(BB:BB,MIN(IF(ISNUMBER(BB28:BB224),ROW(BB28:BB224),"")))</f>
        <v>10.4</v>
      </c>
      <c r="BD28" s="13">
        <f>IF('Données projet'!$A$88&gt;35,BD27+BC28-BL27,IF(A28&lt;'Données projet'!$A$88,$BA$205^A28,IF(A28='Données projet'!$A$88,'Données projet'!$B$88,BD27+BC28-BL27)))</f>
        <v>214</v>
      </c>
      <c r="BE28" s="14">
        <f>BD28*VLOOKUP('Données projet'!$B$11,Paramètres!$A$1:$I$89,3,0)*VLOOKUP('Données projet'!$B$11,Paramètres!$A$1:$I$89,5,0)</f>
        <v>193.62719999999999</v>
      </c>
      <c r="BF28" s="14">
        <f t="shared" si="37"/>
        <v>48.340990547231193</v>
      </c>
      <c r="BG28" s="22">
        <f t="shared" si="7"/>
        <v>421.42793186976093</v>
      </c>
      <c r="BH28" s="62">
        <f t="shared" si="8"/>
        <v>708.65015409198315</v>
      </c>
      <c r="BI28" s="62">
        <f ca="1">AVERAGE(OFFSET($BH$3,0,0,'Données projet'!$E$11+1,1))-AVERAGE(OFFSET($H$3,0,0,'Données projet'!$E$11+1,1))</f>
        <v>366.86025470473652</v>
      </c>
      <c r="BJ28" s="62">
        <f t="shared" si="38"/>
        <v>513.80016421153414</v>
      </c>
      <c r="BK28" s="16">
        <f>IF(ISNA(VLOOKUP(A28,'Données projet'!$A$87:$I$107,3,0)),0,VLOOKUP(A28,'Données projet'!$A$87:$I$107,3,0))</f>
        <v>5</v>
      </c>
      <c r="BL28" s="16">
        <f>IF(ISNA(VLOOKUP(A28,'Données projet'!$A$87:$I$107,4,0)),0,VLOOKUP(A28,'Données projet'!$A$87:$I$107,4,0))</f>
        <v>14</v>
      </c>
      <c r="BM28" s="17">
        <f>IF(ISNA(VLOOKUP(A28,'Données projet'!$A$87:$I$107,5,0)),0%,VLOOKUP(A28,'Données projet'!$A$87:$I$107,5,0)*VLOOKUP('Données projet'!$B$11,Paramètres!$A$1:$I$89,7,0))</f>
        <v>0.24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8.4067187554388223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8.4067187554388223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103</v>
      </c>
      <c r="BW28" s="13">
        <f>VLOOKUP(A28,'Données projet'!$A$113:$I$133,9,0)</f>
        <v>7.2</v>
      </c>
      <c r="BX28" s="13">
        <f t="array" ref="BX28">INDEX(BW:BW,MIN(IF(ISNUMBER(BW28:BW224),ROW(BW28:BW224),"")))</f>
        <v>7.2</v>
      </c>
      <c r="BY28" s="13">
        <f>IF('Données projet'!$A$114&gt;35,BY27+BX28-CG27,IF(A28&lt;'Données projet'!$A$114,$BV$205^A28,IF(A28='Données projet'!$A$114,'Données projet'!$B$114,BY27+BX28-CG27)))</f>
        <v>103.00000000000001</v>
      </c>
      <c r="BZ28" s="14">
        <f>BY28*VLOOKUP('Données projet'!$B$12,Paramètres!$A$1:$I$89,3,0)*VLOOKUP('Données projet'!$B$12,Paramètres!$A$1:$I$89,5,0)</f>
        <v>93.194400000000002</v>
      </c>
      <c r="CA28" s="14">
        <f t="shared" si="39"/>
        <v>25.33406653691528</v>
      </c>
      <c r="CB28" s="22">
        <f t="shared" si="10"/>
        <v>206.43707921846078</v>
      </c>
      <c r="CC28" s="62">
        <f t="shared" si="11"/>
        <v>493.65930144068301</v>
      </c>
      <c r="CD28" s="62">
        <f ca="1">AVERAGE(OFFSET($CC$3,0,0,'Données projet'!$E$12+1,1))-AVERAGE(OFFSET($H$3,0,0,'Données projet'!$E$12+1,1))</f>
        <v>438.70522838726322</v>
      </c>
      <c r="CE28" s="62">
        <f t="shared" si="40"/>
        <v>278.21741231699929</v>
      </c>
      <c r="CF28" s="16">
        <f>IF(ISNA(VLOOKUP(A28,'Données projet'!$A$113:$I$133,3,0)),0,VLOOKUP(A28,'Données projet'!$A$113:$I$133,3,0))</f>
        <v>2</v>
      </c>
      <c r="CG28" s="16">
        <f>IF(ISNA(VLOOKUP(A28,'Données projet'!$A$113:$I$133,4,0)),0,VLOOKUP(A28,'Données projet'!$A$113:$I$133,4,0))</f>
        <v>28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103</v>
      </c>
      <c r="CR28" s="13">
        <f>VLOOKUP(A28,'Données projet'!$A$139:$I$159,9,0)</f>
        <v>7.2</v>
      </c>
      <c r="CS28" s="13">
        <f t="array" ref="CS28">INDEX(CR:CR,MIN(IF(ISNUMBER(CR28:CR224),ROW(CR28:CR224),"")))</f>
        <v>7.2</v>
      </c>
      <c r="CT28" s="13">
        <f>IF('Données projet'!$A$140&gt;35,CT27+CS28-DB27,IF(A28&lt;'Données projet'!$A$140,$CQ$205^A28,IF(A28='Données projet'!$A$140,'Données projet'!$B$140,CT27+CS28-DB27)))</f>
        <v>103.00000000000001</v>
      </c>
      <c r="CU28" s="18">
        <f>CT28*VLOOKUP('Données projet'!$B$13,Paramètres!$A$1:$I$89,3,0)*VLOOKUP('Données projet'!$B$13,Paramètres!$A$1:$I$89,5,0)</f>
        <v>104.44200000000004</v>
      </c>
      <c r="CV28" s="14">
        <f t="shared" si="41"/>
        <v>28.01755116176631</v>
      </c>
      <c r="CW28" s="22">
        <f t="shared" si="13"/>
        <v>230.70038494007636</v>
      </c>
      <c r="CX28" s="62">
        <f t="shared" si="14"/>
        <v>517.92260716229862</v>
      </c>
      <c r="CY28" s="62">
        <f ca="1">AVERAGE(OFFSET($CX$3,0,0,'Données projet'!$E$13+1,1))-AVERAGE(OFFSET($H$3,0,0,'Données projet'!$E$13+1,1))</f>
        <v>486.63673936259465</v>
      </c>
      <c r="CZ28" s="62">
        <f t="shared" si="42"/>
        <v>306.61893266146666</v>
      </c>
      <c r="DA28" s="16">
        <f>IF(ISNA(VLOOKUP(A28,'Données projet'!$A$139:$I$159,3,0)),0,VLOOKUP(A28,'Données projet'!$A$139:$I$159,3,0))</f>
        <v>2</v>
      </c>
      <c r="DB28" s="16">
        <f>IF(ISNA(VLOOKUP(A28,'Données projet'!$A$139:$I$159,4,0)),0,VLOOKUP(A28,'Données projet'!$A$139:$I$159,4,0))</f>
        <v>28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33</v>
      </c>
      <c r="N29" s="14">
        <f>IF('Données projet'!$A$36&gt;35,N28+M29-V28,IF(A29&lt;'Données projet'!$A$36,$K$205^A29,IF(A29='Données projet'!$A$36,'Données projet'!$B$36,N28+M29-V28)))</f>
        <v>392</v>
      </c>
      <c r="O29" s="14">
        <f>N29*VLOOKUP('Données projet'!$B$9,Paramètres!$A$1:$I$89,3,0)*VLOOKUP('Données projet'!$B$9,Paramètres!$A$1:$I$89,5,0)</f>
        <v>219.12800000000001</v>
      </c>
      <c r="P29" s="14">
        <f t="shared" si="33"/>
        <v>53.925317044064428</v>
      </c>
      <c r="Q29" s="22">
        <f t="shared" si="2"/>
        <v>475.56786051841215</v>
      </c>
      <c r="R29" s="62">
        <f t="shared" si="0"/>
        <v>764.01230496285666</v>
      </c>
      <c r="S29" s="62">
        <f ca="1">AVERAGE(OFFSET($R$3,0,0,'Données projet'!$E$9+1,1))-AVERAGE(OFFSET($H$3,0,0,'Données projet'!$E$9+1,1))</f>
        <v>555.15881087162279</v>
      </c>
      <c r="T29" s="62">
        <f t="shared" si="34"/>
        <v>668.20427590250733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11.153786263250904</v>
      </c>
      <c r="AA29" s="23">
        <f>EXP(-LN(2)/25)*AA28+(1-EXP(-LN(2)/25))/(LN(2)/25)*Calculateur!V29*Calculateur!X29*VLOOKUP('Données projet'!$B$9,Paramètres!$A$1:$I$89,3,0)*0.475*44/12</f>
        <v>13.029055821212836</v>
      </c>
      <c r="AB29" s="23">
        <f>EXP(-LN(2)/2)*AB28+(1-EXP(-LN(2)/2))/(LN(2)/2)*V29*Y29*VLOOKUP('Données projet'!$B$9,Paramètres!$A$1:$I$89,3,0)*0.475*44/12</f>
        <v>9.7566958544700988</v>
      </c>
      <c r="AC29" s="24">
        <f t="shared" si="3"/>
        <v>33.939537938933839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15.142857142857142</v>
      </c>
      <c r="AI29" s="14">
        <f>IF('Données projet'!$A$62&gt;35,AI28+AH29-AQ28,IF(A29&lt;'Données projet'!$A$62,$AF$205^A29,IF(A29='Données projet'!$A$62,'Données projet'!$B$62,AI28+AH29-AQ28)))</f>
        <v>208.42857142857144</v>
      </c>
      <c r="AJ29" s="14">
        <f>AI29*VLOOKUP('Données projet'!$B$10,Paramètres!$A$1:$I$89,3,0)*VLOOKUP('Données projet'!$B$10,Paramètres!$A$1:$I$89,5,0)</f>
        <v>124.64028571428574</v>
      </c>
      <c r="AK29" s="14">
        <f t="shared" si="35"/>
        <v>32.754868392894572</v>
      </c>
      <c r="AL29" s="22">
        <f t="shared" si="4"/>
        <v>274.129893403339</v>
      </c>
      <c r="AM29" s="62">
        <f t="shared" si="5"/>
        <v>562.57433784778345</v>
      </c>
      <c r="AN29" s="62">
        <f ca="1">AVERAGE(OFFSET($AM$3,0,0,'Données projet'!$E$10+1,1))-AVERAGE(OFFSET($H$3,0,0,'Données projet'!$E$10+1,1))</f>
        <v>195.80903373714432</v>
      </c>
      <c r="AO29" s="62">
        <f t="shared" si="36"/>
        <v>388.30721786668977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11.792806249958446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7.7029102477274032</v>
      </c>
      <c r="AX29" s="23">
        <f t="shared" si="6"/>
        <v>19.495716497685848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8.6</v>
      </c>
      <c r="BD29" s="13">
        <f>IF('Données projet'!$A$88&gt;35,BD28+BC29-BL28,IF(A29&lt;'Données projet'!$A$88,$BA$205^A29,IF(A29='Données projet'!$A$88,'Données projet'!$B$88,BD28+BC29-BL28)))</f>
        <v>208.6</v>
      </c>
      <c r="BE29" s="14">
        <f>BD29*VLOOKUP('Données projet'!$B$11,Paramètres!$A$1:$I$89,3,0)*VLOOKUP('Données projet'!$B$11,Paramètres!$A$1:$I$89,5,0)</f>
        <v>188.74127999999999</v>
      </c>
      <c r="BF29" s="14">
        <f t="shared" si="37"/>
        <v>47.261560168122358</v>
      </c>
      <c r="BG29" s="22">
        <f t="shared" si="7"/>
        <v>411.03827995947972</v>
      </c>
      <c r="BH29" s="62">
        <f t="shared" si="8"/>
        <v>699.48272440392418</v>
      </c>
      <c r="BI29" s="62">
        <f ca="1">AVERAGE(OFFSET($BH$3,0,0,'Données projet'!$E$11+1,1))-AVERAGE(OFFSET($H$3,0,0,'Données projet'!$E$11+1,1))</f>
        <v>366.86025470473652</v>
      </c>
      <c r="BJ29" s="62">
        <f t="shared" si="38"/>
        <v>513.80016421153414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8.2418681282368009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8.2418681282368009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9.1999999999999993</v>
      </c>
      <c r="BY29" s="13">
        <f>IF('Données projet'!$A$114&gt;35,BY28+BX29-CG28,IF(A29&lt;'Données projet'!$A$114,$BV$205^A29,IF(A29='Données projet'!$A$114,'Données projet'!$B$114,BY28+BX29-CG28)))</f>
        <v>84.200000000000017</v>
      </c>
      <c r="BZ29" s="14">
        <f>BY29*VLOOKUP('Données projet'!$B$12,Paramètres!$A$1:$I$89,3,0)*VLOOKUP('Données projet'!$B$12,Paramètres!$A$1:$I$89,5,0)</f>
        <v>76.184160000000006</v>
      </c>
      <c r="CA29" s="14">
        <f t="shared" si="39"/>
        <v>21.201554232857223</v>
      </c>
      <c r="CB29" s="22">
        <f t="shared" si="10"/>
        <v>169.613452288893</v>
      </c>
      <c r="CC29" s="62">
        <f t="shared" si="11"/>
        <v>458.05789673333743</v>
      </c>
      <c r="CD29" s="62">
        <f ca="1">AVERAGE(OFFSET($CC$3,0,0,'Données projet'!$E$12+1,1))-AVERAGE(OFFSET($H$3,0,0,'Données projet'!$E$12+1,1))</f>
        <v>438.70522838726322</v>
      </c>
      <c r="CE29" s="62">
        <f t="shared" si="40"/>
        <v>278.21741231699929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9.1999999999999993</v>
      </c>
      <c r="CT29" s="13">
        <f>IF('Données projet'!$A$140&gt;35,CT28+CS29-DB28,IF(A29&lt;'Données projet'!$A$140,$CQ$205^A29,IF(A29='Données projet'!$A$140,'Données projet'!$B$140,CT28+CS29-DB28)))</f>
        <v>84.200000000000017</v>
      </c>
      <c r="CU29" s="18">
        <f>CT29*VLOOKUP('Données projet'!$B$13,Paramètres!$A$1:$I$89,3,0)*VLOOKUP('Données projet'!$B$13,Paramètres!$A$1:$I$89,5,0)</f>
        <v>85.378800000000027</v>
      </c>
      <c r="CV29" s="14">
        <f t="shared" si="41"/>
        <v>23.447306793896516</v>
      </c>
      <c r="CW29" s="22">
        <f t="shared" si="13"/>
        <v>189.53880266603645</v>
      </c>
      <c r="CX29" s="62">
        <f t="shared" si="14"/>
        <v>477.98324711048087</v>
      </c>
      <c r="CY29" s="62">
        <f ca="1">AVERAGE(OFFSET($CX$3,0,0,'Données projet'!$E$13+1,1))-AVERAGE(OFFSET($H$3,0,0,'Données projet'!$E$13+1,1))</f>
        <v>486.63673936259465</v>
      </c>
      <c r="CZ29" s="62">
        <f t="shared" si="42"/>
        <v>306.61893266146666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33</v>
      </c>
      <c r="N30" s="14">
        <f>IF('Données projet'!$A$36&gt;35,N29+M30-V29,IF(A30&lt;'Données projet'!$A$36,$K$205^A30,IF(A30='Données projet'!$A$36,'Données projet'!$B$36,N29+M30-V29)))</f>
        <v>425</v>
      </c>
      <c r="O30" s="14">
        <f>N30*VLOOKUP('Données projet'!$B$9,Paramètres!$A$1:$I$89,3,0)*VLOOKUP('Données projet'!$B$9,Paramètres!$A$1:$I$89,5,0)</f>
        <v>237.57500000000002</v>
      </c>
      <c r="P30" s="14">
        <f t="shared" si="33"/>
        <v>57.917471937261162</v>
      </c>
      <c r="Q30" s="22">
        <f t="shared" si="2"/>
        <v>514.64938862406325</v>
      </c>
      <c r="R30" s="62">
        <f t="shared" si="0"/>
        <v>804.31605529072999</v>
      </c>
      <c r="S30" s="62">
        <f ca="1">AVERAGE(OFFSET($R$3,0,0,'Données projet'!$E$9+1,1))-AVERAGE(OFFSET($H$3,0,0,'Données projet'!$E$9+1,1))</f>
        <v>555.15881087162279</v>
      </c>
      <c r="T30" s="62">
        <f t="shared" si="34"/>
        <v>668.20427590250733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10.935067317766419</v>
      </c>
      <c r="AA30" s="23">
        <f>EXP(-LN(2)/25)*AA29+(1-EXP(-LN(2)/25))/(LN(2)/25)*Calculateur!V30*Calculateur!X30*VLOOKUP('Données projet'!$B$9,Paramètres!$A$1:$I$89,3,0)*0.475*44/12</f>
        <v>12.672775604613504</v>
      </c>
      <c r="AB30" s="23">
        <f>EXP(-LN(2)/2)*AB29+(1-EXP(-LN(2)/2))/(LN(2)/2)*V30*Y30*VLOOKUP('Données projet'!$B$9,Paramètres!$A$1:$I$89,3,0)*0.475*44/12</f>
        <v>6.8990258006704837</v>
      </c>
      <c r="AC30" s="24">
        <f t="shared" si="3"/>
        <v>30.506868723050406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15.142857142857142</v>
      </c>
      <c r="AI30" s="14">
        <f>IF('Données projet'!$A$62&gt;35,AI29+AH30-AQ29,IF(A30&lt;'Données projet'!$A$62,$AF$205^A30,IF(A30='Données projet'!$A$62,'Données projet'!$B$62,AI29+AH30-AQ29)))</f>
        <v>223.57142857142858</v>
      </c>
      <c r="AJ30" s="14">
        <f>AI30*VLOOKUP('Données projet'!$B$10,Paramètres!$A$1:$I$89,3,0)*VLOOKUP('Données projet'!$B$10,Paramètres!$A$1:$I$89,5,0)</f>
        <v>133.6957142857143</v>
      </c>
      <c r="AK30" s="14">
        <f t="shared" si="35"/>
        <v>34.848932189999701</v>
      </c>
      <c r="AL30" s="22">
        <f t="shared" si="4"/>
        <v>293.54859261186851</v>
      </c>
      <c r="AM30" s="62">
        <f t="shared" si="5"/>
        <v>583.2152592785352</v>
      </c>
      <c r="AN30" s="62">
        <f ca="1">AVERAGE(OFFSET($AM$3,0,0,'Données projet'!$E$10+1,1))-AVERAGE(OFFSET($H$3,0,0,'Données projet'!$E$10+1,1))</f>
        <v>195.80903373714432</v>
      </c>
      <c r="AO30" s="62">
        <f t="shared" si="36"/>
        <v>388.30721786668977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11.561556512298333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5.4467800710393961</v>
      </c>
      <c r="AX30" s="23">
        <f t="shared" si="6"/>
        <v>17.00833658333773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8.6</v>
      </c>
      <c r="BD30" s="13">
        <f>IF('Données projet'!$A$88&gt;35,BD29+BC30-BL29,IF(A30&lt;'Données projet'!$A$88,$BA$205^A30,IF(A30='Données projet'!$A$88,'Données projet'!$B$88,BD29+BC30-BL29)))</f>
        <v>217.2</v>
      </c>
      <c r="BE30" s="14">
        <f>BD30*VLOOKUP('Données projet'!$B$11,Paramètres!$A$1:$I$89,3,0)*VLOOKUP('Données projet'!$B$11,Paramètres!$A$1:$I$89,5,0)</f>
        <v>196.52255999999997</v>
      </c>
      <c r="BF30" s="14">
        <f t="shared" si="37"/>
        <v>48.979153257338155</v>
      </c>
      <c r="BG30" s="22">
        <f t="shared" si="7"/>
        <v>427.58215058986383</v>
      </c>
      <c r="BH30" s="62">
        <f t="shared" si="8"/>
        <v>717.24881725653051</v>
      </c>
      <c r="BI30" s="62">
        <f ca="1">AVERAGE(OFFSET($BH$3,0,0,'Données projet'!$E$11+1,1))-AVERAGE(OFFSET($H$3,0,0,'Données projet'!$E$11+1,1))</f>
        <v>366.86025470473652</v>
      </c>
      <c r="BJ30" s="62">
        <f t="shared" si="38"/>
        <v>513.80016421153414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8.0802501212852569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8.0802501212852569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9.1999999999999993</v>
      </c>
      <c r="BY30" s="13">
        <f>IF('Données projet'!$A$114&gt;35,BY29+BX30-CG29,IF(A30&lt;'Données projet'!$A$114,$BV$205^A30,IF(A30='Données projet'!$A$114,'Données projet'!$B$114,BY29+BX30-CG29)))</f>
        <v>93.40000000000002</v>
      </c>
      <c r="BZ30" s="14">
        <f>BY30*VLOOKUP('Données projet'!$B$12,Paramètres!$A$1:$I$89,3,0)*VLOOKUP('Données projet'!$B$12,Paramètres!$A$1:$I$89,5,0)</f>
        <v>84.508320000000026</v>
      </c>
      <c r="CA30" s="14">
        <f t="shared" si="39"/>
        <v>23.235950088324714</v>
      </c>
      <c r="CB30" s="22">
        <f t="shared" si="10"/>
        <v>187.65460373716556</v>
      </c>
      <c r="CC30" s="62">
        <f t="shared" si="11"/>
        <v>477.32127040383227</v>
      </c>
      <c r="CD30" s="62">
        <f ca="1">AVERAGE(OFFSET($CC$3,0,0,'Données projet'!$E$12+1,1))-AVERAGE(OFFSET($H$3,0,0,'Données projet'!$E$12+1,1))</f>
        <v>438.70522838726322</v>
      </c>
      <c r="CE30" s="62">
        <f t="shared" si="40"/>
        <v>278.21741231699929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9.1999999999999993</v>
      </c>
      <c r="CT30" s="13">
        <f>IF('Données projet'!$A$140&gt;35,CT29+CS30-DB29,IF(A30&lt;'Données projet'!$A$140,$CQ$205^A30,IF(A30='Données projet'!$A$140,'Données projet'!$B$140,CT29+CS30-DB29)))</f>
        <v>93.40000000000002</v>
      </c>
      <c r="CU30" s="18">
        <f>CT30*VLOOKUP('Données projet'!$B$13,Paramètres!$A$1:$I$89,3,0)*VLOOKUP('Données projet'!$B$13,Paramètres!$A$1:$I$89,5,0)</f>
        <v>94.707600000000028</v>
      </c>
      <c r="CV30" s="14">
        <f t="shared" si="41"/>
        <v>25.697193912523566</v>
      </c>
      <c r="CW30" s="22">
        <f t="shared" si="13"/>
        <v>209.70501606431188</v>
      </c>
      <c r="CX30" s="62">
        <f t="shared" si="14"/>
        <v>499.37168273097859</v>
      </c>
      <c r="CY30" s="62">
        <f ca="1">AVERAGE(OFFSET($CX$3,0,0,'Données projet'!$E$13+1,1))-AVERAGE(OFFSET($H$3,0,0,'Données projet'!$E$13+1,1))</f>
        <v>486.63673936259465</v>
      </c>
      <c r="CZ30" s="62">
        <f t="shared" si="42"/>
        <v>306.61893266146666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33</v>
      </c>
      <c r="N31" s="14">
        <f>IF('Données projet'!$A$36&gt;35,N30+M31-V30,IF(A31&lt;'Données projet'!$A$36,$K$205^A31,IF(A31='Données projet'!$A$36,'Données projet'!$B$36,N30+M31-V30)))</f>
        <v>458</v>
      </c>
      <c r="O31" s="14">
        <f>N31*VLOOKUP('Données projet'!$B$9,Paramètres!$A$1:$I$89,3,0)*VLOOKUP('Données projet'!$B$9,Paramètres!$A$1:$I$89,5,0)</f>
        <v>256.02199999999999</v>
      </c>
      <c r="P31" s="14">
        <f t="shared" si="33"/>
        <v>61.873669712051253</v>
      </c>
      <c r="Q31" s="22">
        <f t="shared" si="2"/>
        <v>553.66829141515586</v>
      </c>
      <c r="R31" s="62">
        <f t="shared" si="0"/>
        <v>844.55718030404478</v>
      </c>
      <c r="S31" s="62">
        <f ca="1">AVERAGE(OFFSET($R$3,0,0,'Données projet'!$E$9+1,1))-AVERAGE(OFFSET($H$3,0,0,'Données projet'!$E$9+1,1))</f>
        <v>555.15881087162279</v>
      </c>
      <c r="T31" s="62">
        <f t="shared" si="34"/>
        <v>668.20427590250733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10.720637317397502</v>
      </c>
      <c r="AA31" s="23">
        <f>EXP(-LN(2)/25)*AA30+(1-EXP(-LN(2)/25))/(LN(2)/25)*Calculateur!V31*Calculateur!X31*VLOOKUP('Données projet'!$B$9,Paramètres!$A$1:$I$89,3,0)*0.475*44/12</f>
        <v>12.326237889273042</v>
      </c>
      <c r="AB31" s="23">
        <f>EXP(-LN(2)/2)*AB30+(1-EXP(-LN(2)/2))/(LN(2)/2)*V31*Y31*VLOOKUP('Données projet'!$B$9,Paramètres!$A$1:$I$89,3,0)*0.475*44/12</f>
        <v>4.8783479272350503</v>
      </c>
      <c r="AC31" s="24">
        <f t="shared" si="3"/>
        <v>27.925223133905593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15.142857142857142</v>
      </c>
      <c r="AI31" s="14">
        <f>IF('Données projet'!$A$62&gt;35,AI30+AH31-AQ30,IF(A31&lt;'Données projet'!$A$62,$AF$205^A31,IF(A31='Données projet'!$A$62,'Données projet'!$B$62,AI30+AH31-AQ30)))</f>
        <v>238.71428571428572</v>
      </c>
      <c r="AJ31" s="14">
        <f>AI31*VLOOKUP('Données projet'!$B$10,Paramètres!$A$1:$I$89,3,0)*VLOOKUP('Données projet'!$B$10,Paramètres!$A$1:$I$89,5,0)</f>
        <v>142.75114285714287</v>
      </c>
      <c r="AK31" s="14">
        <f t="shared" si="35"/>
        <v>36.926538099571019</v>
      </c>
      <c r="AL31" s="22">
        <f t="shared" si="4"/>
        <v>312.93862766627666</v>
      </c>
      <c r="AM31" s="62">
        <f t="shared" si="5"/>
        <v>603.82751655516552</v>
      </c>
      <c r="AN31" s="62">
        <f ca="1">AVERAGE(OFFSET($AM$3,0,0,'Données projet'!$E$10+1,1))-AVERAGE(OFFSET($H$3,0,0,'Données projet'!$E$10+1,1))</f>
        <v>195.80903373714432</v>
      </c>
      <c r="AO31" s="62">
        <f t="shared" si="36"/>
        <v>388.30721786668977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11.334841440945322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3.8514551238637025</v>
      </c>
      <c r="AX31" s="23">
        <f t="shared" si="6"/>
        <v>15.186296564809025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8.6</v>
      </c>
      <c r="BD31" s="13">
        <f>IF('Données projet'!$A$88&gt;35,BD30+BC31-BL30,IF(A31&lt;'Données projet'!$A$88,$BA$205^A31,IF(A31='Données projet'!$A$88,'Données projet'!$B$88,BD30+BC31-BL30)))</f>
        <v>225.79999999999998</v>
      </c>
      <c r="BE31" s="14">
        <f>BD31*VLOOKUP('Données projet'!$B$11,Paramètres!$A$1:$I$89,3,0)*VLOOKUP('Données projet'!$B$11,Paramètres!$A$1:$I$89,5,0)</f>
        <v>204.30383999999995</v>
      </c>
      <c r="BF31" s="14">
        <f t="shared" si="37"/>
        <v>50.688846269088558</v>
      </c>
      <c r="BG31" s="22">
        <f t="shared" si="7"/>
        <v>444.11226191866245</v>
      </c>
      <c r="BH31" s="62">
        <f t="shared" si="8"/>
        <v>735.00115080755131</v>
      </c>
      <c r="BI31" s="62">
        <f ca="1">AVERAGE(OFFSET($BH$3,0,0,'Données projet'!$E$11+1,1))-AVERAGE(OFFSET($H$3,0,0,'Données projet'!$E$11+1,1))</f>
        <v>366.86025470473652</v>
      </c>
      <c r="BJ31" s="62">
        <f t="shared" si="38"/>
        <v>513.80016421153414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7.9218013448727813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7.9218013448727813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9.1999999999999993</v>
      </c>
      <c r="BY31" s="13">
        <f>IF('Données projet'!$A$114&gt;35,BY30+BX31-CG30,IF(A31&lt;'Données projet'!$A$114,$BV$205^A31,IF(A31='Données projet'!$A$114,'Données projet'!$B$114,BY30+BX31-CG30)))</f>
        <v>102.60000000000002</v>
      </c>
      <c r="BZ31" s="14">
        <f>BY31*VLOOKUP('Données projet'!$B$12,Paramètres!$A$1:$I$89,3,0)*VLOOKUP('Données projet'!$B$12,Paramètres!$A$1:$I$89,5,0)</f>
        <v>92.832480000000018</v>
      </c>
      <c r="CA31" s="14">
        <f t="shared" si="39"/>
        <v>25.247114117480137</v>
      </c>
      <c r="CB31" s="22">
        <f t="shared" si="10"/>
        <v>205.65529308794461</v>
      </c>
      <c r="CC31" s="62">
        <f t="shared" si="11"/>
        <v>496.54418197683344</v>
      </c>
      <c r="CD31" s="62">
        <f ca="1">AVERAGE(OFFSET($CC$3,0,0,'Données projet'!$E$12+1,1))-AVERAGE(OFFSET($H$3,0,0,'Données projet'!$E$12+1,1))</f>
        <v>438.70522838726322</v>
      </c>
      <c r="CE31" s="62">
        <f t="shared" si="40"/>
        <v>278.21741231699929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9.1999999999999993</v>
      </c>
      <c r="CT31" s="13">
        <f>IF('Données projet'!$A$140&gt;35,CT30+CS31-DB30,IF(A31&lt;'Données projet'!$A$140,$CQ$205^A31,IF(A31='Données projet'!$A$140,'Données projet'!$B$140,CT30+CS31-DB30)))</f>
        <v>102.60000000000002</v>
      </c>
      <c r="CU31" s="18">
        <f>CT31*VLOOKUP('Données projet'!$B$13,Paramètres!$A$1:$I$89,3,0)*VLOOKUP('Données projet'!$B$13,Paramètres!$A$1:$I$89,5,0)</f>
        <v>104.03640000000003</v>
      </c>
      <c r="CV31" s="14">
        <f t="shared" si="41"/>
        <v>27.921388397820998</v>
      </c>
      <c r="CW31" s="22">
        <f t="shared" si="13"/>
        <v>229.82648145953826</v>
      </c>
      <c r="CX31" s="62">
        <f t="shared" si="14"/>
        <v>520.71537034842709</v>
      </c>
      <c r="CY31" s="62">
        <f ca="1">AVERAGE(OFFSET($CX$3,0,0,'Données projet'!$E$13+1,1))-AVERAGE(OFFSET($H$3,0,0,'Données projet'!$E$13+1,1))</f>
        <v>486.63673936259465</v>
      </c>
      <c r="CZ31" s="62">
        <f t="shared" si="42"/>
        <v>306.61893266146666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33</v>
      </c>
      <c r="N32" s="14">
        <f>IF('Données projet'!$A$36&gt;35,N31+M32-V31,IF(A32&lt;'Données projet'!$A$36,$K$205^A32,IF(A32='Données projet'!$A$36,'Données projet'!$B$36,N31+M32-V31)))</f>
        <v>491</v>
      </c>
      <c r="O32" s="14">
        <f>N32*VLOOKUP('Données projet'!$B$9,Paramètres!$A$1:$I$89,3,0)*VLOOKUP('Données projet'!$B$9,Paramètres!$A$1:$I$89,5,0)</f>
        <v>274.46899999999999</v>
      </c>
      <c r="P32" s="14">
        <f t="shared" si="33"/>
        <v>65.796795812732981</v>
      </c>
      <c r="Q32" s="22">
        <f t="shared" si="2"/>
        <v>592.62959437384313</v>
      </c>
      <c r="R32" s="62">
        <f t="shared" si="0"/>
        <v>884.74070548495433</v>
      </c>
      <c r="S32" s="62">
        <f ca="1">AVERAGE(OFFSET($R$3,0,0,'Données projet'!$E$9+1,1))-AVERAGE(OFFSET($H$3,0,0,'Données projet'!$E$9+1,1))</f>
        <v>555.15881087162279</v>
      </c>
      <c r="T32" s="62">
        <f t="shared" si="34"/>
        <v>668.20427590250733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10.510412158546433</v>
      </c>
      <c r="AA32" s="23">
        <f>EXP(-LN(2)/25)*AA31+(1-EXP(-LN(2)/25))/(LN(2)/25)*Calculateur!V32*Calculateur!X32*VLOOKUP('Données projet'!$B$9,Paramètres!$A$1:$I$89,3,0)*0.475*44/12</f>
        <v>11.989176265982191</v>
      </c>
      <c r="AB32" s="23">
        <f>EXP(-LN(2)/2)*AB31+(1-EXP(-LN(2)/2))/(LN(2)/2)*V32*Y32*VLOOKUP('Données projet'!$B$9,Paramètres!$A$1:$I$89,3,0)*0.475*44/12</f>
        <v>3.4495129003352427</v>
      </c>
      <c r="AC32" s="24">
        <f t="shared" si="3"/>
        <v>25.949101324863868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15.142857142857142</v>
      </c>
      <c r="AI32" s="14">
        <f>IF('Données projet'!$A$62&gt;35,AI31+AH32-AQ31,IF(A32&lt;'Données projet'!$A$62,$AF$205^A32,IF(A32='Données projet'!$A$62,'Données projet'!$B$62,AI31+AH32-AQ31)))</f>
        <v>253.85714285714286</v>
      </c>
      <c r="AJ32" s="14">
        <f>AI32*VLOOKUP('Données projet'!$B$10,Paramètres!$A$1:$I$89,3,0)*VLOOKUP('Données projet'!$B$10,Paramètres!$A$1:$I$89,5,0)</f>
        <v>151.80657142857146</v>
      </c>
      <c r="AK32" s="14">
        <f t="shared" si="35"/>
        <v>38.988848967460292</v>
      </c>
      <c r="AL32" s="22">
        <f t="shared" si="4"/>
        <v>332.30202385642195</v>
      </c>
      <c r="AM32" s="62">
        <f t="shared" si="5"/>
        <v>624.4131349675331</v>
      </c>
      <c r="AN32" s="62">
        <f ca="1">AVERAGE(OFFSET($AM$3,0,0,'Données projet'!$E$10+1,1))-AVERAGE(OFFSET($H$3,0,0,'Données projet'!$E$10+1,1))</f>
        <v>195.80903373714432</v>
      </c>
      <c r="AO32" s="62">
        <f t="shared" si="36"/>
        <v>388.30721786668977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11.112572113859004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2.7233900355196985</v>
      </c>
      <c r="AX32" s="23">
        <f t="shared" si="6"/>
        <v>13.835962149378702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8.6</v>
      </c>
      <c r="BD32" s="13">
        <f>IF('Données projet'!$A$88&gt;35,BD31+BC32-BL31,IF(A32&lt;'Données projet'!$A$88,$BA$205^A32,IF(A32='Données projet'!$A$88,'Données projet'!$B$88,BD31+BC32-BL31)))</f>
        <v>234.39999999999998</v>
      </c>
      <c r="BE32" s="14">
        <f>BD32*VLOOKUP('Données projet'!$B$11,Paramètres!$A$1:$I$89,3,0)*VLOOKUP('Données projet'!$B$11,Paramètres!$A$1:$I$89,5,0)</f>
        <v>212.08511999999996</v>
      </c>
      <c r="BF32" s="14">
        <f t="shared" si="37"/>
        <v>52.390974537063087</v>
      </c>
      <c r="BG32" s="22">
        <f t="shared" si="7"/>
        <v>460.62919798538474</v>
      </c>
      <c r="BH32" s="62">
        <f t="shared" si="8"/>
        <v>752.74030909649582</v>
      </c>
      <c r="BI32" s="62">
        <f ca="1">AVERAGE(OFFSET($BH$3,0,0,'Données projet'!$E$11+1,1))-AVERAGE(OFFSET($H$3,0,0,'Données projet'!$E$11+1,1))</f>
        <v>366.86025470473652</v>
      </c>
      <c r="BJ32" s="62">
        <f t="shared" si="38"/>
        <v>513.80016421153414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7.7664596523215437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7.7664596523215437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9.1999999999999993</v>
      </c>
      <c r="BY32" s="13">
        <f>IF('Données projet'!$A$114&gt;35,BY31+BX32-CG31,IF(A32&lt;'Données projet'!$A$114,$BV$205^A32,IF(A32='Données projet'!$A$114,'Données projet'!$B$114,BY31+BX32-CG31)))</f>
        <v>111.80000000000003</v>
      </c>
      <c r="BZ32" s="14">
        <f>BY32*VLOOKUP('Données projet'!$B$12,Paramètres!$A$1:$I$89,3,0)*VLOOKUP('Données projet'!$B$12,Paramètres!$A$1:$I$89,5,0)</f>
        <v>101.15664000000001</v>
      </c>
      <c r="CA32" s="14">
        <f t="shared" si="39"/>
        <v>27.237366379381644</v>
      </c>
      <c r="CB32" s="22">
        <f t="shared" si="10"/>
        <v>223.61956111075639</v>
      </c>
      <c r="CC32" s="62">
        <f t="shared" si="11"/>
        <v>515.73067222186751</v>
      </c>
      <c r="CD32" s="62">
        <f ca="1">AVERAGE(OFFSET($CC$3,0,0,'Données projet'!$E$12+1,1))-AVERAGE(OFFSET($H$3,0,0,'Données projet'!$E$12+1,1))</f>
        <v>438.70522838726322</v>
      </c>
      <c r="CE32" s="62">
        <f t="shared" si="40"/>
        <v>278.21741231699929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9.1999999999999993</v>
      </c>
      <c r="CT32" s="13">
        <f>IF('Données projet'!$A$140&gt;35,CT31+CS32-DB31,IF(A32&lt;'Données projet'!$A$140,$CQ$205^A32,IF(A32='Données projet'!$A$140,'Données projet'!$B$140,CT31+CS32-DB31)))</f>
        <v>111.80000000000003</v>
      </c>
      <c r="CU32" s="18">
        <f>CT32*VLOOKUP('Données projet'!$B$13,Paramètres!$A$1:$I$89,3,0)*VLOOKUP('Données projet'!$B$13,Paramètres!$A$1:$I$89,5,0)</f>
        <v>113.36520000000003</v>
      </c>
      <c r="CV32" s="14">
        <f t="shared" si="41"/>
        <v>30.122456058687614</v>
      </c>
      <c r="CW32" s="22">
        <f t="shared" si="13"/>
        <v>249.9076676355476</v>
      </c>
      <c r="CX32" s="62">
        <f t="shared" si="14"/>
        <v>542.01877874665877</v>
      </c>
      <c r="CY32" s="62">
        <f ca="1">AVERAGE(OFFSET($CX$3,0,0,'Données projet'!$E$13+1,1))-AVERAGE(OFFSET($H$3,0,0,'Données projet'!$E$13+1,1))</f>
        <v>486.63673936259465</v>
      </c>
      <c r="CZ32" s="62">
        <f t="shared" si="42"/>
        <v>306.61893266146666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524</v>
      </c>
      <c r="L33" s="13">
        <f>VLOOKUP(A33,'Données projet'!$A$35:$I$55,9,0)</f>
        <v>33</v>
      </c>
      <c r="M33" s="13">
        <f t="array" ref="M33">INDEX(L:L,MIN(IF(ISNUMBER(L33:L229),ROW(L33:L229),"")))</f>
        <v>33</v>
      </c>
      <c r="N33" s="14">
        <f>IF('Données projet'!$A$36&gt;35,N32+M33-V32,IF(A33&lt;'Données projet'!$A$36,$K$205^A33,IF(A33='Données projet'!$A$36,'Données projet'!$B$36,N32+M33-V32)))</f>
        <v>524</v>
      </c>
      <c r="O33" s="14">
        <f>N33*VLOOKUP('Données projet'!$B$9,Paramètres!$A$1:$I$89,3,0)*VLOOKUP('Données projet'!$B$9,Paramètres!$A$1:$I$89,5,0)</f>
        <v>292.916</v>
      </c>
      <c r="P33" s="14">
        <f t="shared" si="33"/>
        <v>69.68932587703776</v>
      </c>
      <c r="Q33" s="22">
        <f t="shared" si="2"/>
        <v>631.53760923584082</v>
      </c>
      <c r="R33" s="62">
        <f t="shared" si="0"/>
        <v>924.87094256917408</v>
      </c>
      <c r="S33" s="62">
        <f ca="1">AVERAGE(OFFSET($R$3,0,0,'Données projet'!$E$9+1,1))-AVERAGE(OFFSET($H$3,0,0,'Données projet'!$E$9+1,1))</f>
        <v>555.15881087162279</v>
      </c>
      <c r="T33" s="62">
        <f t="shared" si="34"/>
        <v>668.20427590250733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90</v>
      </c>
      <c r="W33" s="17">
        <f>IF(ISNA(VLOOKUP(A33,'Données projet'!$A$35:$I$55,5,0)),0%,VLOOKUP(A33,'Données projet'!$A$35:$I$55,5,0)*VLOOKUP('Données projet'!$B$9,Paramètres!$A$1:$I$89,7,0))</f>
        <v>0.27500000000000002</v>
      </c>
      <c r="X33" s="17">
        <f>IF(ISNA(VLOOKUP(A33,'Données projet'!$A$35:$I$55,6,0)),0%,VLOOKUP(A33,'Données projet'!$A$35:$I$55,6,0)*VLOOKUP('Données projet'!$B$9,Paramètres!$A$1:$I$89,7,0))</f>
        <v>0.16500000000000001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28.657660268955652</v>
      </c>
      <c r="AA33" s="23">
        <f>EXP(-LN(2)/25)*AA32+(1-EXP(-LN(2)/25))/(LN(2)/25)*Calculateur!V33*Calculateur!X33*VLOOKUP('Données projet'!$B$9,Paramètres!$A$1:$I$89,3,0)*0.475*44/12</f>
        <v>22.629983658418759</v>
      </c>
      <c r="AB33" s="23">
        <f>EXP(-LN(2)/2)*AB32+(1-EXP(-LN(2)/2))/(LN(2)/2)*V33*Y33*VLOOKUP('Données projet'!$B$9,Paramètres!$A$1:$I$89,3,0)*0.475*44/12</f>
        <v>13.831695341328825</v>
      </c>
      <c r="AC33" s="24">
        <f t="shared" si="3"/>
        <v>65.119339268703243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269</v>
      </c>
      <c r="AG33" s="13">
        <f>VLOOKUP(A33,'Données projet'!$A$61:$I$81,9,0)</f>
        <v>15.142857142857142</v>
      </c>
      <c r="AH33" s="13">
        <f t="array" ref="AH33">INDEX(AG:AG,MIN(IF(ISNUMBER(AG33:AG229),ROW(AG33:AG229),"")))</f>
        <v>15.142857142857142</v>
      </c>
      <c r="AI33" s="14">
        <f>IF('Données projet'!$A$62&gt;35,AI32+AH33-AQ32,IF(A33&lt;'Données projet'!$A$62,$AF$205^A33,IF(A33='Données projet'!$A$62,'Données projet'!$B$62,AI32+AH33-AQ32)))</f>
        <v>269</v>
      </c>
      <c r="AJ33" s="14">
        <f>AI33*VLOOKUP('Données projet'!$B$10,Paramètres!$A$1:$I$89,3,0)*VLOOKUP('Données projet'!$B$10,Paramètres!$A$1:$I$89,5,0)</f>
        <v>160.86200000000002</v>
      </c>
      <c r="AK33" s="14">
        <f t="shared" si="35"/>
        <v>41.03688107178359</v>
      </c>
      <c r="AL33" s="22">
        <f t="shared" si="4"/>
        <v>351.64055120002314</v>
      </c>
      <c r="AM33" s="62">
        <f t="shared" si="5"/>
        <v>644.97388453335645</v>
      </c>
      <c r="AN33" s="62">
        <f ca="1">AVERAGE(OFFSET($AM$3,0,0,'Données projet'!$E$10+1,1))-AVERAGE(OFFSET($H$3,0,0,'Données projet'!$E$10+1,1))</f>
        <v>195.80903373714432</v>
      </c>
      <c r="AO33" s="62">
        <f t="shared" si="36"/>
        <v>388.30721786668977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10.894661352705947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1.9257275619318515</v>
      </c>
      <c r="AX33" s="23">
        <f t="shared" si="6"/>
        <v>12.8203889146378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243</v>
      </c>
      <c r="BB33" s="13">
        <f>VLOOKUP(A33,'Données projet'!$A$87:$I$107,9,0)</f>
        <v>8.6</v>
      </c>
      <c r="BC33" s="13">
        <f t="array" ref="BC33">INDEX(BB:BB,MIN(IF(ISNUMBER(BB33:BB229),ROW(BB33:BB229),"")))</f>
        <v>8.6</v>
      </c>
      <c r="BD33" s="13">
        <f>IF('Données projet'!$A$88&gt;35,BD32+BC33-BL32,IF(A33&lt;'Données projet'!$A$88,$BA$205^A33,IF(A33='Données projet'!$A$88,'Données projet'!$B$88,BD32+BC33-BL32)))</f>
        <v>242.99999999999997</v>
      </c>
      <c r="BE33" s="14">
        <f>BD33*VLOOKUP('Données projet'!$B$11,Paramètres!$A$1:$I$89,3,0)*VLOOKUP('Données projet'!$B$11,Paramètres!$A$1:$I$89,5,0)</f>
        <v>219.86639999999997</v>
      </c>
      <c r="BF33" s="14">
        <f t="shared" si="37"/>
        <v>54.085847394182416</v>
      </c>
      <c r="BG33" s="22">
        <f t="shared" si="7"/>
        <v>477.13349754486762</v>
      </c>
      <c r="BH33" s="62">
        <f t="shared" si="8"/>
        <v>770.46683087820088</v>
      </c>
      <c r="BI33" s="62">
        <f ca="1">AVERAGE(OFFSET($BH$3,0,0,'Données projet'!$E$11+1,1))-AVERAGE(OFFSET($H$3,0,0,'Données projet'!$E$11+1,1))</f>
        <v>366.86025470473652</v>
      </c>
      <c r="BJ33" s="62">
        <f t="shared" si="38"/>
        <v>513.80016421153414</v>
      </c>
      <c r="BK33" s="16">
        <f>IF(ISNA(VLOOKUP(A33,'Données projet'!$A$87:$I$107,3,0)),0,VLOOKUP(A33,'Données projet'!$A$87:$I$107,3,0))</f>
        <v>6</v>
      </c>
      <c r="BL33" s="16">
        <f>IF(ISNA(VLOOKUP(A33,'Données projet'!$A$87:$I$107,4,0)),0,VLOOKUP(A33,'Données projet'!$A$87:$I$107,4,0))</f>
        <v>11</v>
      </c>
      <c r="BM33" s="17">
        <f>IF(ISNA(VLOOKUP(A33,'Données projet'!$A$87:$I$107,5,0)),0%,VLOOKUP(A33,'Données projet'!$A$87:$I$107,5,0)*VLOOKUP('Données projet'!$B$11,Paramètres!$A$1:$I$89,7,0))</f>
        <v>0.27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10.584846025834356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10.584846025834356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121</v>
      </c>
      <c r="BW33" s="13">
        <f>VLOOKUP(A33,'Données projet'!$A$113:$I$133,9,0)</f>
        <v>9.1999999999999993</v>
      </c>
      <c r="BX33" s="13">
        <f t="array" ref="BX33">INDEX(BW:BW,MIN(IF(ISNUMBER(BW33:BW229),ROW(BW33:BW229),"")))</f>
        <v>9.1999999999999993</v>
      </c>
      <c r="BY33" s="13">
        <f>IF('Données projet'!$A$114&gt;35,BY32+BX33-CG32,IF(A33&lt;'Données projet'!$A$114,$BV$205^A33,IF(A33='Données projet'!$A$114,'Données projet'!$B$114,BY32+BX33-CG32)))</f>
        <v>121.00000000000003</v>
      </c>
      <c r="BZ33" s="14">
        <f>BY33*VLOOKUP('Données projet'!$B$12,Paramètres!$A$1:$I$89,3,0)*VLOOKUP('Données projet'!$B$12,Paramètres!$A$1:$I$89,5,0)</f>
        <v>109.48080000000002</v>
      </c>
      <c r="CA33" s="14">
        <f t="shared" si="39"/>
        <v>29.208623339903898</v>
      </c>
      <c r="CB33" s="22">
        <f t="shared" si="10"/>
        <v>241.55074565033269</v>
      </c>
      <c r="CC33" s="62">
        <f t="shared" si="11"/>
        <v>534.88407898366597</v>
      </c>
      <c r="CD33" s="62">
        <f ca="1">AVERAGE(OFFSET($CC$3,0,0,'Données projet'!$E$12+1,1))-AVERAGE(OFFSET($H$3,0,0,'Données projet'!$E$12+1,1))</f>
        <v>438.70522838726322</v>
      </c>
      <c r="CE33" s="62">
        <f t="shared" si="40"/>
        <v>278.21741231699929</v>
      </c>
      <c r="CF33" s="16">
        <f>IF(ISNA(VLOOKUP(A33,'Données projet'!$A$113:$I$133,3,0)),0,VLOOKUP(A33,'Données projet'!$A$113:$I$133,3,0))</f>
        <v>3</v>
      </c>
      <c r="CG33" s="16">
        <f>IF(ISNA(VLOOKUP(A33,'Données projet'!$A$113:$I$133,4,0)),0,VLOOKUP(A33,'Données projet'!$A$113:$I$133,4,0))</f>
        <v>28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121</v>
      </c>
      <c r="CR33" s="13">
        <f>VLOOKUP(A33,'Données projet'!$A$139:$I$159,9,0)</f>
        <v>9.1999999999999993</v>
      </c>
      <c r="CS33" s="13">
        <f t="array" ref="CS33">INDEX(CR:CR,MIN(IF(ISNUMBER(CR33:CR229),ROW(CR33:CR229),"")))</f>
        <v>9.1999999999999993</v>
      </c>
      <c r="CT33" s="13">
        <f>IF('Données projet'!$A$140&gt;35,CT32+CS33-DB32,IF(A33&lt;'Données projet'!$A$140,$CQ$205^A33,IF(A33='Données projet'!$A$140,'Données projet'!$B$140,CT32+CS33-DB32)))</f>
        <v>121.00000000000003</v>
      </c>
      <c r="CU33" s="18">
        <f>CT33*VLOOKUP('Données projet'!$B$13,Paramètres!$A$1:$I$89,3,0)*VLOOKUP('Données projet'!$B$13,Paramètres!$A$1:$I$89,5,0)</f>
        <v>122.69400000000003</v>
      </c>
      <c r="CV33" s="14">
        <f t="shared" si="41"/>
        <v>32.302516360650685</v>
      </c>
      <c r="CW33" s="22">
        <f t="shared" si="13"/>
        <v>269.95226599480003</v>
      </c>
      <c r="CX33" s="62">
        <f t="shared" si="14"/>
        <v>563.28559932813334</v>
      </c>
      <c r="CY33" s="62">
        <f ca="1">AVERAGE(OFFSET($CX$3,0,0,'Données projet'!$E$13+1,1))-AVERAGE(OFFSET($H$3,0,0,'Données projet'!$E$13+1,1))</f>
        <v>486.63673936259465</v>
      </c>
      <c r="CZ33" s="62">
        <f t="shared" si="42"/>
        <v>306.61893266146666</v>
      </c>
      <c r="DA33" s="16">
        <f>IF(ISNA(VLOOKUP(A33,'Données projet'!$A$139:$I$159,3,0)),0,VLOOKUP(A33,'Données projet'!$A$139:$I$159,3,0))</f>
        <v>3</v>
      </c>
      <c r="DB33" s="16">
        <f>IF(ISNA(VLOOKUP(A33,'Données projet'!$A$139:$I$159,4,0)),0,VLOOKUP(A33,'Données projet'!$A$139:$I$159,4,0))</f>
        <v>28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28.4</v>
      </c>
      <c r="N34" s="14">
        <f>IF('Données projet'!$A$36&gt;35,N33+M34-V33,IF(A34&lt;'Données projet'!$A$36,$K$205^A34,IF(A34='Données projet'!$A$36,'Données projet'!$B$36,N33+M34-V33)))</f>
        <v>462.4</v>
      </c>
      <c r="O34" s="14">
        <f>N34*VLOOKUP('Données projet'!$B$9,Paramètres!$A$1:$I$89,3,0)*VLOOKUP('Données projet'!$B$9,Paramètres!$A$1:$I$89,5,0)</f>
        <v>258.48160000000001</v>
      </c>
      <c r="P34" s="14">
        <f t="shared" si="33"/>
        <v>62.398606187610767</v>
      </c>
      <c r="Q34" s="22">
        <f t="shared" si="2"/>
        <v>558.86635911008875</v>
      </c>
      <c r="R34" s="62">
        <f t="shared" si="0"/>
        <v>852.19969244342201</v>
      </c>
      <c r="S34" s="62">
        <f ca="1">AVERAGE(OFFSET($R$3,0,0,'Données projet'!$E$9+1,1))-AVERAGE(OFFSET($H$3,0,0,'Données projet'!$E$9+1,1))</f>
        <v>555.15881087162279</v>
      </c>
      <c r="T34" s="62">
        <f t="shared" si="34"/>
        <v>668.20427590250733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28.095701030528243</v>
      </c>
      <c r="AA34" s="23">
        <f>EXP(-LN(2)/25)*AA33+(1-EXP(-LN(2)/25))/(LN(2)/25)*Calculateur!V34*Calculateur!X34*VLOOKUP('Données projet'!$B$9,Paramètres!$A$1:$I$89,3,0)*0.475*44/12</f>
        <v>22.011165565220178</v>
      </c>
      <c r="AB34" s="23">
        <f>EXP(-LN(2)/2)*AB33+(1-EXP(-LN(2)/2))/(LN(2)/2)*V34*Y34*VLOOKUP('Données projet'!$B$9,Paramètres!$A$1:$I$89,3,0)*0.475*44/12</f>
        <v>9.780485571159991</v>
      </c>
      <c r="AC34" s="24">
        <f t="shared" si="3"/>
        <v>59.887352166908414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14</v>
      </c>
      <c r="AI34" s="14">
        <f>IF('Données projet'!$A$62&gt;35,AI33+AH34-AQ33,IF(A34&lt;'Données projet'!$A$62,$AF$205^A34,IF(A34='Données projet'!$A$62,'Données projet'!$B$62,AI33+AH34-AQ33)))</f>
        <v>283</v>
      </c>
      <c r="AJ34" s="14">
        <f>AI34*VLOOKUP('Données projet'!$B$10,Paramètres!$A$1:$I$89,3,0)*VLOOKUP('Données projet'!$B$10,Paramètres!$A$1:$I$89,5,0)</f>
        <v>169.23400000000001</v>
      </c>
      <c r="AK34" s="14">
        <f t="shared" si="35"/>
        <v>42.918420001269354</v>
      </c>
      <c r="AL34" s="22">
        <f t="shared" si="4"/>
        <v>369.4987981688775</v>
      </c>
      <c r="AM34" s="62">
        <f t="shared" si="5"/>
        <v>662.83213150221081</v>
      </c>
      <c r="AN34" s="62">
        <f ca="1">AVERAGE(OFFSET($AM$3,0,0,'Données projet'!$E$10+1,1))-AVERAGE(OFFSET($H$3,0,0,'Données projet'!$E$10+1,1))</f>
        <v>195.80903373714432</v>
      </c>
      <c r="AO34" s="62">
        <f t="shared" si="36"/>
        <v>388.30721786668977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10.681023688666661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1.3616950177598495</v>
      </c>
      <c r="AX34" s="23">
        <f t="shared" si="6"/>
        <v>12.042718706426511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7</v>
      </c>
      <c r="BD34" s="13">
        <f>IF('Données projet'!$A$88&gt;35,BD33+BC34-BL33,IF(A34&lt;'Données projet'!$A$88,$BA$205^A34,IF(A34='Données projet'!$A$88,'Données projet'!$B$88,BD33+BC34-BL33)))</f>
        <v>238.99999999999997</v>
      </c>
      <c r="BE34" s="14">
        <f>BD34*VLOOKUP('Données projet'!$B$11,Paramètres!$A$1:$I$89,3,0)*VLOOKUP('Données projet'!$B$11,Paramètres!$A$1:$I$89,5,0)</f>
        <v>216.24719999999996</v>
      </c>
      <c r="BF34" s="14">
        <f t="shared" si="37"/>
        <v>53.298418226645332</v>
      </c>
      <c r="BG34" s="22">
        <f t="shared" si="7"/>
        <v>469.45861841140714</v>
      </c>
      <c r="BH34" s="62">
        <f t="shared" si="8"/>
        <v>762.79195174474046</v>
      </c>
      <c r="BI34" s="62">
        <f ca="1">AVERAGE(OFFSET($BH$3,0,0,'Données projet'!$E$11+1,1))-AVERAGE(OFFSET($H$3,0,0,'Données projet'!$E$11+1,1))</f>
        <v>366.86025470473652</v>
      </c>
      <c r="BJ34" s="62">
        <f t="shared" si="38"/>
        <v>513.80016421153414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10.377283651386332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10.377283651386332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10.8</v>
      </c>
      <c r="BY34" s="13">
        <f>IF('Données projet'!$A$114&gt;35,BY33+BX34-CG33,IF(A34&lt;'Données projet'!$A$114,$BV$205^A34,IF(A34='Données projet'!$A$114,'Données projet'!$B$114,BY33+BX34-CG33)))</f>
        <v>103.80000000000004</v>
      </c>
      <c r="BZ34" s="14">
        <f>BY34*VLOOKUP('Données projet'!$B$12,Paramètres!$A$1:$I$89,3,0)*VLOOKUP('Données projet'!$B$12,Paramètres!$A$1:$I$89,5,0)</f>
        <v>93.91824000000004</v>
      </c>
      <c r="CA34" s="14">
        <f t="shared" si="39"/>
        <v>25.507853654186022</v>
      </c>
      <c r="CB34" s="22">
        <f t="shared" si="10"/>
        <v>208.00044644770739</v>
      </c>
      <c r="CC34" s="62">
        <f t="shared" si="11"/>
        <v>501.33377978104068</v>
      </c>
      <c r="CD34" s="62">
        <f ca="1">AVERAGE(OFFSET($CC$3,0,0,'Données projet'!$E$12+1,1))-AVERAGE(OFFSET($H$3,0,0,'Données projet'!$E$12+1,1))</f>
        <v>438.70522838726322</v>
      </c>
      <c r="CE34" s="62">
        <f t="shared" si="40"/>
        <v>278.21741231699929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10.8</v>
      </c>
      <c r="CT34" s="13">
        <f>IF('Données projet'!$A$140&gt;35,CT33+CS34-DB33,IF(A34&lt;'Données projet'!$A$140,$CQ$205^A34,IF(A34='Données projet'!$A$140,'Données projet'!$B$140,CT33+CS34-DB33)))</f>
        <v>103.80000000000004</v>
      </c>
      <c r="CU34" s="18">
        <f>CT34*VLOOKUP('Données projet'!$B$13,Paramètres!$A$1:$I$89,3,0)*VLOOKUP('Données projet'!$B$13,Paramètres!$A$1:$I$89,5,0)</f>
        <v>105.25320000000005</v>
      </c>
      <c r="CV34" s="14">
        <f t="shared" si="41"/>
        <v>28.209746498519422</v>
      </c>
      <c r="CW34" s="22">
        <f t="shared" si="13"/>
        <v>232.44796515158808</v>
      </c>
      <c r="CX34" s="62">
        <f t="shared" si="14"/>
        <v>525.78129848492142</v>
      </c>
      <c r="CY34" s="62">
        <f ca="1">AVERAGE(OFFSET($CX$3,0,0,'Données projet'!$E$13+1,1))-AVERAGE(OFFSET($H$3,0,0,'Données projet'!$E$13+1,1))</f>
        <v>486.63673936259465</v>
      </c>
      <c r="CZ34" s="62">
        <f t="shared" si="42"/>
        <v>306.61893266146666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28.4</v>
      </c>
      <c r="N35" s="14">
        <f>IF('Données projet'!$A$36&gt;35,N34+M35-V34,IF(A35&lt;'Données projet'!$A$36,$K$205^A35,IF(A35='Données projet'!$A$36,'Données projet'!$B$36,N34+M35-V34)))</f>
        <v>490.79999999999995</v>
      </c>
      <c r="O35" s="14">
        <f>N35*VLOOKUP('Données projet'!$B$9,Paramètres!$A$1:$I$89,3,0)*VLOOKUP('Données projet'!$B$9,Paramètres!$A$1:$I$89,5,0)</f>
        <v>274.35719999999998</v>
      </c>
      <c r="P35" s="14">
        <f t="shared" si="33"/>
        <v>65.773113764972635</v>
      </c>
      <c r="Q35" s="22">
        <f t="shared" ref="Q35:Q66" si="53">(O35+P35)*0.475*44/12</f>
        <v>592.39362980732722</v>
      </c>
      <c r="R35" s="62">
        <f t="shared" si="0"/>
        <v>885.72696314066047</v>
      </c>
      <c r="S35" s="62">
        <f ca="1">AVERAGE(OFFSET($R$3,0,0,'Données projet'!$E$9+1,1))-AVERAGE(OFFSET($H$3,0,0,'Données projet'!$E$9+1,1))</f>
        <v>555.15881087162279</v>
      </c>
      <c r="T35" s="62">
        <f t="shared" si="34"/>
        <v>668.20427590250733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27.544761470005106</v>
      </c>
      <c r="AA35" s="23">
        <f>EXP(-LN(2)/25)*AA34+(1-EXP(-LN(2)/25))/(LN(2)/25)*Calculateur!V35*Calculateur!X35*VLOOKUP('Données projet'!$B$9,Paramètres!$A$1:$I$89,3,0)*0.475*44/12</f>
        <v>21.409269085322343</v>
      </c>
      <c r="AB35" s="23">
        <f>EXP(-LN(2)/2)*AB34+(1-EXP(-LN(2)/2))/(LN(2)/2)*V35*Y35*VLOOKUP('Données projet'!$B$9,Paramètres!$A$1:$I$89,3,0)*0.475*44/12</f>
        <v>6.9158476706644132</v>
      </c>
      <c r="AC35" s="24">
        <f t="shared" si="3"/>
        <v>55.869878225991862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14</v>
      </c>
      <c r="AI35" s="14">
        <f>IF('Données projet'!$A$62&gt;35,AI34+AH35-AQ34,IF(A35&lt;'Données projet'!$A$62,$AF$205^A35,IF(A35='Données projet'!$A$62,'Données projet'!$B$62,AI34+AH35-AQ34)))</f>
        <v>297</v>
      </c>
      <c r="AJ35" s="14">
        <f>AI35*VLOOKUP('Données projet'!$B$10,Paramètres!$A$1:$I$89,3,0)*VLOOKUP('Données projet'!$B$10,Paramètres!$A$1:$I$89,5,0)</f>
        <v>177.60600000000002</v>
      </c>
      <c r="AK35" s="14">
        <f t="shared" si="35"/>
        <v>44.789150937858665</v>
      </c>
      <c r="AL35" s="22">
        <f t="shared" si="4"/>
        <v>387.33822121677053</v>
      </c>
      <c r="AM35" s="62">
        <f t="shared" si="5"/>
        <v>680.67155455010379</v>
      </c>
      <c r="AN35" s="62">
        <f ca="1">AVERAGE(OFFSET($AM$3,0,0,'Données projet'!$E$10+1,1))-AVERAGE(OFFSET($H$3,0,0,'Données projet'!$E$10+1,1))</f>
        <v>195.80903373714432</v>
      </c>
      <c r="AO35" s="62">
        <f t="shared" si="36"/>
        <v>388.30721786668977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10.471575328913076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0.96286378096592584</v>
      </c>
      <c r="AX35" s="23">
        <f t="shared" si="6"/>
        <v>11.434439109879001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7</v>
      </c>
      <c r="BD35" s="13">
        <f>IF('Données projet'!$A$88&gt;35,BD34+BC35-BL34,IF(A35&lt;'Données projet'!$A$88,$BA$205^A35,IF(A35='Données projet'!$A$88,'Données projet'!$B$88,BD34+BC35-BL34)))</f>
        <v>245.99999999999997</v>
      </c>
      <c r="BE35" s="14">
        <f>BD35*VLOOKUP('Données projet'!$B$11,Paramètres!$A$1:$I$89,3,0)*VLOOKUP('Données projet'!$B$11,Paramètres!$A$1:$I$89,5,0)</f>
        <v>222.58079999999998</v>
      </c>
      <c r="BF35" s="14">
        <f t="shared" si="37"/>
        <v>54.675428546153199</v>
      </c>
      <c r="BG35" s="22">
        <f t="shared" si="7"/>
        <v>482.88793138455003</v>
      </c>
      <c r="BH35" s="62">
        <f t="shared" si="8"/>
        <v>776.22126471788329</v>
      </c>
      <c r="BI35" s="62">
        <f ca="1">AVERAGE(OFFSET($BH$3,0,0,'Données projet'!$E$11+1,1))-AVERAGE(OFFSET($H$3,0,0,'Données projet'!$E$11+1,1))</f>
        <v>366.86025470473652</v>
      </c>
      <c r="BJ35" s="62">
        <f t="shared" si="38"/>
        <v>513.80016421153414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10.173791448500685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10.173791448500685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10.8</v>
      </c>
      <c r="BY35" s="13">
        <f>IF('Données projet'!$A$114&gt;35,BY34+BX35-CG34,IF(A35&lt;'Données projet'!$A$114,$BV$205^A35,IF(A35='Données projet'!$A$114,'Données projet'!$B$114,BY34+BX35-CG34)))</f>
        <v>114.60000000000004</v>
      </c>
      <c r="BZ35" s="14">
        <f>BY35*VLOOKUP('Données projet'!$B$12,Paramètres!$A$1:$I$89,3,0)*VLOOKUP('Données projet'!$B$12,Paramètres!$A$1:$I$89,5,0)</f>
        <v>103.69008000000004</v>
      </c>
      <c r="CA35" s="14">
        <f t="shared" si="39"/>
        <v>27.83924565319537</v>
      </c>
      <c r="CB35" s="22">
        <f t="shared" si="10"/>
        <v>229.08024217931529</v>
      </c>
      <c r="CC35" s="62">
        <f t="shared" si="11"/>
        <v>522.41357551264855</v>
      </c>
      <c r="CD35" s="62">
        <f ca="1">AVERAGE(OFFSET($CC$3,0,0,'Données projet'!$E$12+1,1))-AVERAGE(OFFSET($H$3,0,0,'Données projet'!$E$12+1,1))</f>
        <v>438.70522838726322</v>
      </c>
      <c r="CE35" s="62">
        <f t="shared" si="40"/>
        <v>278.21741231699929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10.8</v>
      </c>
      <c r="CT35" s="13">
        <f>IF('Données projet'!$A$140&gt;35,CT34+CS35-DB34,IF(A35&lt;'Données projet'!$A$140,$CQ$205^A35,IF(A35='Données projet'!$A$140,'Données projet'!$B$140,CT34+CS35-DB34)))</f>
        <v>114.60000000000004</v>
      </c>
      <c r="CU35" s="18">
        <f>CT35*VLOOKUP('Données projet'!$B$13,Paramètres!$A$1:$I$89,3,0)*VLOOKUP('Données projet'!$B$13,Paramètres!$A$1:$I$89,5,0)</f>
        <v>116.20440000000004</v>
      </c>
      <c r="CV35" s="14">
        <f t="shared" si="41"/>
        <v>30.788088768016376</v>
      </c>
      <c r="CW35" s="22">
        <f t="shared" si="13"/>
        <v>256.01191793762854</v>
      </c>
      <c r="CX35" s="62">
        <f t="shared" si="14"/>
        <v>549.34525127096185</v>
      </c>
      <c r="CY35" s="62">
        <f ca="1">AVERAGE(OFFSET($CX$3,0,0,'Données projet'!$E$13+1,1))-AVERAGE(OFFSET($H$3,0,0,'Données projet'!$E$13+1,1))</f>
        <v>486.63673936259465</v>
      </c>
      <c r="CZ35" s="62">
        <f t="shared" si="42"/>
        <v>306.61893266146666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28.4</v>
      </c>
      <c r="N36" s="14">
        <f>IF('Données projet'!$A$36&gt;35,N35+M36-V35,IF(A36&lt;'Données projet'!$A$36,$K$205^A36,IF(A36='Données projet'!$A$36,'Données projet'!$B$36,N35+M36-V35)))</f>
        <v>519.19999999999993</v>
      </c>
      <c r="O36" s="14">
        <f>N36*VLOOKUP('Données projet'!$B$9,Paramètres!$A$1:$I$89,3,0)*VLOOKUP('Données projet'!$B$9,Paramètres!$A$1:$I$89,5,0)</f>
        <v>290.2328</v>
      </c>
      <c r="P36" s="14">
        <f t="shared" si="33"/>
        <v>69.124955529636495</v>
      </c>
      <c r="Q36" s="22">
        <f t="shared" si="53"/>
        <v>625.88142421411692</v>
      </c>
      <c r="R36" s="62">
        <f t="shared" si="0"/>
        <v>919.21475754745029</v>
      </c>
      <c r="S36" s="62">
        <f ca="1">AVERAGE(OFFSET($R$3,0,0,'Données projet'!$E$9+1,1))-AVERAGE(OFFSET($H$3,0,0,'Données projet'!$E$9+1,1))</f>
        <v>555.15881087162279</v>
      </c>
      <c r="T36" s="62">
        <f t="shared" si="34"/>
        <v>668.20427590250733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27.004625498223877</v>
      </c>
      <c r="AA36" s="23">
        <f>EXP(-LN(2)/25)*AA35+(1-EXP(-LN(2)/25))/(LN(2)/25)*Calculateur!V36*Calculateur!X36*VLOOKUP('Données projet'!$B$9,Paramètres!$A$1:$I$89,3,0)*0.475*44/12</f>
        <v>20.823831496319674</v>
      </c>
      <c r="AB36" s="23">
        <f>EXP(-LN(2)/2)*AB35+(1-EXP(-LN(2)/2))/(LN(2)/2)*V36*Y36*VLOOKUP('Données projet'!$B$9,Paramètres!$A$1:$I$89,3,0)*0.475*44/12</f>
        <v>4.8902427855799964</v>
      </c>
      <c r="AC36" s="24">
        <f t="shared" si="3"/>
        <v>52.718699780123544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14</v>
      </c>
      <c r="AI36" s="14">
        <f>IF('Données projet'!$A$62&gt;35,AI35+AH36-AQ35,IF(A36&lt;'Données projet'!$A$62,$AF$205^A36,IF(A36='Données projet'!$A$62,'Données projet'!$B$62,AI35+AH36-AQ35)))</f>
        <v>311</v>
      </c>
      <c r="AJ36" s="14">
        <f>AI36*VLOOKUP('Données projet'!$B$10,Paramètres!$A$1:$I$89,3,0)*VLOOKUP('Données projet'!$B$10,Paramètres!$A$1:$I$89,5,0)</f>
        <v>185.97800000000001</v>
      </c>
      <c r="AK36" s="14">
        <f t="shared" si="35"/>
        <v>46.649641523668571</v>
      </c>
      <c r="AL36" s="22">
        <f t="shared" si="4"/>
        <v>405.15980898705612</v>
      </c>
      <c r="AM36" s="62">
        <f t="shared" si="5"/>
        <v>698.49314232038944</v>
      </c>
      <c r="AN36" s="62">
        <f ca="1">AVERAGE(OFFSET($AM$3,0,0,'Données projet'!$E$10+1,1))-AVERAGE(OFFSET($H$3,0,0,'Données projet'!$E$10+1,1))</f>
        <v>195.80903373714432</v>
      </c>
      <c r="AO36" s="62">
        <f t="shared" si="36"/>
        <v>388.30721786668977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10.266234123743374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0.68084750887992485</v>
      </c>
      <c r="AX36" s="23">
        <f t="shared" si="6"/>
        <v>10.947081632623298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7</v>
      </c>
      <c r="BD36" s="13">
        <f>IF('Données projet'!$A$88&gt;35,BD35+BC36-BL35,IF(A36&lt;'Données projet'!$A$88,$BA$205^A36,IF(A36='Données projet'!$A$88,'Données projet'!$B$88,BD35+BC36-BL35)))</f>
        <v>252.99999999999997</v>
      </c>
      <c r="BE36" s="14">
        <f>BD36*VLOOKUP('Données projet'!$B$11,Paramètres!$A$1:$I$89,3,0)*VLOOKUP('Données projet'!$B$11,Paramètres!$A$1:$I$89,5,0)</f>
        <v>228.91439999999997</v>
      </c>
      <c r="BF36" s="14">
        <f t="shared" si="37"/>
        <v>56.047884834417424</v>
      </c>
      <c r="BG36" s="22">
        <f t="shared" si="7"/>
        <v>496.30931275327697</v>
      </c>
      <c r="BH36" s="62">
        <f t="shared" si="8"/>
        <v>789.64264608661028</v>
      </c>
      <c r="BI36" s="62">
        <f ca="1">AVERAGE(OFFSET($BH$3,0,0,'Données projet'!$E$11+1,1))-AVERAGE(OFFSET($H$3,0,0,'Données projet'!$E$11+1,1))</f>
        <v>366.86025470473652</v>
      </c>
      <c r="BJ36" s="62">
        <f t="shared" si="38"/>
        <v>513.80016421153414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9.9742896035956381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9.9742896035956381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10.8</v>
      </c>
      <c r="BY36" s="13">
        <f>IF('Données projet'!$A$114&gt;35,BY35+BX36-CG35,IF(A36&lt;'Données projet'!$A$114,$BV$205^A36,IF(A36='Données projet'!$A$114,'Données projet'!$B$114,BY35+BX36-CG35)))</f>
        <v>125.40000000000003</v>
      </c>
      <c r="BZ36" s="14">
        <f>BY36*VLOOKUP('Données projet'!$B$12,Paramètres!$A$1:$I$89,3,0)*VLOOKUP('Données projet'!$B$12,Paramètres!$A$1:$I$89,5,0)</f>
        <v>113.46192000000002</v>
      </c>
      <c r="CA36" s="14">
        <f t="shared" si="39"/>
        <v>30.145163126535493</v>
      </c>
      <c r="CB36" s="22">
        <f t="shared" si="10"/>
        <v>250.11566977871598</v>
      </c>
      <c r="CC36" s="62">
        <f t="shared" si="11"/>
        <v>543.44900311204924</v>
      </c>
      <c r="CD36" s="62">
        <f ca="1">AVERAGE(OFFSET($CC$3,0,0,'Données projet'!$E$12+1,1))-AVERAGE(OFFSET($H$3,0,0,'Données projet'!$E$12+1,1))</f>
        <v>438.70522838726322</v>
      </c>
      <c r="CE36" s="62">
        <f t="shared" si="40"/>
        <v>278.21741231699929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10.8</v>
      </c>
      <c r="CT36" s="13">
        <f>IF('Données projet'!$A$140&gt;35,CT35+CS36-DB35,IF(A36&lt;'Données projet'!$A$140,$CQ$205^A36,IF(A36='Données projet'!$A$140,'Données projet'!$B$140,CT35+CS36-DB35)))</f>
        <v>125.40000000000003</v>
      </c>
      <c r="CU36" s="18">
        <f>CT36*VLOOKUP('Données projet'!$B$13,Paramètres!$A$1:$I$89,3,0)*VLOOKUP('Données projet'!$B$13,Paramètres!$A$1:$I$89,5,0)</f>
        <v>127.15560000000004</v>
      </c>
      <c r="CV36" s="14">
        <f t="shared" si="41"/>
        <v>33.338258149231912</v>
      </c>
      <c r="CW36" s="22">
        <f t="shared" si="13"/>
        <v>279.52680294324563</v>
      </c>
      <c r="CX36" s="62">
        <f t="shared" si="14"/>
        <v>572.86013627657894</v>
      </c>
      <c r="CY36" s="62">
        <f ca="1">AVERAGE(OFFSET($CX$3,0,0,'Données projet'!$E$13+1,1))-AVERAGE(OFFSET($H$3,0,0,'Données projet'!$E$13+1,1))</f>
        <v>486.63673936259465</v>
      </c>
      <c r="CZ36" s="62">
        <f t="shared" si="42"/>
        <v>306.61893266146666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28.4</v>
      </c>
      <c r="N37" s="14">
        <f>IF('Données projet'!$A$36&gt;35,N36+M37-V36,IF(A37&lt;'Données projet'!$A$36,$K$205^A37,IF(A37='Données projet'!$A$36,'Données projet'!$B$36,N36+M37-V36)))</f>
        <v>547.59999999999991</v>
      </c>
      <c r="O37" s="14">
        <f>N37*VLOOKUP('Données projet'!$B$9,Paramètres!$A$1:$I$89,3,0)*VLOOKUP('Données projet'!$B$9,Paramètres!$A$1:$I$89,5,0)</f>
        <v>306.10839999999996</v>
      </c>
      <c r="P37" s="14">
        <f t="shared" si="33"/>
        <v>72.455512621968097</v>
      </c>
      <c r="Q37" s="22">
        <f t="shared" si="53"/>
        <v>659.33214781659433</v>
      </c>
      <c r="R37" s="62">
        <f t="shared" si="0"/>
        <v>952.6654811499277</v>
      </c>
      <c r="S37" s="62">
        <f ca="1">AVERAGE(OFFSET($R$3,0,0,'Données projet'!$E$9+1,1))-AVERAGE(OFFSET($H$3,0,0,'Données projet'!$E$9+1,1))</f>
        <v>555.15881087162279</v>
      </c>
      <c r="T37" s="62">
        <f t="shared" si="34"/>
        <v>668.20427590250733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26.475081263398867</v>
      </c>
      <c r="AA37" s="23">
        <f>EXP(-LN(2)/25)*AA36+(1-EXP(-LN(2)/25))/(LN(2)/25)*Calculateur!V37*Calculateur!X37*VLOOKUP('Données projet'!$B$9,Paramètres!$A$1:$I$89,3,0)*0.475*44/12</f>
        <v>20.254402728975109</v>
      </c>
      <c r="AB37" s="23">
        <f>EXP(-LN(2)/2)*AB36+(1-EXP(-LN(2)/2))/(LN(2)/2)*V37*Y37*VLOOKUP('Données projet'!$B$9,Paramètres!$A$1:$I$89,3,0)*0.475*44/12</f>
        <v>3.4579238353322075</v>
      </c>
      <c r="AC37" s="24">
        <f t="shared" si="3"/>
        <v>50.187407827706181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>
        <f>VLOOKUP(A37,'Données projet'!$A$61:$I$81,2,0)</f>
        <v>325</v>
      </c>
      <c r="AG37" s="13">
        <f>VLOOKUP(A37,'Données projet'!$A$61:$I$81,9,0)</f>
        <v>14</v>
      </c>
      <c r="AH37" s="13">
        <f t="array" ref="AH37">INDEX(AG:AG,MIN(IF(ISNUMBER(AG37:AG233),ROW(AG37:AG233),"")))</f>
        <v>14</v>
      </c>
      <c r="AI37" s="14">
        <f>IF('Données projet'!$A$62&gt;35,AI36+AH37-AQ36,IF(A37&lt;'Données projet'!$A$62,$AF$205^A37,IF(A37='Données projet'!$A$62,'Données projet'!$B$62,AI36+AH37-AQ36)))</f>
        <v>325</v>
      </c>
      <c r="AJ37" s="14">
        <f>AI37*VLOOKUP('Données projet'!$B$10,Paramètres!$A$1:$I$89,3,0)*VLOOKUP('Données projet'!$B$10,Paramètres!$A$1:$I$89,5,0)</f>
        <v>194.35</v>
      </c>
      <c r="AK37" s="14">
        <f t="shared" si="35"/>
        <v>48.500405405690429</v>
      </c>
      <c r="AL37" s="22">
        <f t="shared" si="4"/>
        <v>422.96445608157745</v>
      </c>
      <c r="AM37" s="62">
        <f t="shared" si="5"/>
        <v>716.29778941491077</v>
      </c>
      <c r="AN37" s="62">
        <f ca="1">AVERAGE(OFFSET($AM$3,0,0,'Données projet'!$E$10+1,1))-AVERAGE(OFFSET($H$3,0,0,'Données projet'!$E$10+1,1))</f>
        <v>195.80903373714432</v>
      </c>
      <c r="AO37" s="62">
        <f t="shared" si="36"/>
        <v>388.30721786668977</v>
      </c>
      <c r="AP37" s="16">
        <f>IF(ISNA(VLOOKUP(A37,'Données projet'!$A$61:$I$81,3,0)),0,VLOOKUP(A37,'Données projet'!$A$61:$I$81,3,0))</f>
        <v>5</v>
      </c>
      <c r="AQ37" s="16">
        <f>IF(ISNA(VLOOKUP(A37,'Données projet'!$A$61:$I$81,4,0)),0,VLOOKUP(A37,'Données projet'!$A$61:$I$81,4,0))</f>
        <v>325</v>
      </c>
      <c r="AR37" s="17">
        <f>IF(ISNA(VLOOKUP(A37,'Données projet'!$A$61:$I$81,5,0)),0%,VLOOKUP(A37,'Données projet'!$A$61:$I$81,5,0)*VLOOKUP('Données projet'!$B$10,Paramètres!$A$1:$I$89,7,0))</f>
        <v>0.315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0.3</v>
      </c>
      <c r="AU37" s="23">
        <f>EXP(-LN(2)/35)*AU36+(1-EXP(-LN(2)/35))/(LN(2)/35)*AQ37*AR37*VLOOKUP('Données projet'!$B$10,Paramètres!$A$1:$I$89,3,0)*0.475*44/12</f>
        <v>91.277527137483801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66.496235997763563</v>
      </c>
      <c r="AX37" s="23">
        <f t="shared" si="6"/>
        <v>157.77376313524735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7</v>
      </c>
      <c r="BD37" s="13">
        <f>IF('Données projet'!$A$88&gt;35,BD36+BC37-BL36,IF(A37&lt;'Données projet'!$A$88,$BA$205^A37,IF(A37='Données projet'!$A$88,'Données projet'!$B$88,BD36+BC37-BL36)))</f>
        <v>260</v>
      </c>
      <c r="BE37" s="14">
        <f>BD37*VLOOKUP('Données projet'!$B$11,Paramètres!$A$1:$I$89,3,0)*VLOOKUP('Données projet'!$B$11,Paramètres!$A$1:$I$89,5,0)</f>
        <v>235.24799999999999</v>
      </c>
      <c r="BF37" s="14">
        <f t="shared" si="37"/>
        <v>57.41592756883739</v>
      </c>
      <c r="BG37" s="22">
        <f t="shared" si="7"/>
        <v>509.72300718239177</v>
      </c>
      <c r="BH37" s="62">
        <f t="shared" si="8"/>
        <v>803.05634051572508</v>
      </c>
      <c r="BI37" s="62">
        <f ca="1">AVERAGE(OFFSET($BH$3,0,0,'Données projet'!$E$11+1,1))-AVERAGE(OFFSET($H$3,0,0,'Données projet'!$E$11+1,1))</f>
        <v>366.86025470473652</v>
      </c>
      <c r="BJ37" s="62">
        <f t="shared" si="38"/>
        <v>513.80016421153414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9.7786998681850683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9.7786998681850683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10.8</v>
      </c>
      <c r="BY37" s="13">
        <f>IF('Données projet'!$A$114&gt;35,BY36+BX37-CG36,IF(A37&lt;'Données projet'!$A$114,$BV$205^A37,IF(A37='Données projet'!$A$114,'Données projet'!$B$114,BY36+BX37-CG36)))</f>
        <v>136.20000000000005</v>
      </c>
      <c r="BZ37" s="14">
        <f>BY37*VLOOKUP('Données projet'!$B$12,Paramètres!$A$1:$I$89,3,0)*VLOOKUP('Données projet'!$B$12,Paramètres!$A$1:$I$89,5,0)</f>
        <v>123.23376000000005</v>
      </c>
      <c r="CA37" s="14">
        <f t="shared" si="39"/>
        <v>32.428049504876491</v>
      </c>
      <c r="CB37" s="22">
        <f t="shared" si="10"/>
        <v>271.11098488765998</v>
      </c>
      <c r="CC37" s="62">
        <f t="shared" si="11"/>
        <v>564.4443182209933</v>
      </c>
      <c r="CD37" s="62">
        <f ca="1">AVERAGE(OFFSET($CC$3,0,0,'Données projet'!$E$12+1,1))-AVERAGE(OFFSET($H$3,0,0,'Données projet'!$E$12+1,1))</f>
        <v>438.70522838726322</v>
      </c>
      <c r="CE37" s="62">
        <f t="shared" si="40"/>
        <v>278.21741231699929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10.8</v>
      </c>
      <c r="CT37" s="13">
        <f>IF('Données projet'!$A$140&gt;35,CT36+CS37-DB36,IF(A37&lt;'Données projet'!$A$140,$CQ$205^A37,IF(A37='Données projet'!$A$140,'Données projet'!$B$140,CT36+CS37-DB36)))</f>
        <v>136.20000000000005</v>
      </c>
      <c r="CU37" s="18">
        <f>CT37*VLOOKUP('Données projet'!$B$13,Paramètres!$A$1:$I$89,3,0)*VLOOKUP('Données projet'!$B$13,Paramètres!$A$1:$I$89,5,0)</f>
        <v>138.10680000000005</v>
      </c>
      <c r="CV37" s="14">
        <f t="shared" si="41"/>
        <v>35.862956890686135</v>
      </c>
      <c r="CW37" s="22">
        <f t="shared" si="13"/>
        <v>302.99732658461176</v>
      </c>
      <c r="CX37" s="62">
        <f t="shared" si="14"/>
        <v>596.33065991794501</v>
      </c>
      <c r="CY37" s="62">
        <f ca="1">AVERAGE(OFFSET($CX$3,0,0,'Données projet'!$E$13+1,1))-AVERAGE(OFFSET($H$3,0,0,'Données projet'!$E$13+1,1))</f>
        <v>486.63673936259465</v>
      </c>
      <c r="CZ37" s="62">
        <f t="shared" si="42"/>
        <v>306.61893266146666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576</v>
      </c>
      <c r="L38" s="13">
        <f>VLOOKUP(A38,'Données projet'!$A$35:$I$55,9,0)</f>
        <v>28.4</v>
      </c>
      <c r="M38" s="13">
        <f t="array" ref="M38">INDEX(L:L,MIN(IF(ISNUMBER(L38:L234),ROW(L38:L234),"")))</f>
        <v>28.4</v>
      </c>
      <c r="N38" s="14">
        <f>IF('Données projet'!$A$36&gt;35,N37+M38-V37,IF(A38&lt;'Données projet'!$A$36,$K$205^A38,IF(A38='Données projet'!$A$36,'Données projet'!$B$36,N37+M38-V37)))</f>
        <v>575.99999999999989</v>
      </c>
      <c r="O38" s="14">
        <f>N38*VLOOKUP('Données projet'!$B$9,Paramètres!$A$1:$I$89,3,0)*VLOOKUP('Données projet'!$B$9,Paramètres!$A$1:$I$89,5,0)</f>
        <v>321.98399999999992</v>
      </c>
      <c r="P38" s="14">
        <f t="shared" si="33"/>
        <v>75.76601483154208</v>
      </c>
      <c r="Q38" s="22">
        <f t="shared" si="53"/>
        <v>692.74794249826891</v>
      </c>
      <c r="R38" s="62">
        <f t="shared" si="0"/>
        <v>986.08127583160217</v>
      </c>
      <c r="S38" s="62">
        <f ca="1">AVERAGE(OFFSET($R$3,0,0,'Données projet'!$E$9+1,1))-AVERAGE(OFFSET($H$3,0,0,'Données projet'!$E$9+1,1))</f>
        <v>555.15881087162279</v>
      </c>
      <c r="T38" s="62">
        <f t="shared" si="34"/>
        <v>668.20427590250733</v>
      </c>
      <c r="U38" s="16">
        <f>IF(ISNA(VLOOKUP(A38,'Données projet'!$A$35:$I$55,3,0)),0,VLOOKUP(A38,'Données projet'!$A$35:$I$55,3,0))</f>
        <v>5</v>
      </c>
      <c r="V38" s="16">
        <f>IF(ISNA(VLOOKUP(A38,'Données projet'!$A$35:$I$55,4,0)),0,VLOOKUP(A38,'Données projet'!$A$35:$I$55,4,0))</f>
        <v>72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25.955921068028683</v>
      </c>
      <c r="AA38" s="23">
        <f>EXP(-LN(2)/25)*AA37+(1-EXP(-LN(2)/25))/(LN(2)/25)*Calculateur!V38*Calculateur!X38*VLOOKUP('Données projet'!$B$9,Paramètres!$A$1:$I$89,3,0)*0.475*44/12</f>
        <v>19.700545021218538</v>
      </c>
      <c r="AB38" s="23">
        <f>EXP(-LN(2)/2)*AB37+(1-EXP(-LN(2)/2))/(LN(2)/2)*V38*Y38*VLOOKUP('Données projet'!$B$9,Paramètres!$A$1:$I$89,3,0)*0.475*44/12</f>
        <v>2.4451213927899986</v>
      </c>
      <c r="AC38" s="24">
        <f t="shared" si="3"/>
        <v>48.101587482037218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>
        <f>AI38*VLOOKUP('Données projet'!$B$10,Paramètres!$A$1:$I$89,3,0)*VLOOKUP('Données projet'!$B$10,Paramètres!$A$1:$I$89,5,0)</f>
        <v>0</v>
      </c>
      <c r="AK38" s="14" t="e">
        <f t="shared" si="35"/>
        <v>#NUM!</v>
      </c>
      <c r="AL38" s="22" t="e">
        <f t="shared" si="4"/>
        <v>#NUM!</v>
      </c>
      <c r="AM38" s="62" t="e">
        <f t="shared" si="5"/>
        <v>#NUM!</v>
      </c>
      <c r="AN38" s="62">
        <f ca="1">AVERAGE(OFFSET($AM$3,0,0,'Données projet'!$E$10+1,1))-AVERAGE(OFFSET($H$3,0,0,'Données projet'!$E$10+1,1))</f>
        <v>195.80903373714432</v>
      </c>
      <c r="AO38" s="62">
        <f t="shared" si="36"/>
        <v>388.30721786668977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89.487630504111962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47.019939397399625</v>
      </c>
      <c r="AX38" s="23">
        <f t="shared" si="6"/>
        <v>136.5075699015116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267</v>
      </c>
      <c r="BB38" s="13">
        <f>VLOOKUP(A38,'Données projet'!$A$87:$I$107,9,0)</f>
        <v>7</v>
      </c>
      <c r="BC38" s="13">
        <f t="array" ref="BC38">INDEX(BB:BB,MIN(IF(ISNUMBER(BB38:BB234),ROW(BB38:BB234),"")))</f>
        <v>7</v>
      </c>
      <c r="BD38" s="13">
        <f>IF('Données projet'!$A$88&gt;35,BD37+BC38-BL37,IF(A38&lt;'Données projet'!$A$88,$BA$205^A38,IF(A38='Données projet'!$A$88,'Données projet'!$B$88,BD37+BC38-BL37)))</f>
        <v>267</v>
      </c>
      <c r="BE38" s="14">
        <f>BD38*VLOOKUP('Données projet'!$B$11,Paramètres!$A$1:$I$89,3,0)*VLOOKUP('Données projet'!$B$11,Paramètres!$A$1:$I$89,5,0)</f>
        <v>241.58159999999998</v>
      </c>
      <c r="BF38" s="14">
        <f t="shared" si="37"/>
        <v>58.779689232021951</v>
      </c>
      <c r="BG38" s="22">
        <f t="shared" si="7"/>
        <v>523.12924541243819</v>
      </c>
      <c r="BH38" s="62">
        <f t="shared" si="8"/>
        <v>816.46257874577145</v>
      </c>
      <c r="BI38" s="62">
        <f ca="1">AVERAGE(OFFSET($BH$3,0,0,'Données projet'!$E$11+1,1))-AVERAGE(OFFSET($H$3,0,0,'Données projet'!$E$11+1,1))</f>
        <v>366.86025470473652</v>
      </c>
      <c r="BJ38" s="62">
        <f t="shared" si="38"/>
        <v>513.80016421153414</v>
      </c>
      <c r="BK38" s="16">
        <f>IF(ISNA(VLOOKUP(A38,'Données projet'!$A$87:$I$107,3,0)),0,VLOOKUP(A38,'Données projet'!$A$87:$I$107,3,0))</f>
        <v>7</v>
      </c>
      <c r="BL38" s="16">
        <f>IF(ISNA(VLOOKUP(A38,'Données projet'!$A$87:$I$107,4,0)),0,VLOOKUP(A38,'Données projet'!$A$87:$I$107,4,0))</f>
        <v>9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9.5869455281879414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9.5869455281879414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147</v>
      </c>
      <c r="BW38" s="13">
        <f>VLOOKUP(A38,'Données projet'!$A$113:$I$133,9,0)</f>
        <v>10.8</v>
      </c>
      <c r="BX38" s="13">
        <f t="array" ref="BX38">INDEX(BW:BW,MIN(IF(ISNUMBER(BW38:BW234),ROW(BW38:BW234),"")))</f>
        <v>10.8</v>
      </c>
      <c r="BY38" s="13">
        <f>IF('Données projet'!$A$114&gt;35,BY37+BX38-CG37,IF(A38&lt;'Données projet'!$A$114,$BV$205^A38,IF(A38='Données projet'!$A$114,'Données projet'!$B$114,BY37+BX38-CG37)))</f>
        <v>147.00000000000006</v>
      </c>
      <c r="BZ38" s="14">
        <f>BY38*VLOOKUP('Données projet'!$B$12,Paramètres!$A$1:$I$89,3,0)*VLOOKUP('Données projet'!$B$12,Paramètres!$A$1:$I$89,5,0)</f>
        <v>133.00560000000004</v>
      </c>
      <c r="CA38" s="14">
        <f t="shared" si="39"/>
        <v>34.689938673073549</v>
      </c>
      <c r="CB38" s="22">
        <f t="shared" si="10"/>
        <v>292.06972985560316</v>
      </c>
      <c r="CC38" s="62">
        <f t="shared" si="11"/>
        <v>585.40306318893647</v>
      </c>
      <c r="CD38" s="62">
        <f ca="1">AVERAGE(OFFSET($CC$3,0,0,'Données projet'!$E$12+1,1))-AVERAGE(OFFSET($H$3,0,0,'Données projet'!$E$12+1,1))</f>
        <v>438.70522838726322</v>
      </c>
      <c r="CE38" s="62">
        <f t="shared" si="40"/>
        <v>278.21741231699929</v>
      </c>
      <c r="CF38" s="16">
        <f>IF(ISNA(VLOOKUP(A38,'Données projet'!$A$113:$I$133,3,0)),0,VLOOKUP(A38,'Données projet'!$A$113:$I$133,3,0))</f>
        <v>4</v>
      </c>
      <c r="CG38" s="16">
        <f>IF(ISNA(VLOOKUP(A38,'Données projet'!$A$113:$I$133,4,0)),0,VLOOKUP(A38,'Données projet'!$A$113:$I$133,4,0))</f>
        <v>28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147</v>
      </c>
      <c r="CR38" s="13">
        <f>VLOOKUP(A38,'Données projet'!$A$139:$I$159,9,0)</f>
        <v>10.8</v>
      </c>
      <c r="CS38" s="13">
        <f t="array" ref="CS38">INDEX(CR:CR,MIN(IF(ISNUMBER(CR38:CR234),ROW(CR38:CR234),"")))</f>
        <v>10.8</v>
      </c>
      <c r="CT38" s="13">
        <f>IF('Données projet'!$A$140&gt;35,CT37+CS38-DB37,IF(A38&lt;'Données projet'!$A$140,$CQ$205^A38,IF(A38='Données projet'!$A$140,'Données projet'!$B$140,CT37+CS38-DB37)))</f>
        <v>147.00000000000006</v>
      </c>
      <c r="CU38" s="18">
        <f>CT38*VLOOKUP('Données projet'!$B$13,Paramètres!$A$1:$I$89,3,0)*VLOOKUP('Données projet'!$B$13,Paramètres!$A$1:$I$89,5,0)</f>
        <v>149.05800000000008</v>
      </c>
      <c r="CV38" s="14">
        <f t="shared" si="41"/>
        <v>38.364434314370335</v>
      </c>
      <c r="CW38" s="22">
        <f t="shared" si="13"/>
        <v>326.42740643086182</v>
      </c>
      <c r="CX38" s="62">
        <f t="shared" si="14"/>
        <v>619.76073976419514</v>
      </c>
      <c r="CY38" s="62">
        <f ca="1">AVERAGE(OFFSET($CX$3,0,0,'Données projet'!$E$13+1,1))-AVERAGE(OFFSET($H$3,0,0,'Données projet'!$E$13+1,1))</f>
        <v>486.63673936259465</v>
      </c>
      <c r="CZ38" s="62">
        <f t="shared" si="42"/>
        <v>306.61893266146666</v>
      </c>
      <c r="DA38" s="16">
        <f>IF(ISNA(VLOOKUP(A38,'Données projet'!$A$139:$I$159,3,0)),0,VLOOKUP(A38,'Données projet'!$A$139:$I$159,3,0))</f>
        <v>4</v>
      </c>
      <c r="DB38" s="16">
        <f>IF(ISNA(VLOOKUP(A38,'Données projet'!$A$139:$I$159,4,0)),0,VLOOKUP(A38,'Données projet'!$A$139:$I$159,4,0))</f>
        <v>28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27</v>
      </c>
      <c r="N39" s="14">
        <f>IF('Données projet'!$A$36&gt;35,N38+M39-V38,IF(A39&lt;'Données projet'!$A$36,$K$205^A39,IF(A39='Données projet'!$A$36,'Données projet'!$B$36,N38+M39-V38)))</f>
        <v>530.99999999999989</v>
      </c>
      <c r="O39" s="14">
        <f>N39*VLOOKUP('Données projet'!$B$9,Paramètres!$A$1:$I$89,3,0)*VLOOKUP('Données projet'!$B$9,Paramètres!$A$1:$I$89,5,0)</f>
        <v>296.82899999999995</v>
      </c>
      <c r="P39" s="14">
        <f t="shared" si="33"/>
        <v>70.511289513454344</v>
      </c>
      <c r="Q39" s="22">
        <f t="shared" si="53"/>
        <v>639.78433756926631</v>
      </c>
      <c r="R39" s="62">
        <f t="shared" si="0"/>
        <v>933.11767090259968</v>
      </c>
      <c r="S39" s="62">
        <f ca="1">AVERAGE(OFFSET($R$3,0,0,'Données projet'!$E$9+1,1))-AVERAGE(OFFSET($H$3,0,0,'Données projet'!$E$9+1,1))</f>
        <v>555.15881087162279</v>
      </c>
      <c r="T39" s="62">
        <f t="shared" si="34"/>
        <v>668.20427590250733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25.446941287433258</v>
      </c>
      <c r="AA39" s="23">
        <f>EXP(-LN(2)/25)*AA38+(1-EXP(-LN(2)/25))/(LN(2)/25)*Calculateur!V39*Calculateur!X39*VLOOKUP('Données projet'!$B$9,Paramètres!$A$1:$I$89,3,0)*0.475*44/12</f>
        <v>19.161832581606681</v>
      </c>
      <c r="AB39" s="23">
        <f>EXP(-LN(2)/2)*AB38+(1-EXP(-LN(2)/2))/(LN(2)/2)*V39*Y39*VLOOKUP('Données projet'!$B$9,Paramètres!$A$1:$I$89,3,0)*0.475*44/12</f>
        <v>1.728961917666104</v>
      </c>
      <c r="AC39" s="24">
        <f t="shared" si="3"/>
        <v>46.337735786706041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>
        <f>AI39*VLOOKUP('Données projet'!$B$10,Paramètres!$A$1:$I$89,3,0)*VLOOKUP('Données projet'!$B$10,Paramètres!$A$1:$I$89,5,0)</f>
        <v>0</v>
      </c>
      <c r="AK39" s="14" t="e">
        <f t="shared" si="35"/>
        <v>#NUM!</v>
      </c>
      <c r="AL39" s="22" t="e">
        <f t="shared" si="4"/>
        <v>#NUM!</v>
      </c>
      <c r="AM39" s="62" t="e">
        <f t="shared" si="5"/>
        <v>#NUM!</v>
      </c>
      <c r="AN39" s="62">
        <f ca="1">AVERAGE(OFFSET($AM$3,0,0,'Données projet'!$E$10+1,1))-AVERAGE(OFFSET($H$3,0,0,'Données projet'!$E$10+1,1))</f>
        <v>195.80903373714432</v>
      </c>
      <c r="AO39" s="62">
        <f t="shared" si="36"/>
        <v>388.30721786668977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87.732832651991401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33.248117998881781</v>
      </c>
      <c r="AX39" s="23">
        <f t="shared" si="6"/>
        <v>120.98095065087318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6.2</v>
      </c>
      <c r="BD39" s="13">
        <f>IF('Données projet'!$A$88&gt;35,BD38+BC39-BL38,IF(A39&lt;'Données projet'!$A$88,$BA$205^A39,IF(A39='Données projet'!$A$88,'Données projet'!$B$88,BD38+BC39-BL38)))</f>
        <v>264.2</v>
      </c>
      <c r="BE39" s="14">
        <f>BD39*VLOOKUP('Données projet'!$B$11,Paramètres!$A$1:$I$89,3,0)*VLOOKUP('Données projet'!$B$11,Paramètres!$A$1:$I$89,5,0)</f>
        <v>239.04816</v>
      </c>
      <c r="BF39" s="14">
        <f t="shared" si="37"/>
        <v>58.234690128947292</v>
      </c>
      <c r="BG39" s="22">
        <f t="shared" si="7"/>
        <v>517.76763064124987</v>
      </c>
      <c r="BH39" s="62">
        <f t="shared" si="8"/>
        <v>811.10096397458324</v>
      </c>
      <c r="BI39" s="62">
        <f ca="1">AVERAGE(OFFSET($BH$3,0,0,'Données projet'!$E$11+1,1))-AVERAGE(OFFSET($H$3,0,0,'Données projet'!$E$11+1,1))</f>
        <v>366.86025470473652</v>
      </c>
      <c r="BJ39" s="62">
        <f t="shared" si="38"/>
        <v>513.80016421153414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9.3989513738395587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9.3989513738395587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11.2</v>
      </c>
      <c r="BY39" s="13">
        <f>IF('Données projet'!$A$114&gt;35,BY38+BX39-CG38,IF(A39&lt;'Données projet'!$A$114,$BV$205^A39,IF(A39='Données projet'!$A$114,'Données projet'!$B$114,BY38+BX39-CG38)))</f>
        <v>130.20000000000005</v>
      </c>
      <c r="BZ39" s="14">
        <f>BY39*VLOOKUP('Données projet'!$B$12,Paramètres!$A$1:$I$89,3,0)*VLOOKUP('Données projet'!$B$12,Paramètres!$A$1:$I$89,5,0)</f>
        <v>117.80496000000004</v>
      </c>
      <c r="CA39" s="14">
        <f t="shared" si="39"/>
        <v>31.162493487829593</v>
      </c>
      <c r="CB39" s="22">
        <f t="shared" si="10"/>
        <v>259.45164815796994</v>
      </c>
      <c r="CC39" s="62">
        <f t="shared" si="11"/>
        <v>552.78498149130326</v>
      </c>
      <c r="CD39" s="62">
        <f ca="1">AVERAGE(OFFSET($CC$3,0,0,'Données projet'!$E$12+1,1))-AVERAGE(OFFSET($H$3,0,0,'Données projet'!$E$12+1,1))</f>
        <v>438.70522838726322</v>
      </c>
      <c r="CE39" s="62">
        <f t="shared" si="40"/>
        <v>278.21741231699929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11.2</v>
      </c>
      <c r="CT39" s="13">
        <f>IF('Données projet'!$A$140&gt;35,CT38+CS39-DB38,IF(A39&lt;'Données projet'!$A$140,$CQ$205^A39,IF(A39='Données projet'!$A$140,'Données projet'!$B$140,CT38+CS39-DB38)))</f>
        <v>130.20000000000005</v>
      </c>
      <c r="CU39" s="18">
        <f>CT39*VLOOKUP('Données projet'!$B$13,Paramètres!$A$1:$I$89,3,0)*VLOOKUP('Données projet'!$B$13,Paramètres!$A$1:$I$89,5,0)</f>
        <v>132.02280000000007</v>
      </c>
      <c r="CV39" s="14">
        <f t="shared" si="41"/>
        <v>34.463348169992798</v>
      </c>
      <c r="CW39" s="22">
        <f t="shared" si="13"/>
        <v>289.96337472940422</v>
      </c>
      <c r="CX39" s="62">
        <f t="shared" si="14"/>
        <v>583.29670806273748</v>
      </c>
      <c r="CY39" s="62">
        <f ca="1">AVERAGE(OFFSET($CX$3,0,0,'Données projet'!$E$13+1,1))-AVERAGE(OFFSET($H$3,0,0,'Données projet'!$E$13+1,1))</f>
        <v>486.63673936259465</v>
      </c>
      <c r="CZ39" s="62">
        <f t="shared" si="42"/>
        <v>306.61893266146666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27</v>
      </c>
      <c r="N40" s="14">
        <f>IF('Données projet'!$A$36&gt;35,N39+M40-V39,IF(A40&lt;'Données projet'!$A$36,$K$205^A40,IF(A40='Données projet'!$A$36,'Données projet'!$B$36,N39+M40-V39)))</f>
        <v>557.99999999999989</v>
      </c>
      <c r="O40" s="14">
        <f>N40*VLOOKUP('Données projet'!$B$9,Paramètres!$A$1:$I$89,3,0)*VLOOKUP('Données projet'!$B$9,Paramètres!$A$1:$I$89,5,0)</f>
        <v>311.92199999999991</v>
      </c>
      <c r="P40" s="14">
        <f t="shared" si="33"/>
        <v>73.670075764965745</v>
      </c>
      <c r="Q40" s="22">
        <f t="shared" si="53"/>
        <v>671.57286529064845</v>
      </c>
      <c r="R40" s="62">
        <f t="shared" si="0"/>
        <v>964.90619862398171</v>
      </c>
      <c r="S40" s="62">
        <f ca="1">AVERAGE(OFFSET($R$3,0,0,'Données projet'!$E$9+1,1))-AVERAGE(OFFSET($H$3,0,0,'Données projet'!$E$9+1,1))</f>
        <v>555.15881087162279</v>
      </c>
      <c r="T40" s="62">
        <f t="shared" si="34"/>
        <v>668.20427590250733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24.947942289888296</v>
      </c>
      <c r="AA40" s="23">
        <f>EXP(-LN(2)/25)*AA39+(1-EXP(-LN(2)/25))/(LN(2)/25)*Calculateur!V40*Calculateur!X40*VLOOKUP('Données projet'!$B$9,Paramètres!$A$1:$I$89,3,0)*0.475*44/12</f>
        <v>18.637851261985666</v>
      </c>
      <c r="AB40" s="23">
        <f>EXP(-LN(2)/2)*AB39+(1-EXP(-LN(2)/2))/(LN(2)/2)*V40*Y40*VLOOKUP('Données projet'!$B$9,Paramètres!$A$1:$I$89,3,0)*0.475*44/12</f>
        <v>1.2225606963949995</v>
      </c>
      <c r="AC40" s="24">
        <f t="shared" si="3"/>
        <v>44.808354248268962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>
        <f>AI40*VLOOKUP('Données projet'!$B$10,Paramètres!$A$1:$I$89,3,0)*VLOOKUP('Données projet'!$B$10,Paramètres!$A$1:$I$89,5,0)</f>
        <v>0</v>
      </c>
      <c r="AK40" s="14" t="e">
        <f t="shared" si="35"/>
        <v>#NUM!</v>
      </c>
      <c r="AL40" s="22" t="e">
        <f t="shared" si="4"/>
        <v>#NUM!</v>
      </c>
      <c r="AM40" s="62" t="e">
        <f t="shared" si="5"/>
        <v>#NUM!</v>
      </c>
      <c r="AN40" s="62">
        <f ca="1">AVERAGE(OFFSET($AM$3,0,0,'Données projet'!$E$10+1,1))-AVERAGE(OFFSET($H$3,0,0,'Données projet'!$E$10+1,1))</f>
        <v>195.80903373714432</v>
      </c>
      <c r="AO40" s="62">
        <f t="shared" si="36"/>
        <v>388.30721786668977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86.012445315429929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23.509969698699813</v>
      </c>
      <c r="AX40" s="23">
        <f t="shared" si="6"/>
        <v>109.52241501412973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6.2</v>
      </c>
      <c r="BD40" s="13">
        <f>IF('Données projet'!$A$88&gt;35,BD39+BC40-BL39,IF(A40&lt;'Données projet'!$A$88,$BA$205^A40,IF(A40='Données projet'!$A$88,'Données projet'!$B$88,BD39+BC40-BL39)))</f>
        <v>270.39999999999998</v>
      </c>
      <c r="BE40" s="14">
        <f>BD40*VLOOKUP('Données projet'!$B$11,Paramètres!$A$1:$I$89,3,0)*VLOOKUP('Données projet'!$B$11,Paramètres!$A$1:$I$89,5,0)</f>
        <v>244.65791999999996</v>
      </c>
      <c r="BF40" s="14">
        <f t="shared" si="37"/>
        <v>59.44058075210868</v>
      </c>
      <c r="BG40" s="22">
        <f t="shared" si="7"/>
        <v>529.6382221432558</v>
      </c>
      <c r="BH40" s="62">
        <f t="shared" si="8"/>
        <v>822.97155547658917</v>
      </c>
      <c r="BI40" s="62">
        <f ca="1">AVERAGE(OFFSET($BH$3,0,0,'Données projet'!$E$11+1,1))-AVERAGE(OFFSET($H$3,0,0,'Données projet'!$E$11+1,1))</f>
        <v>366.86025470473652</v>
      </c>
      <c r="BJ40" s="62">
        <f t="shared" si="38"/>
        <v>513.80016421153414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9.2146436701928369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9.2146436701928369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11.2</v>
      </c>
      <c r="BY40" s="13">
        <f>IF('Données projet'!$A$114&gt;35,BY39+BX40-CG39,IF(A40&lt;'Données projet'!$A$114,$BV$205^A40,IF(A40='Données projet'!$A$114,'Données projet'!$B$114,BY39+BX40-CG39)))</f>
        <v>141.40000000000003</v>
      </c>
      <c r="BZ40" s="14">
        <f>BY40*VLOOKUP('Données projet'!$B$12,Paramètres!$A$1:$I$89,3,0)*VLOOKUP('Données projet'!$B$12,Paramètres!$A$1:$I$89,5,0)</f>
        <v>127.93872000000003</v>
      </c>
      <c r="CA40" s="14">
        <f t="shared" si="39"/>
        <v>33.519615889545641</v>
      </c>
      <c r="CB40" s="22">
        <f t="shared" si="10"/>
        <v>281.20660167429202</v>
      </c>
      <c r="CC40" s="62">
        <f t="shared" si="11"/>
        <v>574.53993500762533</v>
      </c>
      <c r="CD40" s="62">
        <f ca="1">AVERAGE(OFFSET($CC$3,0,0,'Données projet'!$E$12+1,1))-AVERAGE(OFFSET($H$3,0,0,'Données projet'!$E$12+1,1))</f>
        <v>438.70522838726322</v>
      </c>
      <c r="CE40" s="62">
        <f t="shared" si="40"/>
        <v>278.21741231699929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11.2</v>
      </c>
      <c r="CT40" s="13">
        <f>IF('Données projet'!$A$140&gt;35,CT39+CS40-DB39,IF(A40&lt;'Données projet'!$A$140,$CQ$205^A40,IF(A40='Données projet'!$A$140,'Données projet'!$B$140,CT39+CS40-DB39)))</f>
        <v>141.40000000000003</v>
      </c>
      <c r="CU40" s="18">
        <f>CT40*VLOOKUP('Données projet'!$B$13,Paramètres!$A$1:$I$89,3,0)*VLOOKUP('Données projet'!$B$13,Paramètres!$A$1:$I$89,5,0)</f>
        <v>143.37960000000004</v>
      </c>
      <c r="CV40" s="14">
        <f t="shared" si="41"/>
        <v>37.070146308317469</v>
      </c>
      <c r="CW40" s="22">
        <f t="shared" si="13"/>
        <v>314.28330815365302</v>
      </c>
      <c r="CX40" s="62">
        <f t="shared" si="14"/>
        <v>607.61664148698628</v>
      </c>
      <c r="CY40" s="62">
        <f ca="1">AVERAGE(OFFSET($CX$3,0,0,'Données projet'!$E$13+1,1))-AVERAGE(OFFSET($H$3,0,0,'Données projet'!$E$13+1,1))</f>
        <v>486.63673936259465</v>
      </c>
      <c r="CZ40" s="62">
        <f t="shared" si="42"/>
        <v>306.61893266146666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27</v>
      </c>
      <c r="N41" s="14">
        <f>IF('Données projet'!$A$36&gt;35,N40+M41-V40,IF(A41&lt;'Données projet'!$A$36,$K$205^A41,IF(A41='Données projet'!$A$36,'Données projet'!$B$36,N40+M41-V40)))</f>
        <v>584.99999999999989</v>
      </c>
      <c r="O41" s="14">
        <f>N41*VLOOKUP('Données projet'!$B$9,Paramètres!$A$1:$I$89,3,0)*VLOOKUP('Données projet'!$B$9,Paramètres!$A$1:$I$89,5,0)</f>
        <v>327.01499999999993</v>
      </c>
      <c r="P41" s="14">
        <f t="shared" si="33"/>
        <v>76.811113612871907</v>
      </c>
      <c r="Q41" s="22">
        <f t="shared" si="53"/>
        <v>703.33048120908506</v>
      </c>
      <c r="R41" s="62">
        <f t="shared" si="0"/>
        <v>996.66381454241832</v>
      </c>
      <c r="S41" s="62">
        <f ca="1">AVERAGE(OFFSET($R$3,0,0,'Données projet'!$E$9+1,1))-AVERAGE(OFFSET($H$3,0,0,'Données projet'!$E$9+1,1))</f>
        <v>555.15881087162279</v>
      </c>
      <c r="T41" s="62">
        <f t="shared" si="34"/>
        <v>668.20427590250733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24.458728358325853</v>
      </c>
      <c r="AA41" s="23">
        <f>EXP(-LN(2)/25)*AA40+(1-EXP(-LN(2)/25))/(LN(2)/25)*Calculateur!V41*Calculateur!X41*VLOOKUP('Données projet'!$B$9,Paramètres!$A$1:$I$89,3,0)*0.475*44/12</f>
        <v>18.12819823910467</v>
      </c>
      <c r="AB41" s="23">
        <f>EXP(-LN(2)/2)*AB40+(1-EXP(-LN(2)/2))/(LN(2)/2)*V41*Y41*VLOOKUP('Données projet'!$B$9,Paramètres!$A$1:$I$89,3,0)*0.475*44/12</f>
        <v>0.8644809588330522</v>
      </c>
      <c r="AC41" s="24">
        <f t="shared" si="3"/>
        <v>43.451407556263568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>
        <f>AI41*VLOOKUP('Données projet'!$B$10,Paramètres!$A$1:$I$89,3,0)*VLOOKUP('Données projet'!$B$10,Paramètres!$A$1:$I$89,5,0)</f>
        <v>0</v>
      </c>
      <c r="AK41" s="14" t="e">
        <f t="shared" si="35"/>
        <v>#NUM!</v>
      </c>
      <c r="AL41" s="22" t="e">
        <f t="shared" si="4"/>
        <v>#NUM!</v>
      </c>
      <c r="AM41" s="62" t="e">
        <f t="shared" si="5"/>
        <v>#NUM!</v>
      </c>
      <c r="AN41" s="62">
        <f ca="1">AVERAGE(OFFSET($AM$3,0,0,'Données projet'!$E$10+1,1))-AVERAGE(OFFSET($H$3,0,0,'Données projet'!$E$10+1,1))</f>
        <v>195.80903373714432</v>
      </c>
      <c r="AO41" s="62">
        <f t="shared" si="36"/>
        <v>388.30721786668977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84.325793725205756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16.624058999440891</v>
      </c>
      <c r="AX41" s="23">
        <f t="shared" si="6"/>
        <v>100.94985272464665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6.2</v>
      </c>
      <c r="BD41" s="13">
        <f>IF('Données projet'!$A$88&gt;35,BD40+BC41-BL40,IF(A41&lt;'Données projet'!$A$88,$BA$205^A41,IF(A41='Données projet'!$A$88,'Données projet'!$B$88,BD40+BC41-BL40)))</f>
        <v>276.59999999999997</v>
      </c>
      <c r="BE41" s="14">
        <f>BD41*VLOOKUP('Données projet'!$B$11,Paramètres!$A$1:$I$89,3,0)*VLOOKUP('Données projet'!$B$11,Paramètres!$A$1:$I$89,5,0)</f>
        <v>250.26767999999996</v>
      </c>
      <c r="BF41" s="14">
        <f t="shared" si="37"/>
        <v>60.643256925083442</v>
      </c>
      <c r="BG41" s="22">
        <f t="shared" si="7"/>
        <v>541.50321514452014</v>
      </c>
      <c r="BH41" s="62">
        <f t="shared" si="8"/>
        <v>834.83654847785351</v>
      </c>
      <c r="BI41" s="62">
        <f ca="1">AVERAGE(OFFSET($BH$3,0,0,'Données projet'!$E$11+1,1))-AVERAGE(OFFSET($H$3,0,0,'Données projet'!$E$11+1,1))</f>
        <v>366.86025470473652</v>
      </c>
      <c r="BJ41" s="62">
        <f t="shared" si="38"/>
        <v>513.80016421153414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9.0339501281980272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9.0339501281980272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11.2</v>
      </c>
      <c r="BY41" s="13">
        <f>IF('Données projet'!$A$114&gt;35,BY40+BX41-CG40,IF(A41&lt;'Données projet'!$A$114,$BV$205^A41,IF(A41='Données projet'!$A$114,'Données projet'!$B$114,BY40+BX41-CG40)))</f>
        <v>152.60000000000002</v>
      </c>
      <c r="BZ41" s="14">
        <f>BY41*VLOOKUP('Données projet'!$B$12,Paramètres!$A$1:$I$89,3,0)*VLOOKUP('Données projet'!$B$12,Paramètres!$A$1:$I$89,5,0)</f>
        <v>138.07248000000001</v>
      </c>
      <c r="CA41" s="14">
        <f t="shared" si="39"/>
        <v>35.85508207677799</v>
      </c>
      <c r="CB41" s="22">
        <f t="shared" si="10"/>
        <v>302.9238372837217</v>
      </c>
      <c r="CC41" s="62">
        <f t="shared" si="11"/>
        <v>596.25717061705495</v>
      </c>
      <c r="CD41" s="62">
        <f ca="1">AVERAGE(OFFSET($CC$3,0,0,'Données projet'!$E$12+1,1))-AVERAGE(OFFSET($H$3,0,0,'Données projet'!$E$12+1,1))</f>
        <v>438.70522838726322</v>
      </c>
      <c r="CE41" s="62">
        <f t="shared" si="40"/>
        <v>278.21741231699929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11.2</v>
      </c>
      <c r="CT41" s="13">
        <f>IF('Données projet'!$A$140&gt;35,CT40+CS41-DB40,IF(A41&lt;'Données projet'!$A$140,$CQ$205^A41,IF(A41='Données projet'!$A$140,'Données projet'!$B$140,CT40+CS41-DB40)))</f>
        <v>152.60000000000002</v>
      </c>
      <c r="CU41" s="18">
        <f>CT41*VLOOKUP('Données projet'!$B$13,Paramètres!$A$1:$I$89,3,0)*VLOOKUP('Données projet'!$B$13,Paramètres!$A$1:$I$89,5,0)</f>
        <v>154.73640000000003</v>
      </c>
      <c r="CV41" s="14">
        <f t="shared" si="41"/>
        <v>39.652994320183701</v>
      </c>
      <c r="CW41" s="22">
        <f t="shared" si="13"/>
        <v>338.56152844098665</v>
      </c>
      <c r="CX41" s="62">
        <f t="shared" si="14"/>
        <v>631.89486177431991</v>
      </c>
      <c r="CY41" s="62">
        <f ca="1">AVERAGE(OFFSET($CX$3,0,0,'Données projet'!$E$13+1,1))-AVERAGE(OFFSET($H$3,0,0,'Données projet'!$E$13+1,1))</f>
        <v>486.63673936259465</v>
      </c>
      <c r="CZ41" s="62">
        <f t="shared" si="42"/>
        <v>306.61893266146666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27</v>
      </c>
      <c r="N42" s="14">
        <f>IF('Données projet'!$A$36&gt;35,N41+M42-V41,IF(A42&lt;'Données projet'!$A$36,$K$205^A42,IF(A42='Données projet'!$A$36,'Données projet'!$B$36,N41+M42-V41)))</f>
        <v>611.99999999999989</v>
      </c>
      <c r="O42" s="14">
        <f>N42*VLOOKUP('Données projet'!$B$9,Paramètres!$A$1:$I$89,3,0)*VLOOKUP('Données projet'!$B$9,Paramètres!$A$1:$I$89,5,0)</f>
        <v>342.10799999999995</v>
      </c>
      <c r="P42" s="14">
        <f t="shared" si="33"/>
        <v>79.935315774430151</v>
      </c>
      <c r="Q42" s="22">
        <f t="shared" si="53"/>
        <v>735.0587749737989</v>
      </c>
      <c r="R42" s="62">
        <f t="shared" si="0"/>
        <v>1028.3921083071323</v>
      </c>
      <c r="S42" s="62">
        <f ca="1">AVERAGE(OFFSET($R$3,0,0,'Données projet'!$E$9+1,1))-AVERAGE(OFFSET($H$3,0,0,'Données projet'!$E$9+1,1))</f>
        <v>555.15881087162279</v>
      </c>
      <c r="T42" s="62">
        <f t="shared" si="34"/>
        <v>668.20427590250733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23.979107613570317</v>
      </c>
      <c r="AA42" s="23">
        <f>EXP(-LN(2)/25)*AA41+(1-EXP(-LN(2)/25))/(LN(2)/25)*Calculateur!V42*Calculateur!X42*VLOOKUP('Données projet'!$B$9,Paramètres!$A$1:$I$89,3,0)*0.475*44/12</f>
        <v>17.632481704935838</v>
      </c>
      <c r="AB42" s="23">
        <f>EXP(-LN(2)/2)*AB41+(1-EXP(-LN(2)/2))/(LN(2)/2)*V42*Y42*VLOOKUP('Données projet'!$B$9,Paramètres!$A$1:$I$89,3,0)*0.475*44/12</f>
        <v>0.61128034819749988</v>
      </c>
      <c r="AC42" s="24">
        <f t="shared" si="3"/>
        <v>42.222869666703652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>
        <f>AI42*VLOOKUP('Données projet'!$B$10,Paramètres!$A$1:$I$89,3,0)*VLOOKUP('Données projet'!$B$10,Paramètres!$A$1:$I$89,5,0)</f>
        <v>0</v>
      </c>
      <c r="AK42" s="14" t="e">
        <f t="shared" si="35"/>
        <v>#NUM!</v>
      </c>
      <c r="AL42" s="22" t="e">
        <f t="shared" si="4"/>
        <v>#NUM!</v>
      </c>
      <c r="AM42" s="62" t="e">
        <f t="shared" si="5"/>
        <v>#NUM!</v>
      </c>
      <c r="AN42" s="62">
        <f ca="1">AVERAGE(OFFSET($AM$3,0,0,'Données projet'!$E$10+1,1))-AVERAGE(OFFSET($H$3,0,0,'Données projet'!$E$10+1,1))</f>
        <v>195.80903373714432</v>
      </c>
      <c r="AO42" s="62">
        <f t="shared" si="36"/>
        <v>388.30721786668977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82.672216343909994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11.754984849349906</v>
      </c>
      <c r="AX42" s="23">
        <f t="shared" si="6"/>
        <v>94.427201193259904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6.2</v>
      </c>
      <c r="BD42" s="13">
        <f>IF('Données projet'!$A$88&gt;35,BD41+BC42-BL41,IF(A42&lt;'Données projet'!$A$88,$BA$205^A42,IF(A42='Données projet'!$A$88,'Données projet'!$B$88,BD41+BC42-BL41)))</f>
        <v>282.79999999999995</v>
      </c>
      <c r="BE42" s="14">
        <f>BD42*VLOOKUP('Données projet'!$B$11,Paramètres!$A$1:$I$89,3,0)*VLOOKUP('Données projet'!$B$11,Paramètres!$A$1:$I$89,5,0)</f>
        <v>255.87743999999998</v>
      </c>
      <c r="BF42" s="14">
        <f t="shared" si="37"/>
        <v>61.842798995505326</v>
      </c>
      <c r="BG42" s="22">
        <f t="shared" si="7"/>
        <v>553.36274958383854</v>
      </c>
      <c r="BH42" s="62">
        <f t="shared" si="8"/>
        <v>846.69608291717191</v>
      </c>
      <c r="BI42" s="62">
        <f ca="1">AVERAGE(OFFSET($BH$3,0,0,'Données projet'!$E$11+1,1))-AVERAGE(OFFSET($H$3,0,0,'Données projet'!$E$11+1,1))</f>
        <v>366.86025470473652</v>
      </c>
      <c r="BJ42" s="62">
        <f t="shared" si="38"/>
        <v>513.80016421153414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8.8567998763495588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8.8567998763495588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11.2</v>
      </c>
      <c r="BY42" s="13">
        <f>IF('Données projet'!$A$114&gt;35,BY41+BX42-CG41,IF(A42&lt;'Données projet'!$A$114,$BV$205^A42,IF(A42='Données projet'!$A$114,'Données projet'!$B$114,BY41+BX42-CG41)))</f>
        <v>163.80000000000001</v>
      </c>
      <c r="BZ42" s="14">
        <f>BY42*VLOOKUP('Données projet'!$B$12,Paramètres!$A$1:$I$89,3,0)*VLOOKUP('Données projet'!$B$12,Paramètres!$A$1:$I$89,5,0)</f>
        <v>148.20624000000001</v>
      </c>
      <c r="CA42" s="14">
        <f t="shared" si="39"/>
        <v>38.170662245893794</v>
      </c>
      <c r="CB42" s="22">
        <f t="shared" si="10"/>
        <v>324.60643807826506</v>
      </c>
      <c r="CC42" s="62">
        <f t="shared" si="11"/>
        <v>617.93977141159837</v>
      </c>
      <c r="CD42" s="62">
        <f ca="1">AVERAGE(OFFSET($CC$3,0,0,'Données projet'!$E$12+1,1))-AVERAGE(OFFSET($H$3,0,0,'Données projet'!$E$12+1,1))</f>
        <v>438.70522838726322</v>
      </c>
      <c r="CE42" s="62">
        <f t="shared" si="40"/>
        <v>278.21741231699929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11.2</v>
      </c>
      <c r="CT42" s="13">
        <f>IF('Données projet'!$A$140&gt;35,CT41+CS42-DB41,IF(A42&lt;'Données projet'!$A$140,$CQ$205^A42,IF(A42='Données projet'!$A$140,'Données projet'!$B$140,CT41+CS42-DB41)))</f>
        <v>163.80000000000001</v>
      </c>
      <c r="CU42" s="18">
        <f>CT42*VLOOKUP('Données projet'!$B$13,Paramètres!$A$1:$I$89,3,0)*VLOOKUP('Données projet'!$B$13,Paramètres!$A$1:$I$89,5,0)</f>
        <v>166.09320000000002</v>
      </c>
      <c r="CV42" s="14">
        <f t="shared" si="41"/>
        <v>42.213849908165905</v>
      </c>
      <c r="CW42" s="22">
        <f t="shared" si="13"/>
        <v>362.80144525672227</v>
      </c>
      <c r="CX42" s="62">
        <f t="shared" si="14"/>
        <v>656.13477859005559</v>
      </c>
      <c r="CY42" s="62">
        <f ca="1">AVERAGE(OFFSET($CX$3,0,0,'Données projet'!$E$13+1,1))-AVERAGE(OFFSET($H$3,0,0,'Données projet'!$E$13+1,1))</f>
        <v>486.63673936259465</v>
      </c>
      <c r="CZ42" s="62">
        <f t="shared" si="42"/>
        <v>306.61893266146666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639</v>
      </c>
      <c r="L43" s="13">
        <f>VLOOKUP(A43,'Données projet'!$A$35:$I$55,9,0)</f>
        <v>27</v>
      </c>
      <c r="M43" s="13">
        <f t="array" ref="M43">INDEX(L:L,MIN(IF(ISNUMBER(L43:L239),ROW(L43:L239),"")))</f>
        <v>27</v>
      </c>
      <c r="N43" s="14">
        <f>IF('Données projet'!$A$36&gt;35,N42+M43-V42,IF(A43&lt;'Données projet'!$A$36,$K$205^A43,IF(A43='Données projet'!$A$36,'Données projet'!$B$36,N42+M43-V42)))</f>
        <v>638.99999999999989</v>
      </c>
      <c r="O43" s="14">
        <f>N43*VLOOKUP('Données projet'!$B$9,Paramètres!$A$1:$I$89,3,0)*VLOOKUP('Données projet'!$B$9,Paramètres!$A$1:$I$89,5,0)</f>
        <v>357.20099999999991</v>
      </c>
      <c r="P43" s="14">
        <f t="shared" si="33"/>
        <v>83.043509879488369</v>
      </c>
      <c r="Q43" s="22">
        <f t="shared" si="53"/>
        <v>766.75918804010871</v>
      </c>
      <c r="R43" s="62">
        <f t="shared" si="0"/>
        <v>1060.092521373442</v>
      </c>
      <c r="S43" s="62">
        <f ca="1">AVERAGE(OFFSET($R$3,0,0,'Données projet'!$E$9+1,1))-AVERAGE(OFFSET($H$3,0,0,'Données projet'!$E$9+1,1))</f>
        <v>555.15881087162279</v>
      </c>
      <c r="T43" s="62">
        <f t="shared" si="34"/>
        <v>668.20427590250733</v>
      </c>
      <c r="U43" s="16">
        <f>IF(ISNA(VLOOKUP(A43,'Données projet'!$A$35:$I$55,3,0)),0,VLOOKUP(A43,'Données projet'!$A$35:$I$55,3,0))</f>
        <v>6</v>
      </c>
      <c r="V43" s="16">
        <f>IF(ISNA(VLOOKUP(A43,'Données projet'!$A$35:$I$55,4,0)),0,VLOOKUP(A43,'Données projet'!$A$35:$I$55,4,0))</f>
        <v>77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23.508891939079668</v>
      </c>
      <c r="AA43" s="23">
        <f>EXP(-LN(2)/25)*AA42+(1-EXP(-LN(2)/25))/(LN(2)/25)*Calculateur!V43*Calculateur!X43*VLOOKUP('Données projet'!$B$9,Paramètres!$A$1:$I$89,3,0)*0.475*44/12</f>
        <v>17.150320565462454</v>
      </c>
      <c r="AB43" s="23">
        <f>EXP(-LN(2)/2)*AB42+(1-EXP(-LN(2)/2))/(LN(2)/2)*V43*Y43*VLOOKUP('Données projet'!$B$9,Paramètres!$A$1:$I$89,3,0)*0.475*44/12</f>
        <v>0.43224047941652616</v>
      </c>
      <c r="AC43" s="24">
        <f t="shared" si="3"/>
        <v>41.091452983958654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>
        <f>AI43*VLOOKUP('Données projet'!$B$10,Paramètres!$A$1:$I$89,3,0)*VLOOKUP('Données projet'!$B$10,Paramètres!$A$1:$I$89,5,0)</f>
        <v>0</v>
      </c>
      <c r="AK43" s="14" t="e">
        <f t="shared" si="35"/>
        <v>#NUM!</v>
      </c>
      <c r="AL43" s="22" t="e">
        <f t="shared" si="4"/>
        <v>#NUM!</v>
      </c>
      <c r="AM43" s="62" t="e">
        <f t="shared" si="5"/>
        <v>#NUM!</v>
      </c>
      <c r="AN43" s="62">
        <f ca="1">AVERAGE(OFFSET($AM$3,0,0,'Données projet'!$E$10+1,1))-AVERAGE(OFFSET($H$3,0,0,'Données projet'!$E$10+1,1))</f>
        <v>195.80903373714432</v>
      </c>
      <c r="AO43" s="62">
        <f t="shared" si="36"/>
        <v>388.30721786668977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81.051064606478832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8.3120294997204454</v>
      </c>
      <c r="AX43" s="23">
        <f t="shared" si="6"/>
        <v>89.36309410619927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289</v>
      </c>
      <c r="BB43" s="13">
        <f>VLOOKUP(A43,'Données projet'!$A$87:$I$107,9,0)</f>
        <v>6.2</v>
      </c>
      <c r="BC43" s="13">
        <f t="array" ref="BC43">INDEX(BB:BB,MIN(IF(ISNUMBER(BB43:BB239),ROW(BB43:BB239),"")))</f>
        <v>6.2</v>
      </c>
      <c r="BD43" s="13">
        <f>IF('Données projet'!$A$88&gt;35,BD42+BC43-BL42,IF(A43&lt;'Données projet'!$A$88,$BA$205^A43,IF(A43='Données projet'!$A$88,'Données projet'!$B$88,BD42+BC43-BL42)))</f>
        <v>288.99999999999994</v>
      </c>
      <c r="BE43" s="14">
        <f>BD43*VLOOKUP('Données projet'!$B$11,Paramètres!$A$1:$I$89,3,0)*VLOOKUP('Données projet'!$B$11,Paramètres!$A$1:$I$89,5,0)</f>
        <v>261.48719999999992</v>
      </c>
      <c r="BF43" s="14">
        <f t="shared" si="37"/>
        <v>63.039283586802391</v>
      </c>
      <c r="BG43" s="22">
        <f t="shared" si="7"/>
        <v>565.21695891368074</v>
      </c>
      <c r="BH43" s="62">
        <f t="shared" si="8"/>
        <v>858.55029224701411</v>
      </c>
      <c r="BI43" s="62">
        <f ca="1">AVERAGE(OFFSET($BH$3,0,0,'Données projet'!$E$11+1,1))-AVERAGE(OFFSET($H$3,0,0,'Données projet'!$E$11+1,1))</f>
        <v>366.86025470473652</v>
      </c>
      <c r="BJ43" s="62">
        <f t="shared" si="38"/>
        <v>513.80016421153414</v>
      </c>
      <c r="BK43" s="16">
        <f>IF(ISNA(VLOOKUP(A43,'Données projet'!$A$87:$I$107,3,0)),0,VLOOKUP(A43,'Données projet'!$A$87:$I$107,3,0))</f>
        <v>8</v>
      </c>
      <c r="BL43" s="16">
        <f>IF(ISNA(VLOOKUP(A43,'Données projet'!$A$87:$I$107,4,0)),0,VLOOKUP(A43,'Données projet'!$A$87:$I$107,4,0))</f>
        <v>7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8.6831234328888538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8.6831234328888538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175</v>
      </c>
      <c r="BW43" s="13">
        <f>VLOOKUP(A43,'Données projet'!$A$113:$I$133,9,0)</f>
        <v>11.2</v>
      </c>
      <c r="BX43" s="13">
        <f t="array" ref="BX43">INDEX(BW:BW,MIN(IF(ISNUMBER(BW43:BW239),ROW(BW43:BW239),"")))</f>
        <v>11.2</v>
      </c>
      <c r="BY43" s="13">
        <f>IF('Données projet'!$A$114&gt;35,BY42+BX43-CG42,IF(A43&lt;'Données projet'!$A$114,$BV$205^A43,IF(A43='Données projet'!$A$114,'Données projet'!$B$114,BY42+BX43-CG42)))</f>
        <v>175</v>
      </c>
      <c r="BZ43" s="14">
        <f>BY43*VLOOKUP('Données projet'!$B$12,Paramètres!$A$1:$I$89,3,0)*VLOOKUP('Données projet'!$B$12,Paramètres!$A$1:$I$89,5,0)</f>
        <v>158.34</v>
      </c>
      <c r="CA43" s="14">
        <f t="shared" si="39"/>
        <v>40.467870812652819</v>
      </c>
      <c r="CB43" s="22">
        <f t="shared" si="10"/>
        <v>346.25704166537031</v>
      </c>
      <c r="CC43" s="62">
        <f t="shared" si="11"/>
        <v>639.59037499870362</v>
      </c>
      <c r="CD43" s="62">
        <f ca="1">AVERAGE(OFFSET($CC$3,0,0,'Données projet'!$E$12+1,1))-AVERAGE(OFFSET($H$3,0,0,'Données projet'!$E$12+1,1))</f>
        <v>438.70522838726322</v>
      </c>
      <c r="CE43" s="62">
        <f t="shared" si="40"/>
        <v>278.21741231699929</v>
      </c>
      <c r="CF43" s="16">
        <f>IF(ISNA(VLOOKUP(A43,'Données projet'!$A$113:$I$133,3,0)),0,VLOOKUP(A43,'Données projet'!$A$113:$I$133,3,0))</f>
        <v>5</v>
      </c>
      <c r="CG43" s="16">
        <f>IF(ISNA(VLOOKUP(A43,'Données projet'!$A$113:$I$133,4,0)),0,VLOOKUP(A43,'Données projet'!$A$113:$I$133,4,0))</f>
        <v>28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175</v>
      </c>
      <c r="CR43" s="13">
        <f>VLOOKUP(A43,'Données projet'!$A$139:$I$159,9,0)</f>
        <v>11.2</v>
      </c>
      <c r="CS43" s="13">
        <f t="array" ref="CS43">INDEX(CR:CR,MIN(IF(ISNUMBER(CR43:CR239),ROW(CR43:CR239),"")))</f>
        <v>11.2</v>
      </c>
      <c r="CT43" s="13">
        <f>IF('Données projet'!$A$140&gt;35,CT42+CS43-DB42,IF(A43&lt;'Données projet'!$A$140,$CQ$205^A43,IF(A43='Données projet'!$A$140,'Données projet'!$B$140,CT42+CS43-DB42)))</f>
        <v>175</v>
      </c>
      <c r="CU43" s="18">
        <f>CT43*VLOOKUP('Données projet'!$B$13,Paramètres!$A$1:$I$89,3,0)*VLOOKUP('Données projet'!$B$13,Paramètres!$A$1:$I$89,5,0)</f>
        <v>177.45000000000002</v>
      </c>
      <c r="CV43" s="14">
        <f t="shared" si="41"/>
        <v>44.754387900936791</v>
      </c>
      <c r="CW43" s="22">
        <f t="shared" si="13"/>
        <v>387.0059755941316</v>
      </c>
      <c r="CX43" s="62">
        <f t="shared" si="14"/>
        <v>680.33930892746491</v>
      </c>
      <c r="CY43" s="62">
        <f ca="1">AVERAGE(OFFSET($CX$3,0,0,'Données projet'!$E$13+1,1))-AVERAGE(OFFSET($H$3,0,0,'Données projet'!$E$13+1,1))</f>
        <v>486.63673936259465</v>
      </c>
      <c r="CZ43" s="62">
        <f t="shared" si="42"/>
        <v>306.61893266146666</v>
      </c>
      <c r="DA43" s="16">
        <f>IF(ISNA(VLOOKUP(A43,'Données projet'!$A$139:$I$159,3,0)),0,VLOOKUP(A43,'Données projet'!$A$139:$I$159,3,0))</f>
        <v>5</v>
      </c>
      <c r="DB43" s="16">
        <f>IF(ISNA(VLOOKUP(A43,'Données projet'!$A$139:$I$159,4,0)),0,VLOOKUP(A43,'Données projet'!$A$139:$I$159,4,0))</f>
        <v>28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24.8</v>
      </c>
      <c r="N44" s="14">
        <f>IF('Données projet'!$A$36&gt;35,N43+M44-V43,IF(A44&lt;'Données projet'!$A$36,$K$205^A44,IF(A44='Données projet'!$A$36,'Données projet'!$B$36,N43+M44-V43)))</f>
        <v>586.79999999999984</v>
      </c>
      <c r="O44" s="14">
        <f>N44*VLOOKUP('Données projet'!$B$9,Paramètres!$A$1:$I$89,3,0)*VLOOKUP('Données projet'!$B$9,Paramètres!$A$1:$I$89,5,0)</f>
        <v>328.02119999999991</v>
      </c>
      <c r="P44" s="14">
        <f t="shared" si="33"/>
        <v>77.019907950957702</v>
      </c>
      <c r="Q44" s="22">
        <f t="shared" si="53"/>
        <v>705.44659634791776</v>
      </c>
      <c r="R44" s="62">
        <f t="shared" si="0"/>
        <v>998.77992968125113</v>
      </c>
      <c r="S44" s="62">
        <f ca="1">AVERAGE(OFFSET($R$3,0,0,'Données projet'!$E$9+1,1))-AVERAGE(OFFSET($H$3,0,0,'Données projet'!$E$9+1,1))</f>
        <v>555.15881087162279</v>
      </c>
      <c r="T44" s="62">
        <f t="shared" si="34"/>
        <v>668.20427590250733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23.047896907162539</v>
      </c>
      <c r="AA44" s="23">
        <f>EXP(-LN(2)/25)*AA43+(1-EXP(-LN(2)/25))/(LN(2)/25)*Calculateur!V44*Calculateur!X44*VLOOKUP('Données projet'!$B$9,Paramètres!$A$1:$I$89,3,0)*0.475*44/12</f>
        <v>16.681344147703722</v>
      </c>
      <c r="AB44" s="23">
        <f>EXP(-LN(2)/2)*AB43+(1-EXP(-LN(2)/2))/(LN(2)/2)*V44*Y44*VLOOKUP('Données projet'!$B$9,Paramètres!$A$1:$I$89,3,0)*0.475*44/12</f>
        <v>0.30564017409874999</v>
      </c>
      <c r="AC44" s="24">
        <f t="shared" si="3"/>
        <v>40.034881228965013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>
        <f>AI44*VLOOKUP('Données projet'!$B$10,Paramètres!$A$1:$I$89,3,0)*VLOOKUP('Données projet'!$B$10,Paramètres!$A$1:$I$89,5,0)</f>
        <v>0</v>
      </c>
      <c r="AK44" s="14" t="e">
        <f t="shared" si="35"/>
        <v>#NUM!</v>
      </c>
      <c r="AL44" s="22" t="e">
        <f t="shared" si="4"/>
        <v>#NUM!</v>
      </c>
      <c r="AM44" s="62" t="e">
        <f t="shared" si="5"/>
        <v>#NUM!</v>
      </c>
      <c r="AN44" s="62">
        <f ca="1">AVERAGE(OFFSET($AM$3,0,0,'Données projet'!$E$10+1,1))-AVERAGE(OFFSET($H$3,0,0,'Données projet'!$E$10+1,1))</f>
        <v>195.80903373714432</v>
      </c>
      <c r="AO44" s="62">
        <f t="shared" si="36"/>
        <v>388.30721786668977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79.46170266581376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5.8774924246749531</v>
      </c>
      <c r="AX44" s="23">
        <f t="shared" si="6"/>
        <v>85.339195090488715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6</v>
      </c>
      <c r="BD44" s="13">
        <f>IF('Données projet'!$A$88&gt;35,BD43+BC44-BL43,IF(A44&lt;'Données projet'!$A$88,$BA$205^A44,IF(A44='Données projet'!$A$88,'Données projet'!$B$88,BD43+BC44-BL43)))</f>
        <v>287.99999999999994</v>
      </c>
      <c r="BE44" s="14">
        <f>BD44*VLOOKUP('Données projet'!$B$11,Paramètres!$A$1:$I$89,3,0)*VLOOKUP('Données projet'!$B$11,Paramètres!$A$1:$I$89,5,0)</f>
        <v>260.58239999999995</v>
      </c>
      <c r="BF44" s="14">
        <f t="shared" si="37"/>
        <v>62.846505929896907</v>
      </c>
      <c r="BG44" s="22">
        <f t="shared" si="7"/>
        <v>563.30534449457025</v>
      </c>
      <c r="BH44" s="62">
        <f t="shared" si="8"/>
        <v>856.63867782790362</v>
      </c>
      <c r="BI44" s="62">
        <f ca="1">AVERAGE(OFFSET($BH$3,0,0,'Données projet'!$E$11+1,1))-AVERAGE(OFFSET($H$3,0,0,'Données projet'!$E$11+1,1))</f>
        <v>366.86025470473652</v>
      </c>
      <c r="BJ44" s="62">
        <f t="shared" si="38"/>
        <v>513.80016421153414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8.5128526785522425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8.5128526785522425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11.4</v>
      </c>
      <c r="BY44" s="13">
        <f>IF('Données projet'!$A$114&gt;35,BY43+BX44-CG43,IF(A44&lt;'Données projet'!$A$114,$BV$205^A44,IF(A44='Données projet'!$A$114,'Données projet'!$B$114,BY43+BX44-CG43)))</f>
        <v>158.4</v>
      </c>
      <c r="BZ44" s="14">
        <f>BY44*VLOOKUP('Données projet'!$B$12,Paramètres!$A$1:$I$89,3,0)*VLOOKUP('Données projet'!$B$12,Paramètres!$A$1:$I$89,5,0)</f>
        <v>143.32032000000001</v>
      </c>
      <c r="CA44" s="14">
        <f t="shared" si="39"/>
        <v>37.056603420232349</v>
      </c>
      <c r="CB44" s="22">
        <f t="shared" si="10"/>
        <v>314.15647495690467</v>
      </c>
      <c r="CC44" s="62">
        <f t="shared" si="11"/>
        <v>607.48980829023799</v>
      </c>
      <c r="CD44" s="62">
        <f ca="1">AVERAGE(OFFSET($CC$3,0,0,'Données projet'!$E$12+1,1))-AVERAGE(OFFSET($H$3,0,0,'Données projet'!$E$12+1,1))</f>
        <v>438.70522838726322</v>
      </c>
      <c r="CE44" s="62">
        <f t="shared" si="40"/>
        <v>278.21741231699929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11.4</v>
      </c>
      <c r="CT44" s="13">
        <f>IF('Données projet'!$A$140&gt;35,CT43+CS44-DB43,IF(A44&lt;'Données projet'!$A$140,$CQ$205^A44,IF(A44='Données projet'!$A$140,'Données projet'!$B$140,CT43+CS44-DB43)))</f>
        <v>158.4</v>
      </c>
      <c r="CU44" s="18">
        <f>CT44*VLOOKUP('Données projet'!$B$13,Paramètres!$A$1:$I$89,3,0)*VLOOKUP('Données projet'!$B$13,Paramètres!$A$1:$I$89,5,0)</f>
        <v>160.61760000000001</v>
      </c>
      <c r="CV44" s="14">
        <f t="shared" si="41"/>
        <v>40.981785561145074</v>
      </c>
      <c r="CW44" s="22">
        <f t="shared" si="13"/>
        <v>351.11892985232771</v>
      </c>
      <c r="CX44" s="62">
        <f t="shared" si="14"/>
        <v>644.45226318566097</v>
      </c>
      <c r="CY44" s="62">
        <f ca="1">AVERAGE(OFFSET($CX$3,0,0,'Données projet'!$E$13+1,1))-AVERAGE(OFFSET($H$3,0,0,'Données projet'!$E$13+1,1))</f>
        <v>486.63673936259465</v>
      </c>
      <c r="CZ44" s="62">
        <f t="shared" si="42"/>
        <v>306.61893266146666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24.8</v>
      </c>
      <c r="N45" s="14">
        <f>IF('Données projet'!$A$36&gt;35,N44+M45-V44,IF(A45&lt;'Données projet'!$A$36,$K$205^A45,IF(A45='Données projet'!$A$36,'Données projet'!$B$36,N44+M45-V44)))</f>
        <v>611.5999999999998</v>
      </c>
      <c r="O45" s="14">
        <f>N45*VLOOKUP('Données projet'!$B$9,Paramètres!$A$1:$I$89,3,0)*VLOOKUP('Données projet'!$B$9,Paramètres!$A$1:$I$89,5,0)</f>
        <v>341.88439999999986</v>
      </c>
      <c r="P45" s="14">
        <f t="shared" si="33"/>
        <v>79.889150066970018</v>
      </c>
      <c r="Q45" s="22">
        <f t="shared" si="53"/>
        <v>734.58893303330581</v>
      </c>
      <c r="R45" s="62">
        <f t="shared" si="0"/>
        <v>1027.9222663666392</v>
      </c>
      <c r="S45" s="62">
        <f ca="1">AVERAGE(OFFSET($R$3,0,0,'Données projet'!$E$9+1,1))-AVERAGE(OFFSET($H$3,0,0,'Données projet'!$E$9+1,1))</f>
        <v>555.15881087162279</v>
      </c>
      <c r="T45" s="62">
        <f t="shared" si="34"/>
        <v>668.20427590250733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22.595941706642098</v>
      </c>
      <c r="AA45" s="23">
        <f>EXP(-LN(2)/25)*AA44+(1-EXP(-LN(2)/25))/(LN(2)/25)*Calculateur!V45*Calculateur!X45*VLOOKUP('Données projet'!$B$9,Paramètres!$A$1:$I$89,3,0)*0.475*44/12</f>
        <v>16.225191914751001</v>
      </c>
      <c r="AB45" s="23">
        <f>EXP(-LN(2)/2)*AB44+(1-EXP(-LN(2)/2))/(LN(2)/2)*V45*Y45*VLOOKUP('Données projet'!$B$9,Paramètres!$A$1:$I$89,3,0)*0.475*44/12</f>
        <v>0.21612023970826311</v>
      </c>
      <c r="AC45" s="24">
        <f t="shared" si="3"/>
        <v>39.037253861101362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>
        <f>AI45*VLOOKUP('Données projet'!$B$10,Paramètres!$A$1:$I$89,3,0)*VLOOKUP('Données projet'!$B$10,Paramètres!$A$1:$I$89,5,0)</f>
        <v>0</v>
      </c>
      <c r="AK45" s="14" t="e">
        <f t="shared" si="35"/>
        <v>#NUM!</v>
      </c>
      <c r="AL45" s="22" t="e">
        <f t="shared" si="4"/>
        <v>#NUM!</v>
      </c>
      <c r="AM45" s="62" t="e">
        <f t="shared" si="5"/>
        <v>#NUM!</v>
      </c>
      <c r="AN45" s="62">
        <f ca="1">AVERAGE(OFFSET($AM$3,0,0,'Données projet'!$E$10+1,1))-AVERAGE(OFFSET($H$3,0,0,'Données projet'!$E$10+1,1))</f>
        <v>195.80903373714432</v>
      </c>
      <c r="AO45" s="62">
        <f t="shared" si="36"/>
        <v>388.30721786668977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77.903507143390073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4.1560147498602227</v>
      </c>
      <c r="AX45" s="23">
        <f t="shared" si="6"/>
        <v>82.059521893250292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6</v>
      </c>
      <c r="BD45" s="13">
        <f>IF('Données projet'!$A$88&gt;35,BD44+BC45-BL44,IF(A45&lt;'Données projet'!$A$88,$BA$205^A45,IF(A45='Données projet'!$A$88,'Données projet'!$B$88,BD44+BC45-BL44)))</f>
        <v>293.99999999999994</v>
      </c>
      <c r="BE45" s="14">
        <f>BD45*VLOOKUP('Données projet'!$B$11,Paramètres!$A$1:$I$89,3,0)*VLOOKUP('Données projet'!$B$11,Paramètres!$A$1:$I$89,5,0)</f>
        <v>266.01119999999992</v>
      </c>
      <c r="BF45" s="14">
        <f t="shared" si="37"/>
        <v>64.00201337612566</v>
      </c>
      <c r="BG45" s="22">
        <f t="shared" si="7"/>
        <v>574.77301329675208</v>
      </c>
      <c r="BH45" s="62">
        <f t="shared" si="8"/>
        <v>868.10634663008545</v>
      </c>
      <c r="BI45" s="62">
        <f ca="1">AVERAGE(OFFSET($BH$3,0,0,'Données projet'!$E$11+1,1))-AVERAGE(OFFSET($H$3,0,0,'Données projet'!$E$11+1,1))</f>
        <v>366.86025470473652</v>
      </c>
      <c r="BJ45" s="62">
        <f t="shared" si="38"/>
        <v>513.80016421153414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8.3459208298532666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8.3459208298532666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11.4</v>
      </c>
      <c r="BY45" s="13">
        <f>IF('Données projet'!$A$114&gt;35,BY44+BX45-CG44,IF(A45&lt;'Données projet'!$A$114,$BV$205^A45,IF(A45='Données projet'!$A$114,'Données projet'!$B$114,BY44+BX45-CG44)))</f>
        <v>169.8</v>
      </c>
      <c r="BZ45" s="14">
        <f>BY45*VLOOKUP('Données projet'!$B$12,Paramètres!$A$1:$I$89,3,0)*VLOOKUP('Données projet'!$B$12,Paramètres!$A$1:$I$89,5,0)</f>
        <v>153.63504</v>
      </c>
      <c r="CA45" s="14">
        <f t="shared" si="39"/>
        <v>39.403506785222667</v>
      </c>
      <c r="CB45" s="22">
        <f t="shared" si="10"/>
        <v>336.20880231759617</v>
      </c>
      <c r="CC45" s="62">
        <f t="shared" si="11"/>
        <v>629.54213565092948</v>
      </c>
      <c r="CD45" s="62">
        <f ca="1">AVERAGE(OFFSET($CC$3,0,0,'Données projet'!$E$12+1,1))-AVERAGE(OFFSET($H$3,0,0,'Données projet'!$E$12+1,1))</f>
        <v>438.70522838726322</v>
      </c>
      <c r="CE45" s="62">
        <f t="shared" si="40"/>
        <v>278.21741231699929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11.4</v>
      </c>
      <c r="CT45" s="13">
        <f>IF('Données projet'!$A$140&gt;35,CT44+CS45-DB44,IF(A45&lt;'Données projet'!$A$140,$CQ$205^A45,IF(A45='Données projet'!$A$140,'Données projet'!$B$140,CT44+CS45-DB44)))</f>
        <v>169.8</v>
      </c>
      <c r="CU45" s="18">
        <f>CT45*VLOOKUP('Données projet'!$B$13,Paramètres!$A$1:$I$89,3,0)*VLOOKUP('Données projet'!$B$13,Paramètres!$A$1:$I$89,5,0)</f>
        <v>172.1772</v>
      </c>
      <c r="CV45" s="14">
        <f t="shared" si="41"/>
        <v>43.577282221917017</v>
      </c>
      <c r="CW45" s="22">
        <f t="shared" si="13"/>
        <v>375.77238986983883</v>
      </c>
      <c r="CX45" s="62">
        <f t="shared" si="14"/>
        <v>669.10572320317215</v>
      </c>
      <c r="CY45" s="62">
        <f ca="1">AVERAGE(OFFSET($CX$3,0,0,'Données projet'!$E$13+1,1))-AVERAGE(OFFSET($H$3,0,0,'Données projet'!$E$13+1,1))</f>
        <v>486.63673936259465</v>
      </c>
      <c r="CZ45" s="62">
        <f t="shared" si="42"/>
        <v>306.61893266146666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24.8</v>
      </c>
      <c r="N46" s="14">
        <f>IF('Données projet'!$A$36&gt;35,N45+M46-V45,IF(A46&lt;'Données projet'!$A$36,$K$205^A46,IF(A46='Données projet'!$A$36,'Données projet'!$B$36,N45+M46-V45)))</f>
        <v>636.39999999999975</v>
      </c>
      <c r="O46" s="14">
        <f>N46*VLOOKUP('Données projet'!$B$9,Paramètres!$A$1:$I$89,3,0)*VLOOKUP('Données projet'!$B$9,Paramètres!$A$1:$I$89,5,0)</f>
        <v>355.74759999999986</v>
      </c>
      <c r="P46" s="14">
        <f t="shared" si="33"/>
        <v>82.744877508992289</v>
      </c>
      <c r="Q46" s="22">
        <f t="shared" si="53"/>
        <v>763.70773166149456</v>
      </c>
      <c r="R46" s="62">
        <f t="shared" si="0"/>
        <v>1057.0410649948278</v>
      </c>
      <c r="S46" s="62">
        <f ca="1">AVERAGE(OFFSET($R$3,0,0,'Données projet'!$E$9+1,1))-AVERAGE(OFFSET($H$3,0,0,'Données projet'!$E$9+1,1))</f>
        <v>555.15881087162279</v>
      </c>
      <c r="T46" s="62">
        <f t="shared" si="34"/>
        <v>668.20427590250733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22.152849071938412</v>
      </c>
      <c r="AA46" s="23">
        <f>EXP(-LN(2)/25)*AA45+(1-EXP(-LN(2)/25))/(LN(2)/25)*Calculateur!V46*Calculateur!X46*VLOOKUP('Données projet'!$B$9,Paramètres!$A$1:$I$89,3,0)*0.475*44/12</f>
        <v>15.781513188596374</v>
      </c>
      <c r="AB46" s="23">
        <f>EXP(-LN(2)/2)*AB45+(1-EXP(-LN(2)/2))/(LN(2)/2)*V46*Y46*VLOOKUP('Données projet'!$B$9,Paramètres!$A$1:$I$89,3,0)*0.475*44/12</f>
        <v>0.152820087049375</v>
      </c>
      <c r="AC46" s="24">
        <f t="shared" si="3"/>
        <v>38.087182347584161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>
        <f>AI46*VLOOKUP('Données projet'!$B$10,Paramètres!$A$1:$I$89,3,0)*VLOOKUP('Données projet'!$B$10,Paramètres!$A$1:$I$89,5,0)</f>
        <v>0</v>
      </c>
      <c r="AK46" s="14" t="e">
        <f t="shared" si="35"/>
        <v>#NUM!</v>
      </c>
      <c r="AL46" s="22" t="e">
        <f t="shared" si="4"/>
        <v>#NUM!</v>
      </c>
      <c r="AM46" s="62" t="e">
        <f t="shared" si="5"/>
        <v>#NUM!</v>
      </c>
      <c r="AN46" s="62">
        <f ca="1">AVERAGE(OFFSET($AM$3,0,0,'Données projet'!$E$10+1,1))-AVERAGE(OFFSET($H$3,0,0,'Données projet'!$E$10+1,1))</f>
        <v>195.80903373714432</v>
      </c>
      <c r="AO46" s="62">
        <f t="shared" si="36"/>
        <v>388.30721786668977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76.375866884755695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2.9387462123374766</v>
      </c>
      <c r="AX46" s="23">
        <f t="shared" si="6"/>
        <v>79.314613097093172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6</v>
      </c>
      <c r="BD46" s="13">
        <f>IF('Données projet'!$A$88&gt;35,BD45+BC46-BL45,IF(A46&lt;'Données projet'!$A$88,$BA$205^A46,IF(A46='Données projet'!$A$88,'Données projet'!$B$88,BD45+BC46-BL45)))</f>
        <v>299.99999999999994</v>
      </c>
      <c r="BE46" s="14">
        <f>BD46*VLOOKUP('Données projet'!$B$11,Paramètres!$A$1:$I$89,3,0)*VLOOKUP('Données projet'!$B$11,Paramètres!$A$1:$I$89,5,0)</f>
        <v>271.43999999999994</v>
      </c>
      <c r="BF46" s="14">
        <f t="shared" si="37"/>
        <v>65.154778959151173</v>
      </c>
      <c r="BG46" s="22">
        <f t="shared" si="7"/>
        <v>586.23590668718805</v>
      </c>
      <c r="BH46" s="62">
        <f t="shared" si="8"/>
        <v>879.56924002052142</v>
      </c>
      <c r="BI46" s="62">
        <f ca="1">AVERAGE(OFFSET($BH$3,0,0,'Données projet'!$E$11+1,1))-AVERAGE(OFFSET($H$3,0,0,'Données projet'!$E$11+1,1))</f>
        <v>366.86025470473652</v>
      </c>
      <c r="BJ46" s="62">
        <f t="shared" si="38"/>
        <v>513.80016421153414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8.182262412888905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8.182262412888905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11.4</v>
      </c>
      <c r="BY46" s="13">
        <f>IF('Données projet'!$A$114&gt;35,BY45+BX46-CG45,IF(A46&lt;'Données projet'!$A$114,$BV$205^A46,IF(A46='Données projet'!$A$114,'Données projet'!$B$114,BY45+BX46-CG45)))</f>
        <v>181.20000000000002</v>
      </c>
      <c r="BZ46" s="14">
        <f>BY46*VLOOKUP('Données projet'!$B$12,Paramètres!$A$1:$I$89,3,0)*VLOOKUP('Données projet'!$B$12,Paramètres!$A$1:$I$89,5,0)</f>
        <v>163.94976</v>
      </c>
      <c r="CA46" s="14">
        <f t="shared" si="39"/>
        <v>41.732126457893308</v>
      </c>
      <c r="CB46" s="22">
        <f t="shared" si="10"/>
        <v>358.22928558083089</v>
      </c>
      <c r="CC46" s="62">
        <f t="shared" si="11"/>
        <v>651.5626189141642</v>
      </c>
      <c r="CD46" s="62">
        <f ca="1">AVERAGE(OFFSET($CC$3,0,0,'Données projet'!$E$12+1,1))-AVERAGE(OFFSET($H$3,0,0,'Données projet'!$E$12+1,1))</f>
        <v>438.70522838726322</v>
      </c>
      <c r="CE46" s="62">
        <f t="shared" si="40"/>
        <v>278.21741231699929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11.4</v>
      </c>
      <c r="CT46" s="13">
        <f>IF('Données projet'!$A$140&gt;35,CT45+CS46-DB45,IF(A46&lt;'Données projet'!$A$140,$CQ$205^A46,IF(A46='Données projet'!$A$140,'Données projet'!$B$140,CT45+CS46-DB45)))</f>
        <v>181.20000000000002</v>
      </c>
      <c r="CU46" s="18">
        <f>CT46*VLOOKUP('Données projet'!$B$13,Paramètres!$A$1:$I$89,3,0)*VLOOKUP('Données projet'!$B$13,Paramètres!$A$1:$I$89,5,0)</f>
        <v>183.73680000000002</v>
      </c>
      <c r="CV46" s="14">
        <f t="shared" si="41"/>
        <v>46.152558509293854</v>
      </c>
      <c r="CW46" s="22">
        <f t="shared" si="13"/>
        <v>400.3906327370201</v>
      </c>
      <c r="CX46" s="62">
        <f t="shared" si="14"/>
        <v>693.72396607035341</v>
      </c>
      <c r="CY46" s="62">
        <f ca="1">AVERAGE(OFFSET($CX$3,0,0,'Données projet'!$E$13+1,1))-AVERAGE(OFFSET($H$3,0,0,'Données projet'!$E$13+1,1))</f>
        <v>486.63673936259465</v>
      </c>
      <c r="CZ46" s="62">
        <f t="shared" si="42"/>
        <v>306.61893266146666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24.8</v>
      </c>
      <c r="N47" s="14">
        <f>IF('Données projet'!$A$36&gt;35,N46+M47-V46,IF(A47&lt;'Données projet'!$A$36,$K$205^A47,IF(A47='Données projet'!$A$36,'Données projet'!$B$36,N46+M47-V46)))</f>
        <v>661.1999999999997</v>
      </c>
      <c r="O47" s="14">
        <f>N47*VLOOKUP('Données projet'!$B$9,Paramètres!$A$1:$I$89,3,0)*VLOOKUP('Données projet'!$B$9,Paramètres!$A$1:$I$89,5,0)</f>
        <v>369.61079999999981</v>
      </c>
      <c r="P47" s="14">
        <f t="shared" si="33"/>
        <v>85.587677206936931</v>
      </c>
      <c r="Q47" s="22">
        <f t="shared" si="53"/>
        <v>792.80401446874805</v>
      </c>
      <c r="R47" s="62">
        <f t="shared" si="0"/>
        <v>1086.1373478020814</v>
      </c>
      <c r="S47" s="62">
        <f ca="1">AVERAGE(OFFSET($R$3,0,0,'Données projet'!$E$9+1,1))-AVERAGE(OFFSET($H$3,0,0,'Données projet'!$E$9+1,1))</f>
        <v>555.15881087162279</v>
      </c>
      <c r="T47" s="62">
        <f t="shared" si="34"/>
        <v>668.20427590250733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21.718445213541443</v>
      </c>
      <c r="AA47" s="23">
        <f>EXP(-LN(2)/25)*AA46+(1-EXP(-LN(2)/25))/(LN(2)/25)*Calculateur!V47*Calculateur!X47*VLOOKUP('Données projet'!$B$9,Paramètres!$A$1:$I$89,3,0)*0.475*44/12</f>
        <v>15.349966880540498</v>
      </c>
      <c r="AB47" s="23">
        <f>EXP(-LN(2)/2)*AB46+(1-EXP(-LN(2)/2))/(LN(2)/2)*V47*Y47*VLOOKUP('Données projet'!$B$9,Paramètres!$A$1:$I$89,3,0)*0.475*44/12</f>
        <v>0.10806011985413155</v>
      </c>
      <c r="AC47" s="24">
        <f t="shared" si="3"/>
        <v>37.176472213936073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>
        <f>AI47*VLOOKUP('Données projet'!$B$10,Paramètres!$A$1:$I$89,3,0)*VLOOKUP('Données projet'!$B$10,Paramètres!$A$1:$I$89,5,0)</f>
        <v>0</v>
      </c>
      <c r="AK47" s="14" t="e">
        <f t="shared" si="35"/>
        <v>#NUM!</v>
      </c>
      <c r="AL47" s="22" t="e">
        <f t="shared" si="4"/>
        <v>#NUM!</v>
      </c>
      <c r="AM47" s="62" t="e">
        <f t="shared" si="5"/>
        <v>#NUM!</v>
      </c>
      <c r="AN47" s="62">
        <f ca="1">AVERAGE(OFFSET($AM$3,0,0,'Données projet'!$E$10+1,1))-AVERAGE(OFFSET($H$3,0,0,'Données projet'!$E$10+1,1))</f>
        <v>195.80903373714432</v>
      </c>
      <c r="AO47" s="62">
        <f t="shared" si="36"/>
        <v>388.30721786668977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74.878182719824579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2.0780073749301113</v>
      </c>
      <c r="AX47" s="23">
        <f t="shared" si="6"/>
        <v>76.956190094754689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6</v>
      </c>
      <c r="BD47" s="13">
        <f>IF('Données projet'!$A$88&gt;35,BD46+BC47-BL46,IF(A47&lt;'Données projet'!$A$88,$BA$205^A47,IF(A47='Données projet'!$A$88,'Données projet'!$B$88,BD46+BC47-BL46)))</f>
        <v>305.99999999999994</v>
      </c>
      <c r="BE47" s="14">
        <f>BD47*VLOOKUP('Données projet'!$B$11,Paramètres!$A$1:$I$89,3,0)*VLOOKUP('Données projet'!$B$11,Paramètres!$A$1:$I$89,5,0)</f>
        <v>276.86879999999996</v>
      </c>
      <c r="BF47" s="14">
        <f t="shared" si="37"/>
        <v>66.30486383631866</v>
      </c>
      <c r="BG47" s="22">
        <f t="shared" si="7"/>
        <v>597.6941311815882</v>
      </c>
      <c r="BH47" s="62">
        <f t="shared" si="8"/>
        <v>891.02746451492158</v>
      </c>
      <c r="BI47" s="62">
        <f ca="1">AVERAGE(OFFSET($BH$3,0,0,'Données projet'!$E$11+1,1))-AVERAGE(OFFSET($H$3,0,0,'Données projet'!$E$11+1,1))</f>
        <v>366.86025470473652</v>
      </c>
      <c r="BJ47" s="62">
        <f t="shared" si="38"/>
        <v>513.80016421153414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8.0218132376594351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8.0218132376594351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11.4</v>
      </c>
      <c r="BY47" s="13">
        <f>IF('Données projet'!$A$114&gt;35,BY46+BX47-CG46,IF(A47&lt;'Données projet'!$A$114,$BV$205^A47,IF(A47='Données projet'!$A$114,'Données projet'!$B$114,BY46+BX47-CG46)))</f>
        <v>192.60000000000002</v>
      </c>
      <c r="BZ47" s="14">
        <f>BY47*VLOOKUP('Données projet'!$B$12,Paramètres!$A$1:$I$89,3,0)*VLOOKUP('Données projet'!$B$12,Paramètres!$A$1:$I$89,5,0)</f>
        <v>174.26447999999999</v>
      </c>
      <c r="CA47" s="14">
        <f t="shared" si="39"/>
        <v>44.043743683739521</v>
      </c>
      <c r="CB47" s="22">
        <f t="shared" si="10"/>
        <v>380.22015624917964</v>
      </c>
      <c r="CC47" s="62">
        <f t="shared" si="11"/>
        <v>673.55348958251295</v>
      </c>
      <c r="CD47" s="62">
        <f ca="1">AVERAGE(OFFSET($CC$3,0,0,'Données projet'!$E$12+1,1))-AVERAGE(OFFSET($H$3,0,0,'Données projet'!$E$12+1,1))</f>
        <v>438.70522838726322</v>
      </c>
      <c r="CE47" s="62">
        <f t="shared" si="40"/>
        <v>278.21741231699929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11.4</v>
      </c>
      <c r="CT47" s="13">
        <f>IF('Données projet'!$A$140&gt;35,CT46+CS47-DB46,IF(A47&lt;'Données projet'!$A$140,$CQ$205^A47,IF(A47='Données projet'!$A$140,'Données projet'!$B$140,CT46+CS47-DB46)))</f>
        <v>192.60000000000002</v>
      </c>
      <c r="CU47" s="18">
        <f>CT47*VLOOKUP('Données projet'!$B$13,Paramètres!$A$1:$I$89,3,0)*VLOOKUP('Données projet'!$B$13,Paramètres!$A$1:$I$89,5,0)</f>
        <v>195.29640000000003</v>
      </c>
      <c r="CV47" s="14">
        <f t="shared" si="41"/>
        <v>48.709031383366153</v>
      </c>
      <c r="CW47" s="22">
        <f t="shared" si="13"/>
        <v>424.97612632602949</v>
      </c>
      <c r="CX47" s="62">
        <f t="shared" si="14"/>
        <v>718.3094596593628</v>
      </c>
      <c r="CY47" s="62">
        <f ca="1">AVERAGE(OFFSET($CX$3,0,0,'Données projet'!$E$13+1,1))-AVERAGE(OFFSET($H$3,0,0,'Données projet'!$E$13+1,1))</f>
        <v>486.63673936259465</v>
      </c>
      <c r="CZ47" s="62">
        <f t="shared" si="42"/>
        <v>306.61893266146666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686</v>
      </c>
      <c r="L48" s="13">
        <f>VLOOKUP(A48,'Données projet'!$A$35:$I$55,9,0)</f>
        <v>24.8</v>
      </c>
      <c r="M48" s="13">
        <f t="array" ref="M48">INDEX(L:L,MIN(IF(ISNUMBER(L48:L244),ROW(L48:L244),"")))</f>
        <v>24.8</v>
      </c>
      <c r="N48" s="14">
        <f>IF('Données projet'!$A$36&gt;35,N47+M48-V47,IF(A48&lt;'Données projet'!$A$36,$K$205^A48,IF(A48='Données projet'!$A$36,'Données projet'!$B$36,N47+M48-V47)))</f>
        <v>685.99999999999966</v>
      </c>
      <c r="O48" s="14">
        <f>N48*VLOOKUP('Données projet'!$B$9,Paramètres!$A$1:$I$89,3,0)*VLOOKUP('Données projet'!$B$9,Paramètres!$A$1:$I$89,5,0)</f>
        <v>383.47399999999982</v>
      </c>
      <c r="P48" s="14">
        <f t="shared" si="33"/>
        <v>88.418089567872116</v>
      </c>
      <c r="Q48" s="22">
        <f t="shared" si="53"/>
        <v>821.87872266404372</v>
      </c>
      <c r="R48" s="62">
        <f t="shared" si="0"/>
        <v>1115.2120559973771</v>
      </c>
      <c r="S48" s="62">
        <f ca="1">AVERAGE(OFFSET($R$3,0,0,'Données projet'!$E$9+1,1))-AVERAGE(OFFSET($H$3,0,0,'Données projet'!$E$9+1,1))</f>
        <v>555.15881087162279</v>
      </c>
      <c r="T48" s="62">
        <f t="shared" si="34"/>
        <v>668.20427590250733</v>
      </c>
      <c r="U48" s="16">
        <f>IF(ISNA(VLOOKUP(A48,'Données projet'!$A$35:$I$55,3,0)),0,VLOOKUP(A48,'Données projet'!$A$35:$I$55,3,0))</f>
        <v>7</v>
      </c>
      <c r="V48" s="16">
        <f>IF(ISNA(VLOOKUP(A48,'Données projet'!$A$35:$I$55,4,0)),0,VLOOKUP(A48,'Données projet'!$A$35:$I$55,4,0))</f>
        <v>64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21.292559749847449</v>
      </c>
      <c r="AA48" s="23">
        <f>EXP(-LN(2)/25)*AA47+(1-EXP(-LN(2)/25))/(LN(2)/25)*Calculateur!V48*Calculateur!X48*VLOOKUP('Données projet'!$B$9,Paramètres!$A$1:$I$89,3,0)*0.475*44/12</f>
        <v>14.930221228972442</v>
      </c>
      <c r="AB48" s="23">
        <f>EXP(-LN(2)/2)*AB47+(1-EXP(-LN(2)/2))/(LN(2)/2)*V48*Y48*VLOOKUP('Données projet'!$B$9,Paramètres!$A$1:$I$89,3,0)*0.475*44/12</f>
        <v>7.6410043524687499E-2</v>
      </c>
      <c r="AC48" s="24">
        <f t="shared" si="3"/>
        <v>36.29919102234458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>
        <f>AI48*VLOOKUP('Données projet'!$B$10,Paramètres!$A$1:$I$89,3,0)*VLOOKUP('Données projet'!$B$10,Paramètres!$A$1:$I$89,5,0)</f>
        <v>0</v>
      </c>
      <c r="AK48" s="14" t="e">
        <f t="shared" si="35"/>
        <v>#NUM!</v>
      </c>
      <c r="AL48" s="22" t="e">
        <f t="shared" si="4"/>
        <v>#NUM!</v>
      </c>
      <c r="AM48" s="62" t="e">
        <f t="shared" si="5"/>
        <v>#NUM!</v>
      </c>
      <c r="AN48" s="62">
        <f ca="1">AVERAGE(OFFSET($AM$3,0,0,'Données projet'!$E$10+1,1))-AVERAGE(OFFSET($H$3,0,0,'Données projet'!$E$10+1,1))</f>
        <v>195.80903373714432</v>
      </c>
      <c r="AO48" s="62">
        <f t="shared" si="36"/>
        <v>388.30721786668977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73.40986722787062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1.4693731061687383</v>
      </c>
      <c r="AX48" s="23">
        <f t="shared" si="6"/>
        <v>74.879240334039352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312</v>
      </c>
      <c r="BB48" s="13">
        <f>VLOOKUP(A48,'Données projet'!$A$87:$I$107,9,0)</f>
        <v>6</v>
      </c>
      <c r="BC48" s="13">
        <f t="array" ref="BC48">INDEX(BB:BB,MIN(IF(ISNUMBER(BB48:BB244),ROW(BB48:BB244),"")))</f>
        <v>6</v>
      </c>
      <c r="BD48" s="13">
        <f>IF('Données projet'!$A$88&gt;35,BD47+BC48-BL47,IF(A48&lt;'Données projet'!$A$88,$BA$205^A48,IF(A48='Données projet'!$A$88,'Données projet'!$B$88,BD47+BC48-BL47)))</f>
        <v>311.99999999999994</v>
      </c>
      <c r="BE48" s="14">
        <f>BD48*VLOOKUP('Données projet'!$B$11,Paramètres!$A$1:$I$89,3,0)*VLOOKUP('Données projet'!$B$11,Paramètres!$A$1:$I$89,5,0)</f>
        <v>282.29759999999993</v>
      </c>
      <c r="BF48" s="14">
        <f t="shared" si="37"/>
        <v>67.452326629470178</v>
      </c>
      <c r="BG48" s="22">
        <f t="shared" si="7"/>
        <v>609.14778887966042</v>
      </c>
      <c r="BH48" s="62">
        <f t="shared" si="8"/>
        <v>902.4811222129938</v>
      </c>
      <c r="BI48" s="62">
        <f ca="1">AVERAGE(OFFSET($BH$3,0,0,'Données projet'!$E$11+1,1))-AVERAGE(OFFSET($H$3,0,0,'Données projet'!$E$11+1,1))</f>
        <v>366.86025470473652</v>
      </c>
      <c r="BJ48" s="62">
        <f t="shared" si="38"/>
        <v>513.80016421153414</v>
      </c>
      <c r="BK48" s="16">
        <f>IF(ISNA(VLOOKUP(A48,'Données projet'!$A$87:$I$107,3,0)),0,VLOOKUP(A48,'Données projet'!$A$87:$I$107,3,0))</f>
        <v>9</v>
      </c>
      <c r="BL48" s="16">
        <f>IF(ISNA(VLOOKUP(A48,'Données projet'!$A$87:$I$107,4,0)),0,VLOOKUP(A48,'Données projet'!$A$87:$I$107,4,0))</f>
        <v>312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7.8645103728918828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7.8645103728918828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204</v>
      </c>
      <c r="BW48" s="13">
        <f>VLOOKUP(A48,'Données projet'!$A$113:$I$133,9,0)</f>
        <v>11.4</v>
      </c>
      <c r="BX48" s="13">
        <f t="array" ref="BX48">INDEX(BW:BW,MIN(IF(ISNUMBER(BW48:BW244),ROW(BW48:BW244),"")))</f>
        <v>11.4</v>
      </c>
      <c r="BY48" s="13">
        <f>IF('Données projet'!$A$114&gt;35,BY47+BX48-CG47,IF(A48&lt;'Données projet'!$A$114,$BV$205^A48,IF(A48='Données projet'!$A$114,'Données projet'!$B$114,BY47+BX48-CG47)))</f>
        <v>204.00000000000003</v>
      </c>
      <c r="BZ48" s="14">
        <f>BY48*VLOOKUP('Données projet'!$B$12,Paramètres!$A$1:$I$89,3,0)*VLOOKUP('Données projet'!$B$12,Paramètres!$A$1:$I$89,5,0)</f>
        <v>184.57920000000001</v>
      </c>
      <c r="CA48" s="14">
        <f t="shared" si="39"/>
        <v>46.339479465836661</v>
      </c>
      <c r="CB48" s="22">
        <f t="shared" si="10"/>
        <v>402.18336673633218</v>
      </c>
      <c r="CC48" s="62">
        <f t="shared" si="11"/>
        <v>695.51670006966549</v>
      </c>
      <c r="CD48" s="62">
        <f ca="1">AVERAGE(OFFSET($CC$3,0,0,'Données projet'!$E$12+1,1))-AVERAGE(OFFSET($H$3,0,0,'Données projet'!$E$12+1,1))</f>
        <v>438.70522838726322</v>
      </c>
      <c r="CE48" s="62">
        <f t="shared" si="40"/>
        <v>278.21741231699929</v>
      </c>
      <c r="CF48" s="16">
        <f>IF(ISNA(VLOOKUP(A48,'Données projet'!$A$113:$I$133,3,0)),0,VLOOKUP(A48,'Données projet'!$A$113:$I$133,3,0))</f>
        <v>6</v>
      </c>
      <c r="CG48" s="16">
        <f>IF(ISNA(VLOOKUP(A48,'Données projet'!$A$113:$I$133,4,0)),0,VLOOKUP(A48,'Données projet'!$A$113:$I$133,4,0))</f>
        <v>28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204</v>
      </c>
      <c r="CR48" s="13">
        <f>VLOOKUP(A48,'Données projet'!$A$139:$I$159,9,0)</f>
        <v>11.4</v>
      </c>
      <c r="CS48" s="13">
        <f t="array" ref="CS48">INDEX(CR:CR,MIN(IF(ISNUMBER(CR48:CR244),ROW(CR48:CR244),"")))</f>
        <v>11.4</v>
      </c>
      <c r="CT48" s="13">
        <f>IF('Données projet'!$A$140&gt;35,CT47+CS48-DB47,IF(A48&lt;'Données projet'!$A$140,$CQ$205^A48,IF(A48='Données projet'!$A$140,'Données projet'!$B$140,CT47+CS48-DB47)))</f>
        <v>204.00000000000003</v>
      </c>
      <c r="CU48" s="18">
        <f>CT48*VLOOKUP('Données projet'!$B$13,Paramètres!$A$1:$I$89,3,0)*VLOOKUP('Données projet'!$B$13,Paramètres!$A$1:$I$89,5,0)</f>
        <v>206.85600000000005</v>
      </c>
      <c r="CV48" s="14">
        <f t="shared" si="41"/>
        <v>51.247940588293027</v>
      </c>
      <c r="CW48" s="22">
        <f t="shared" si="13"/>
        <v>449.53102985794379</v>
      </c>
      <c r="CX48" s="62">
        <f t="shared" si="14"/>
        <v>742.86436319127711</v>
      </c>
      <c r="CY48" s="62">
        <f ca="1">AVERAGE(OFFSET($CX$3,0,0,'Données projet'!$E$13+1,1))-AVERAGE(OFFSET($H$3,0,0,'Données projet'!$E$13+1,1))</f>
        <v>486.63673936259465</v>
      </c>
      <c r="CZ48" s="62">
        <f t="shared" si="42"/>
        <v>306.61893266146666</v>
      </c>
      <c r="DA48" s="16">
        <f>IF(ISNA(VLOOKUP(A48,'Données projet'!$A$139:$I$159,3,0)),0,VLOOKUP(A48,'Données projet'!$A$139:$I$159,3,0))</f>
        <v>6</v>
      </c>
      <c r="DB48" s="16">
        <f>IF(ISNA(VLOOKUP(A48,'Données projet'!$A$139:$I$159,4,0)),0,VLOOKUP(A48,'Données projet'!$A$139:$I$159,4,0))</f>
        <v>28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20.399999999999999</v>
      </c>
      <c r="N49" s="14">
        <f>IF('Données projet'!$A$36&gt;35,N48+M49-V48,IF(A49&lt;'Données projet'!$A$36,$K$205^A49,IF(A49='Données projet'!$A$36,'Données projet'!$B$36,N48+M49-V48)))</f>
        <v>642.39999999999964</v>
      </c>
      <c r="O49" s="14">
        <f>N49*VLOOKUP('Données projet'!$B$9,Paramètres!$A$1:$I$89,3,0)*VLOOKUP('Données projet'!$B$9,Paramètres!$A$1:$I$89,5,0)</f>
        <v>359.10159999999985</v>
      </c>
      <c r="P49" s="14">
        <f t="shared" si="33"/>
        <v>83.433815871723468</v>
      </c>
      <c r="Q49" s="22">
        <f t="shared" si="53"/>
        <v>770.74918264325152</v>
      </c>
      <c r="R49" s="62">
        <f t="shared" si="0"/>
        <v>1064.0825159765848</v>
      </c>
      <c r="S49" s="62">
        <f ca="1">AVERAGE(OFFSET($R$3,0,0,'Données projet'!$E$9+1,1))-AVERAGE(OFFSET($H$3,0,0,'Données projet'!$E$9+1,1))</f>
        <v>555.15881087162279</v>
      </c>
      <c r="T49" s="62">
        <f t="shared" si="34"/>
        <v>668.20427590250733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20.875025640332009</v>
      </c>
      <c r="AA49" s="23">
        <f>EXP(-LN(2)/25)*AA48+(1-EXP(-LN(2)/25))/(LN(2)/25)*Calculateur!V49*Calculateur!X49*VLOOKUP('Données projet'!$B$9,Paramètres!$A$1:$I$89,3,0)*0.475*44/12</f>
        <v>14.521953544319979</v>
      </c>
      <c r="AB49" s="23">
        <f>EXP(-LN(2)/2)*AB48+(1-EXP(-LN(2)/2))/(LN(2)/2)*V49*Y49*VLOOKUP('Données projet'!$B$9,Paramètres!$A$1:$I$89,3,0)*0.475*44/12</f>
        <v>5.4030059927065777E-2</v>
      </c>
      <c r="AC49" s="24">
        <f t="shared" si="3"/>
        <v>35.451009244579055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>
        <f>AI49*VLOOKUP('Données projet'!$B$10,Paramètres!$A$1:$I$89,3,0)*VLOOKUP('Données projet'!$B$10,Paramètres!$A$1:$I$89,5,0)</f>
        <v>0</v>
      </c>
      <c r="AK49" s="14" t="e">
        <f t="shared" si="35"/>
        <v>#NUM!</v>
      </c>
      <c r="AL49" s="22" t="e">
        <f t="shared" si="4"/>
        <v>#NUM!</v>
      </c>
      <c r="AM49" s="62" t="e">
        <f t="shared" si="5"/>
        <v>#NUM!</v>
      </c>
      <c r="AN49" s="62">
        <f ca="1">AVERAGE(OFFSET($AM$3,0,0,'Données projet'!$E$10+1,1))-AVERAGE(OFFSET($H$3,0,0,'Données projet'!$E$10+1,1))</f>
        <v>195.80903373714432</v>
      </c>
      <c r="AO49" s="62">
        <f t="shared" si="36"/>
        <v>388.30721786668977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71.970344507129866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1.0390036874650557</v>
      </c>
      <c r="AX49" s="23">
        <f t="shared" si="6"/>
        <v>73.009348194594921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-5.6843418860808015E-14</v>
      </c>
      <c r="BE49" s="14">
        <f>BD49*VLOOKUP('Données projet'!$B$11,Paramètres!$A$1:$I$89,3,0)*VLOOKUP('Données projet'!$B$11,Paramètres!$A$1:$I$89,5,0)</f>
        <v>-5.1431925385259088E-14</v>
      </c>
      <c r="BF49" s="14" t="e">
        <f t="shared" si="37"/>
        <v>#NUM!</v>
      </c>
      <c r="BG49" s="22" t="e">
        <f t="shared" si="7"/>
        <v>#NUM!</v>
      </c>
      <c r="BH49" s="62" t="e">
        <f t="shared" si="8"/>
        <v>#NUM!</v>
      </c>
      <c r="BI49" s="62">
        <f ca="1">AVERAGE(OFFSET($BH$3,0,0,'Données projet'!$E$11+1,1))-AVERAGE(OFFSET($H$3,0,0,'Données projet'!$E$11+1,1))</f>
        <v>366.86025470473652</v>
      </c>
      <c r="BJ49" s="62">
        <f t="shared" si="38"/>
        <v>513.80016421153414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7.7102921213571483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7.7102921213571483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11</v>
      </c>
      <c r="BY49" s="13">
        <f>IF('Données projet'!$A$114&gt;35,BY48+BX49-CG48,IF(A49&lt;'Données projet'!$A$114,$BV$205^A49,IF(A49='Données projet'!$A$114,'Données projet'!$B$114,BY48+BX49-CG48)))</f>
        <v>187.00000000000003</v>
      </c>
      <c r="BZ49" s="14">
        <f>BY49*VLOOKUP('Données projet'!$B$12,Paramètres!$A$1:$I$89,3,0)*VLOOKUP('Données projet'!$B$12,Paramètres!$A$1:$I$89,5,0)</f>
        <v>169.19760000000002</v>
      </c>
      <c r="CA49" s="14">
        <f t="shared" si="39"/>
        <v>42.910263223432885</v>
      </c>
      <c r="CB49" s="22">
        <f t="shared" si="10"/>
        <v>369.42119511414558</v>
      </c>
      <c r="CC49" s="62">
        <f t="shared" si="11"/>
        <v>662.75452844747883</v>
      </c>
      <c r="CD49" s="62">
        <f ca="1">AVERAGE(OFFSET($CC$3,0,0,'Données projet'!$E$12+1,1))-AVERAGE(OFFSET($H$3,0,0,'Données projet'!$E$12+1,1))</f>
        <v>438.70522838726322</v>
      </c>
      <c r="CE49" s="62">
        <f t="shared" si="40"/>
        <v>278.21741231699929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11</v>
      </c>
      <c r="CT49" s="13">
        <f>IF('Données projet'!$A$140&gt;35,CT48+CS49-DB48,IF(A49&lt;'Données projet'!$A$140,$CQ$205^A49,IF(A49='Données projet'!$A$140,'Données projet'!$B$140,CT48+CS49-DB48)))</f>
        <v>187.00000000000003</v>
      </c>
      <c r="CU49" s="18">
        <f>CT49*VLOOKUP('Données projet'!$B$13,Paramètres!$A$1:$I$89,3,0)*VLOOKUP('Données projet'!$B$13,Paramètres!$A$1:$I$89,5,0)</f>
        <v>189.61800000000005</v>
      </c>
      <c r="CV49" s="14">
        <f t="shared" si="41"/>
        <v>47.4554881852685</v>
      </c>
      <c r="CW49" s="22">
        <f t="shared" si="13"/>
        <v>412.90299192267599</v>
      </c>
      <c r="CX49" s="62">
        <f t="shared" si="14"/>
        <v>706.23632525600931</v>
      </c>
      <c r="CY49" s="62">
        <f ca="1">AVERAGE(OFFSET($CX$3,0,0,'Données projet'!$E$13+1,1))-AVERAGE(OFFSET($H$3,0,0,'Données projet'!$E$13+1,1))</f>
        <v>486.63673936259465</v>
      </c>
      <c r="CZ49" s="62">
        <f t="shared" si="42"/>
        <v>306.61893266146666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20.399999999999999</v>
      </c>
      <c r="N50" s="14">
        <f>IF('Données projet'!$A$36&gt;35,N49+M50-V49,IF(A50&lt;'Données projet'!$A$36,$K$205^A50,IF(A50='Données projet'!$A$36,'Données projet'!$B$36,N49+M50-V49)))</f>
        <v>662.79999999999961</v>
      </c>
      <c r="O50" s="14">
        <f>N50*VLOOKUP('Données projet'!$B$9,Paramètres!$A$1:$I$89,3,0)*VLOOKUP('Données projet'!$B$9,Paramètres!$A$1:$I$89,5,0)</f>
        <v>370.50519999999983</v>
      </c>
      <c r="P50" s="14">
        <f t="shared" si="33"/>
        <v>85.770652719303072</v>
      </c>
      <c r="Q50" s="22">
        <f t="shared" si="53"/>
        <v>794.6804434861192</v>
      </c>
      <c r="R50" s="62">
        <f t="shared" si="0"/>
        <v>1088.0137768194525</v>
      </c>
      <c r="S50" s="62">
        <f ca="1">AVERAGE(OFFSET($R$3,0,0,'Données projet'!$E$9+1,1))-AVERAGE(OFFSET($H$3,0,0,'Données projet'!$E$9+1,1))</f>
        <v>555.15881087162279</v>
      </c>
      <c r="T50" s="62">
        <f t="shared" si="34"/>
        <v>668.20427590250733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20.465679120033506</v>
      </c>
      <c r="AA50" s="23">
        <f>EXP(-LN(2)/25)*AA49+(1-EXP(-LN(2)/25))/(LN(2)/25)*Calculateur!V50*Calculateur!X50*VLOOKUP('Données projet'!$B$9,Paramètres!$A$1:$I$89,3,0)*0.475*44/12</f>
        <v>14.124849960974203</v>
      </c>
      <c r="AB50" s="23">
        <f>EXP(-LN(2)/2)*AB49+(1-EXP(-LN(2)/2))/(LN(2)/2)*V50*Y50*VLOOKUP('Données projet'!$B$9,Paramètres!$A$1:$I$89,3,0)*0.475*44/12</f>
        <v>3.8205021762343749E-2</v>
      </c>
      <c r="AC50" s="24">
        <f t="shared" si="3"/>
        <v>34.628734102770053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>
        <f>AI50*VLOOKUP('Données projet'!$B$10,Paramètres!$A$1:$I$89,3,0)*VLOOKUP('Données projet'!$B$10,Paramètres!$A$1:$I$89,5,0)</f>
        <v>0</v>
      </c>
      <c r="AK50" s="14" t="e">
        <f t="shared" si="35"/>
        <v>#NUM!</v>
      </c>
      <c r="AL50" s="22" t="e">
        <f t="shared" si="4"/>
        <v>#NUM!</v>
      </c>
      <c r="AM50" s="62" t="e">
        <f t="shared" si="5"/>
        <v>#NUM!</v>
      </c>
      <c r="AN50" s="62">
        <f ca="1">AVERAGE(OFFSET($AM$3,0,0,'Données projet'!$E$10+1,1))-AVERAGE(OFFSET($H$3,0,0,'Données projet'!$E$10+1,1))</f>
        <v>195.80903373714432</v>
      </c>
      <c r="AO50" s="62">
        <f t="shared" si="36"/>
        <v>388.30721786668977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70.559049948920674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0.73468655308436914</v>
      </c>
      <c r="AX50" s="23">
        <f t="shared" si="6"/>
        <v>71.293736502005046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-5.6843418860808015E-14</v>
      </c>
      <c r="BE50" s="14">
        <f>BD50*VLOOKUP('Données projet'!$B$11,Paramètres!$A$1:$I$89,3,0)*VLOOKUP('Données projet'!$B$11,Paramètres!$A$1:$I$89,5,0)</f>
        <v>-5.1431925385259088E-14</v>
      </c>
      <c r="BF50" s="14" t="e">
        <f t="shared" si="37"/>
        <v>#NUM!</v>
      </c>
      <c r="BG50" s="22" t="e">
        <f t="shared" si="7"/>
        <v>#NUM!</v>
      </c>
      <c r="BH50" s="62" t="e">
        <f t="shared" si="8"/>
        <v>#NUM!</v>
      </c>
      <c r="BI50" s="62">
        <f ca="1">AVERAGE(OFFSET($BH$3,0,0,'Données projet'!$E$11+1,1))-AVERAGE(OFFSET($H$3,0,0,'Données projet'!$E$11+1,1))</f>
        <v>366.86025470473652</v>
      </c>
      <c r="BJ50" s="62">
        <f t="shared" si="38"/>
        <v>513.80016421153414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7.5590979956711646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7.5590979956711646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11</v>
      </c>
      <c r="BY50" s="13">
        <f>IF('Données projet'!$A$114&gt;35,BY49+BX50-CG49,IF(A50&lt;'Données projet'!$A$114,$BV$205^A50,IF(A50='Données projet'!$A$114,'Données projet'!$B$114,BY49+BX50-CG49)))</f>
        <v>198.00000000000003</v>
      </c>
      <c r="BZ50" s="14">
        <f>BY50*VLOOKUP('Données projet'!$B$12,Paramètres!$A$1:$I$89,3,0)*VLOOKUP('Données projet'!$B$12,Paramètres!$A$1:$I$89,5,0)</f>
        <v>179.15040000000002</v>
      </c>
      <c r="CA50" s="14">
        <f t="shared" si="39"/>
        <v>45.133113803437304</v>
      </c>
      <c r="CB50" s="22">
        <f t="shared" si="10"/>
        <v>390.62711987431999</v>
      </c>
      <c r="CC50" s="62">
        <f t="shared" si="11"/>
        <v>683.96045320765325</v>
      </c>
      <c r="CD50" s="62">
        <f ca="1">AVERAGE(OFFSET($CC$3,0,0,'Données projet'!$E$12+1,1))-AVERAGE(OFFSET($H$3,0,0,'Données projet'!$E$12+1,1))</f>
        <v>438.70522838726322</v>
      </c>
      <c r="CE50" s="62">
        <f t="shared" si="40"/>
        <v>278.21741231699929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11</v>
      </c>
      <c r="CT50" s="13">
        <f>IF('Données projet'!$A$140&gt;35,CT49+CS50-DB49,IF(A50&lt;'Données projet'!$A$140,$CQ$205^A50,IF(A50='Données projet'!$A$140,'Données projet'!$B$140,CT49+CS50-DB49)))</f>
        <v>198.00000000000003</v>
      </c>
      <c r="CU50" s="18">
        <f>CT50*VLOOKUP('Données projet'!$B$13,Paramètres!$A$1:$I$89,3,0)*VLOOKUP('Données projet'!$B$13,Paramètres!$A$1:$I$89,5,0)</f>
        <v>200.77200000000002</v>
      </c>
      <c r="CV50" s="14">
        <f t="shared" si="41"/>
        <v>49.913791898945412</v>
      </c>
      <c r="CW50" s="22">
        <f t="shared" si="13"/>
        <v>436.61108755732994</v>
      </c>
      <c r="CX50" s="62">
        <f t="shared" si="14"/>
        <v>729.9444208906632</v>
      </c>
      <c r="CY50" s="62">
        <f ca="1">AVERAGE(OFFSET($CX$3,0,0,'Données projet'!$E$13+1,1))-AVERAGE(OFFSET($H$3,0,0,'Données projet'!$E$13+1,1))</f>
        <v>486.63673936259465</v>
      </c>
      <c r="CZ50" s="62">
        <f t="shared" si="42"/>
        <v>306.61893266146666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20.399999999999999</v>
      </c>
      <c r="N51" s="14">
        <f>IF('Données projet'!$A$36&gt;35,N50+M51-V50,IF(A51&lt;'Données projet'!$A$36,$K$205^A51,IF(A51='Données projet'!$A$36,'Données projet'!$B$36,N50+M51-V50)))</f>
        <v>683.19999999999959</v>
      </c>
      <c r="O51" s="14">
        <f>N51*VLOOKUP('Données projet'!$B$9,Paramètres!$A$1:$I$89,3,0)*VLOOKUP('Données projet'!$B$9,Paramètres!$A$1:$I$89,5,0)</f>
        <v>381.90879999999981</v>
      </c>
      <c r="P51" s="14">
        <f t="shared" si="33"/>
        <v>88.099131154986978</v>
      </c>
      <c r="Q51" s="22">
        <f t="shared" si="53"/>
        <v>818.59714676160195</v>
      </c>
      <c r="R51" s="62">
        <f t="shared" si="0"/>
        <v>1111.9304800949353</v>
      </c>
      <c r="S51" s="62">
        <f ca="1">AVERAGE(OFFSET($R$3,0,0,'Données projet'!$E$9+1,1))-AVERAGE(OFFSET($H$3,0,0,'Données projet'!$E$9+1,1))</f>
        <v>555.15881087162279</v>
      </c>
      <c r="T51" s="62">
        <f t="shared" si="34"/>
        <v>668.20427590250733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20.064359635321335</v>
      </c>
      <c r="AA51" s="23">
        <f>EXP(-LN(2)/25)*AA50+(1-EXP(-LN(2)/25))/(LN(2)/25)*Calculateur!V51*Calculateur!X51*VLOOKUP('Données projet'!$B$9,Paramètres!$A$1:$I$89,3,0)*0.475*44/12</f>
        <v>13.738605195997787</v>
      </c>
      <c r="AB51" s="23">
        <f>EXP(-LN(2)/2)*AB50+(1-EXP(-LN(2)/2))/(LN(2)/2)*V51*Y51*VLOOKUP('Données projet'!$B$9,Paramètres!$A$1:$I$89,3,0)*0.475*44/12</f>
        <v>2.7015029963532888E-2</v>
      </c>
      <c r="AC51" s="24">
        <f t="shared" si="3"/>
        <v>33.829979861282659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>
        <f>AI51*VLOOKUP('Données projet'!$B$10,Paramètres!$A$1:$I$89,3,0)*VLOOKUP('Données projet'!$B$10,Paramètres!$A$1:$I$89,5,0)</f>
        <v>0</v>
      </c>
      <c r="AK51" s="14" t="e">
        <f t="shared" si="35"/>
        <v>#NUM!</v>
      </c>
      <c r="AL51" s="22" t="e">
        <f t="shared" si="4"/>
        <v>#NUM!</v>
      </c>
      <c r="AM51" s="62" t="e">
        <f t="shared" si="5"/>
        <v>#NUM!</v>
      </c>
      <c r="AN51" s="62">
        <f ca="1">AVERAGE(OFFSET($AM$3,0,0,'Données projet'!$E$10+1,1))-AVERAGE(OFFSET($H$3,0,0,'Données projet'!$E$10+1,1))</f>
        <v>195.80903373714432</v>
      </c>
      <c r="AO51" s="62">
        <f t="shared" si="36"/>
        <v>388.30721786668977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69.175430016193275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0.51950184373252783</v>
      </c>
      <c r="AX51" s="23">
        <f t="shared" si="6"/>
        <v>69.694931859925802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-5.6843418860808015E-14</v>
      </c>
      <c r="BE51" s="14">
        <f>BD51*VLOOKUP('Données projet'!$B$11,Paramètres!$A$1:$I$89,3,0)*VLOOKUP('Données projet'!$B$11,Paramètres!$A$1:$I$89,5,0)</f>
        <v>-5.1431925385259088E-14</v>
      </c>
      <c r="BF51" s="14" t="e">
        <f t="shared" si="37"/>
        <v>#NUM!</v>
      </c>
      <c r="BG51" s="22" t="e">
        <f t="shared" si="7"/>
        <v>#NUM!</v>
      </c>
      <c r="BH51" s="62" t="e">
        <f t="shared" si="8"/>
        <v>#NUM!</v>
      </c>
      <c r="BI51" s="62">
        <f ca="1">AVERAGE(OFFSET($BH$3,0,0,'Données projet'!$E$11+1,1))-AVERAGE(OFFSET($H$3,0,0,'Données projet'!$E$11+1,1))</f>
        <v>366.86025470473652</v>
      </c>
      <c r="BJ51" s="62">
        <f t="shared" si="38"/>
        <v>513.80016421153414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7.4108686945705724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7.4108686945705724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11</v>
      </c>
      <c r="BY51" s="13">
        <f>IF('Données projet'!$A$114&gt;35,BY50+BX51-CG50,IF(A51&lt;'Données projet'!$A$114,$BV$205^A51,IF(A51='Données projet'!$A$114,'Données projet'!$B$114,BY50+BX51-CG50)))</f>
        <v>209.00000000000003</v>
      </c>
      <c r="BZ51" s="14">
        <f>BY51*VLOOKUP('Données projet'!$B$12,Paramètres!$A$1:$I$89,3,0)*VLOOKUP('Données projet'!$B$12,Paramètres!$A$1:$I$89,5,0)</f>
        <v>189.10320000000002</v>
      </c>
      <c r="CA51" s="14">
        <f t="shared" si="39"/>
        <v>47.34162854278712</v>
      </c>
      <c r="CB51" s="22">
        <f t="shared" si="10"/>
        <v>411.80807637868764</v>
      </c>
      <c r="CC51" s="62">
        <f t="shared" si="11"/>
        <v>705.14140971202096</v>
      </c>
      <c r="CD51" s="62">
        <f ca="1">AVERAGE(OFFSET($CC$3,0,0,'Données projet'!$E$12+1,1))-AVERAGE(OFFSET($H$3,0,0,'Données projet'!$E$12+1,1))</f>
        <v>438.70522838726322</v>
      </c>
      <c r="CE51" s="62">
        <f t="shared" si="40"/>
        <v>278.21741231699929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11</v>
      </c>
      <c r="CT51" s="13">
        <f>IF('Données projet'!$A$140&gt;35,CT50+CS51-DB50,IF(A51&lt;'Données projet'!$A$140,$CQ$205^A51,IF(A51='Données projet'!$A$140,'Données projet'!$B$140,CT50+CS51-DB50)))</f>
        <v>209.00000000000003</v>
      </c>
      <c r="CU51" s="18">
        <f>CT51*VLOOKUP('Données projet'!$B$13,Paramètres!$A$1:$I$89,3,0)*VLOOKUP('Données projet'!$B$13,Paramètres!$A$1:$I$89,5,0)</f>
        <v>211.92600000000004</v>
      </c>
      <c r="CV51" s="14">
        <f t="shared" si="41"/>
        <v>52.356241262970165</v>
      </c>
      <c r="CW51" s="22">
        <f t="shared" si="13"/>
        <v>460.29157019967312</v>
      </c>
      <c r="CX51" s="62">
        <f t="shared" si="14"/>
        <v>753.62490353300643</v>
      </c>
      <c r="CY51" s="62">
        <f ca="1">AVERAGE(OFFSET($CX$3,0,0,'Données projet'!$E$13+1,1))-AVERAGE(OFFSET($H$3,0,0,'Données projet'!$E$13+1,1))</f>
        <v>486.63673936259465</v>
      </c>
      <c r="CZ51" s="62">
        <f t="shared" si="42"/>
        <v>306.61893266146666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20.399999999999999</v>
      </c>
      <c r="N52" s="14">
        <f>IF('Données projet'!$A$36&gt;35,N51+M52-V51,IF(A52&lt;'Données projet'!$A$36,$K$205^A52,IF(A52='Données projet'!$A$36,'Données projet'!$B$36,N51+M52-V51)))</f>
        <v>703.59999999999957</v>
      </c>
      <c r="O52" s="14">
        <f>N52*VLOOKUP('Données projet'!$B$9,Paramètres!$A$1:$I$89,3,0)*VLOOKUP('Données projet'!$B$9,Paramètres!$A$1:$I$89,5,0)</f>
        <v>393.3123999999998</v>
      </c>
      <c r="P52" s="14">
        <f t="shared" si="33"/>
        <v>90.419529407700907</v>
      </c>
      <c r="Q52" s="22">
        <f t="shared" si="53"/>
        <v>842.49977705174535</v>
      </c>
      <c r="R52" s="62">
        <f t="shared" si="0"/>
        <v>1135.8331103850787</v>
      </c>
      <c r="S52" s="62">
        <f ca="1">AVERAGE(OFFSET($R$3,0,0,'Données projet'!$E$9+1,1))-AVERAGE(OFFSET($H$3,0,0,'Données projet'!$E$9+1,1))</f>
        <v>555.15881087162279</v>
      </c>
      <c r="T52" s="62">
        <f t="shared" si="34"/>
        <v>668.20427590250733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19.670909780923655</v>
      </c>
      <c r="AA52" s="23">
        <f>EXP(-LN(2)/25)*AA51+(1-EXP(-LN(2)/25))/(LN(2)/25)*Calculateur!V52*Calculateur!X52*VLOOKUP('Données projet'!$B$9,Paramètres!$A$1:$I$89,3,0)*0.475*44/12</f>
        <v>13.36292231443138</v>
      </c>
      <c r="AB52" s="23">
        <f>EXP(-LN(2)/2)*AB51+(1-EXP(-LN(2)/2))/(LN(2)/2)*V52*Y52*VLOOKUP('Données projet'!$B$9,Paramètres!$A$1:$I$89,3,0)*0.475*44/12</f>
        <v>1.9102510881171875E-2</v>
      </c>
      <c r="AC52" s="24">
        <f t="shared" si="3"/>
        <v>33.052934606236207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>
        <f>AI52*VLOOKUP('Données projet'!$B$10,Paramètres!$A$1:$I$89,3,0)*VLOOKUP('Données projet'!$B$10,Paramètres!$A$1:$I$89,5,0)</f>
        <v>0</v>
      </c>
      <c r="AK52" s="14" t="e">
        <f t="shared" si="35"/>
        <v>#NUM!</v>
      </c>
      <c r="AL52" s="22" t="e">
        <f t="shared" si="4"/>
        <v>#NUM!</v>
      </c>
      <c r="AM52" s="62" t="e">
        <f t="shared" si="5"/>
        <v>#NUM!</v>
      </c>
      <c r="AN52" s="62">
        <f ca="1">AVERAGE(OFFSET($AM$3,0,0,'Données projet'!$E$10+1,1))-AVERAGE(OFFSET($H$3,0,0,'Données projet'!$E$10+1,1))</f>
        <v>195.80903373714432</v>
      </c>
      <c r="AO52" s="62">
        <f t="shared" si="36"/>
        <v>388.30721786668977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67.818942026421837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0.36734327654218457</v>
      </c>
      <c r="AX52" s="23">
        <f t="shared" si="6"/>
        <v>68.186285302964023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-5.6843418860808015E-14</v>
      </c>
      <c r="BE52" s="14">
        <f>BD52*VLOOKUP('Données projet'!$B$11,Paramètres!$A$1:$I$89,3,0)*VLOOKUP('Données projet'!$B$11,Paramètres!$A$1:$I$89,5,0)</f>
        <v>-5.1431925385259088E-14</v>
      </c>
      <c r="BF52" s="14" t="e">
        <f t="shared" si="37"/>
        <v>#NUM!</v>
      </c>
      <c r="BG52" s="22" t="e">
        <f t="shared" si="7"/>
        <v>#NUM!</v>
      </c>
      <c r="BH52" s="62" t="e">
        <f t="shared" si="8"/>
        <v>#NUM!</v>
      </c>
      <c r="BI52" s="62">
        <f ca="1">AVERAGE(OFFSET($BH$3,0,0,'Données projet'!$E$11+1,1))-AVERAGE(OFFSET($H$3,0,0,'Données projet'!$E$11+1,1))</f>
        <v>366.86025470473652</v>
      </c>
      <c r="BJ52" s="62">
        <f t="shared" si="38"/>
        <v>513.80016421153414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7.2655460796536158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7.2655460796536158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11</v>
      </c>
      <c r="BY52" s="13">
        <f>IF('Données projet'!$A$114&gt;35,BY51+BX52-CG51,IF(A52&lt;'Données projet'!$A$114,$BV$205^A52,IF(A52='Données projet'!$A$114,'Données projet'!$B$114,BY51+BX52-CG51)))</f>
        <v>220.00000000000003</v>
      </c>
      <c r="BZ52" s="14">
        <f>BY52*VLOOKUP('Données projet'!$B$12,Paramètres!$A$1:$I$89,3,0)*VLOOKUP('Données projet'!$B$12,Paramètres!$A$1:$I$89,5,0)</f>
        <v>199.05600000000001</v>
      </c>
      <c r="CA52" s="14">
        <f t="shared" si="39"/>
        <v>49.536648006253934</v>
      </c>
      <c r="CB52" s="22">
        <f t="shared" si="10"/>
        <v>432.96552861089231</v>
      </c>
      <c r="CC52" s="62">
        <f t="shared" si="11"/>
        <v>726.29886194422556</v>
      </c>
      <c r="CD52" s="62">
        <f ca="1">AVERAGE(OFFSET($CC$3,0,0,'Données projet'!$E$12+1,1))-AVERAGE(OFFSET($H$3,0,0,'Données projet'!$E$12+1,1))</f>
        <v>438.70522838726322</v>
      </c>
      <c r="CE52" s="62">
        <f t="shared" si="40"/>
        <v>278.21741231699929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11</v>
      </c>
      <c r="CT52" s="13">
        <f>IF('Données projet'!$A$140&gt;35,CT51+CS52-DB51,IF(A52&lt;'Données projet'!$A$140,$CQ$205^A52,IF(A52='Données projet'!$A$140,'Données projet'!$B$140,CT51+CS52-DB51)))</f>
        <v>220.00000000000003</v>
      </c>
      <c r="CU52" s="18">
        <f>CT52*VLOOKUP('Données projet'!$B$13,Paramètres!$A$1:$I$89,3,0)*VLOOKUP('Données projet'!$B$13,Paramètres!$A$1:$I$89,5,0)</f>
        <v>223.08000000000004</v>
      </c>
      <c r="CV52" s="14">
        <f t="shared" si="41"/>
        <v>54.783765878062667</v>
      </c>
      <c r="CW52" s="22">
        <f t="shared" si="13"/>
        <v>483.94605890429256</v>
      </c>
      <c r="CX52" s="62">
        <f t="shared" si="14"/>
        <v>777.27939223762587</v>
      </c>
      <c r="CY52" s="62">
        <f ca="1">AVERAGE(OFFSET($CX$3,0,0,'Données projet'!$E$13+1,1))-AVERAGE(OFFSET($H$3,0,0,'Données projet'!$E$13+1,1))</f>
        <v>486.63673936259465</v>
      </c>
      <c r="CZ52" s="62">
        <f t="shared" si="42"/>
        <v>306.61893266146666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724</v>
      </c>
      <c r="L53" s="13">
        <f>VLOOKUP(A53,'Données projet'!$A$35:$I$55,9,0)</f>
        <v>20.399999999999999</v>
      </c>
      <c r="M53" s="13">
        <f t="array" ref="M53">INDEX(L:L,MIN(IF(ISNUMBER(L53:L249),ROW(L53:L249),"")))</f>
        <v>20.399999999999999</v>
      </c>
      <c r="N53" s="14">
        <f>IF('Données projet'!$A$36&gt;35,N52+M53-V52,IF(A53&lt;'Données projet'!$A$36,$K$205^A53,IF(A53='Données projet'!$A$36,'Données projet'!$B$36,N52+M53-V52)))</f>
        <v>723.99999999999955</v>
      </c>
      <c r="O53" s="14">
        <f>N53*VLOOKUP('Données projet'!$B$9,Paramètres!$A$1:$I$89,3,0)*VLOOKUP('Données projet'!$B$9,Paramètres!$A$1:$I$89,5,0)</f>
        <v>404.71599999999978</v>
      </c>
      <c r="P53" s="14">
        <f t="shared" si="33"/>
        <v>92.732108655131142</v>
      </c>
      <c r="Q53" s="22">
        <f t="shared" si="53"/>
        <v>866.38878924101971</v>
      </c>
      <c r="R53" s="62">
        <f t="shared" si="0"/>
        <v>1159.7221225743531</v>
      </c>
      <c r="S53" s="62">
        <f ca="1">AVERAGE(OFFSET($R$3,0,0,'Données projet'!$E$9+1,1))-AVERAGE(OFFSET($H$3,0,0,'Données projet'!$E$9+1,1))</f>
        <v>555.15881087162279</v>
      </c>
      <c r="T53" s="62">
        <f t="shared" si="34"/>
        <v>668.20427590250733</v>
      </c>
      <c r="U53" s="16">
        <f>IF(ISNA(VLOOKUP(A53,'Données projet'!$A$35:$I$55,3,0)),0,VLOOKUP(A53,'Données projet'!$A$35:$I$55,3,0))</f>
        <v>8</v>
      </c>
      <c r="V53" s="16">
        <f>IF(ISNA(VLOOKUP(A53,'Données projet'!$A$35:$I$55,4,0)),0,VLOOKUP(A53,'Données projet'!$A$35:$I$55,4,0))</f>
        <v>62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19.285175238189996</v>
      </c>
      <c r="AA53" s="23">
        <f>EXP(-LN(2)/25)*AA52+(1-EXP(-LN(2)/25))/(LN(2)/25)*Calculateur!V53*Calculateur!X53*VLOOKUP('Données projet'!$B$9,Paramètres!$A$1:$I$89,3,0)*0.475*44/12</f>
        <v>12.997512501017711</v>
      </c>
      <c r="AB53" s="23">
        <f>EXP(-LN(2)/2)*AB52+(1-EXP(-LN(2)/2))/(LN(2)/2)*V53*Y53*VLOOKUP('Données projet'!$B$9,Paramètres!$A$1:$I$89,3,0)*0.475*44/12</f>
        <v>1.3507514981766444E-2</v>
      </c>
      <c r="AC53" s="24">
        <f t="shared" si="3"/>
        <v>32.296195254189477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>
        <f>AI53*VLOOKUP('Données projet'!$B$10,Paramètres!$A$1:$I$89,3,0)*VLOOKUP('Données projet'!$B$10,Paramètres!$A$1:$I$89,5,0)</f>
        <v>0</v>
      </c>
      <c r="AK53" s="14" t="e">
        <f t="shared" si="35"/>
        <v>#NUM!</v>
      </c>
      <c r="AL53" s="22" t="e">
        <f t="shared" si="4"/>
        <v>#NUM!</v>
      </c>
      <c r="AM53" s="62" t="e">
        <f t="shared" si="5"/>
        <v>#NUM!</v>
      </c>
      <c r="AN53" s="62">
        <f ca="1">AVERAGE(OFFSET($AM$3,0,0,'Données projet'!$E$10+1,1))-AVERAGE(OFFSET($H$3,0,0,'Données projet'!$E$10+1,1))</f>
        <v>195.80903373714432</v>
      </c>
      <c r="AO53" s="62">
        <f t="shared" si="36"/>
        <v>388.30721786668977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66.489053938753841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0.25975092186626392</v>
      </c>
      <c r="AX53" s="23">
        <f t="shared" si="6"/>
        <v>66.748804860620112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-5.6843418860808015E-14</v>
      </c>
      <c r="BE53" s="14">
        <f>BD53*VLOOKUP('Données projet'!$B$11,Paramètres!$A$1:$I$89,3,0)*VLOOKUP('Données projet'!$B$11,Paramètres!$A$1:$I$89,5,0)</f>
        <v>-5.1431925385259088E-14</v>
      </c>
      <c r="BF53" s="14" t="e">
        <f t="shared" si="37"/>
        <v>#NUM!</v>
      </c>
      <c r="BG53" s="22" t="e">
        <f t="shared" si="7"/>
        <v>#NUM!</v>
      </c>
      <c r="BH53" s="62" t="e">
        <f t="shared" si="8"/>
        <v>#NUM!</v>
      </c>
      <c r="BI53" s="62">
        <f ca="1">AVERAGE(OFFSET($BH$3,0,0,'Données projet'!$E$11+1,1))-AVERAGE(OFFSET($H$3,0,0,'Données projet'!$E$11+1,1))</f>
        <v>366.86025470473652</v>
      </c>
      <c r="BJ53" s="62">
        <f t="shared" si="38"/>
        <v>513.80016421153414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7.1230731525771382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7.1230731525771382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231</v>
      </c>
      <c r="BW53" s="13">
        <f>VLOOKUP(A53,'Données projet'!$A$113:$I$133,9,0)</f>
        <v>11</v>
      </c>
      <c r="BX53" s="13">
        <f t="array" ref="BX53">INDEX(BW:BW,MIN(IF(ISNUMBER(BW53:BW249),ROW(BW53:BW249),"")))</f>
        <v>11</v>
      </c>
      <c r="BY53" s="13">
        <f>IF('Données projet'!$A$114&gt;35,BY52+BX53-CG52,IF(A53&lt;'Données projet'!$A$114,$BV$205^A53,IF(A53='Données projet'!$A$114,'Données projet'!$B$114,BY52+BX53-CG52)))</f>
        <v>231.00000000000003</v>
      </c>
      <c r="BZ53" s="14">
        <f>BY53*VLOOKUP('Données projet'!$B$12,Paramètres!$A$1:$I$89,3,0)*VLOOKUP('Données projet'!$B$12,Paramètres!$A$1:$I$89,5,0)</f>
        <v>209.00880000000004</v>
      </c>
      <c r="CA53" s="14">
        <f t="shared" si="39"/>
        <v>51.718923953824252</v>
      </c>
      <c r="CB53" s="22">
        <f t="shared" si="10"/>
        <v>454.10078588624395</v>
      </c>
      <c r="CC53" s="62">
        <f t="shared" si="11"/>
        <v>747.43411921957727</v>
      </c>
      <c r="CD53" s="62">
        <f ca="1">AVERAGE(OFFSET($CC$3,0,0,'Données projet'!$E$12+1,1))-AVERAGE(OFFSET($H$3,0,0,'Données projet'!$E$12+1,1))</f>
        <v>438.70522838726322</v>
      </c>
      <c r="CE53" s="62">
        <f t="shared" si="40"/>
        <v>278.21741231699929</v>
      </c>
      <c r="CF53" s="16">
        <f>IF(ISNA(VLOOKUP(A53,'Données projet'!$A$113:$I$133,3,0)),0,VLOOKUP(A53,'Données projet'!$A$113:$I$133,3,0))</f>
        <v>7</v>
      </c>
      <c r="CG53" s="16">
        <f>IF(ISNA(VLOOKUP(A53,'Données projet'!$A$113:$I$133,4,0)),0,VLOOKUP(A53,'Données projet'!$A$113:$I$133,4,0))</f>
        <v>28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231</v>
      </c>
      <c r="CR53" s="13">
        <f>VLOOKUP(A53,'Données projet'!$A$139:$I$159,9,0)</f>
        <v>11</v>
      </c>
      <c r="CS53" s="13">
        <f t="array" ref="CS53">INDEX(CR:CR,MIN(IF(ISNUMBER(CR53:CR249),ROW(CR53:CR249),"")))</f>
        <v>11</v>
      </c>
      <c r="CT53" s="13">
        <f>IF('Données projet'!$A$140&gt;35,CT52+CS53-DB52,IF(A53&lt;'Données projet'!$A$140,$CQ$205^A53,IF(A53='Données projet'!$A$140,'Données projet'!$B$140,CT52+CS53-DB52)))</f>
        <v>231.00000000000003</v>
      </c>
      <c r="CU53" s="18">
        <f>CT53*VLOOKUP('Données projet'!$B$13,Paramètres!$A$1:$I$89,3,0)*VLOOKUP('Données projet'!$B$13,Paramètres!$A$1:$I$89,5,0)</f>
        <v>234.23400000000007</v>
      </c>
      <c r="CV53" s="14">
        <f t="shared" si="41"/>
        <v>57.197197133603488</v>
      </c>
      <c r="CW53" s="22">
        <f t="shared" si="13"/>
        <v>507.57600167435953</v>
      </c>
      <c r="CX53" s="62">
        <f t="shared" si="14"/>
        <v>800.90933500769279</v>
      </c>
      <c r="CY53" s="62">
        <f ca="1">AVERAGE(OFFSET($CX$3,0,0,'Données projet'!$E$13+1,1))-AVERAGE(OFFSET($H$3,0,0,'Données projet'!$E$13+1,1))</f>
        <v>486.63673936259465</v>
      </c>
      <c r="CZ53" s="62">
        <f t="shared" si="42"/>
        <v>306.61893266146666</v>
      </c>
      <c r="DA53" s="16">
        <f>IF(ISNA(VLOOKUP(A53,'Données projet'!$A$139:$I$159,3,0)),0,VLOOKUP(A53,'Données projet'!$A$139:$I$159,3,0))</f>
        <v>7</v>
      </c>
      <c r="DB53" s="16">
        <f>IF(ISNA(VLOOKUP(A53,'Données projet'!$A$139:$I$159,4,0)),0,VLOOKUP(A53,'Données projet'!$A$139:$I$159,4,0))</f>
        <v>28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15.4</v>
      </c>
      <c r="N54" s="14">
        <f>IF('Données projet'!$A$36&gt;35,N53+M54-V53,IF(A54&lt;'Données projet'!$A$36,$K$205^A54,IF(A54='Données projet'!$A$36,'Données projet'!$B$36,N53+M54-V53)))</f>
        <v>677.39999999999952</v>
      </c>
      <c r="O54" s="14">
        <f>N54*VLOOKUP('Données projet'!$B$9,Paramètres!$A$1:$I$89,3,0)*VLOOKUP('Données projet'!$B$9,Paramètres!$A$1:$I$89,5,0)</f>
        <v>378.66659999999979</v>
      </c>
      <c r="P54" s="14">
        <f t="shared" si="33"/>
        <v>87.437946637883755</v>
      </c>
      <c r="Q54" s="22">
        <f t="shared" si="53"/>
        <v>811.79875206098052</v>
      </c>
      <c r="R54" s="62">
        <f t="shared" si="0"/>
        <v>1105.1320853943139</v>
      </c>
      <c r="S54" s="62">
        <f ca="1">AVERAGE(OFFSET($R$3,0,0,'Données projet'!$E$9+1,1))-AVERAGE(OFFSET($H$3,0,0,'Données projet'!$E$9+1,1))</f>
        <v>555.15881087162279</v>
      </c>
      <c r="T54" s="62">
        <f t="shared" si="34"/>
        <v>668.20427590250733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18.907004714564508</v>
      </c>
      <c r="AA54" s="23">
        <f>EXP(-LN(2)/25)*AA53+(1-EXP(-LN(2)/25))/(LN(2)/25)*Calculateur!V54*Calculateur!X54*VLOOKUP('Données projet'!$B$9,Paramètres!$A$1:$I$89,3,0)*0.475*44/12</f>
        <v>12.642094838167905</v>
      </c>
      <c r="AB54" s="23">
        <f>EXP(-LN(2)/2)*AB53+(1-EXP(-LN(2)/2))/(LN(2)/2)*V54*Y54*VLOOKUP('Données projet'!$B$9,Paramètres!$A$1:$I$89,3,0)*0.475*44/12</f>
        <v>9.5512554405859373E-3</v>
      </c>
      <c r="AC54" s="24">
        <f t="shared" si="3"/>
        <v>31.558650808172999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>
        <f>AI54*VLOOKUP('Données projet'!$B$10,Paramètres!$A$1:$I$89,3,0)*VLOOKUP('Données projet'!$B$10,Paramètres!$A$1:$I$89,5,0)</f>
        <v>0</v>
      </c>
      <c r="AK54" s="14" t="e">
        <f t="shared" si="35"/>
        <v>#NUM!</v>
      </c>
      <c r="AL54" s="22" t="e">
        <f t="shared" si="4"/>
        <v>#NUM!</v>
      </c>
      <c r="AM54" s="62" t="e">
        <f t="shared" si="5"/>
        <v>#NUM!</v>
      </c>
      <c r="AN54" s="62">
        <f ca="1">AVERAGE(OFFSET($AM$3,0,0,'Données projet'!$E$10+1,1))-AVERAGE(OFFSET($H$3,0,0,'Données projet'!$E$10+1,1))</f>
        <v>195.80903373714432</v>
      </c>
      <c r="AO54" s="62">
        <f t="shared" si="36"/>
        <v>388.30721786668977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65.185244145333371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0.18367163827109229</v>
      </c>
      <c r="AX54" s="23">
        <f t="shared" si="6"/>
        <v>65.368915783604464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-5.6843418860808015E-14</v>
      </c>
      <c r="BE54" s="14">
        <f>BD54*VLOOKUP('Données projet'!$B$11,Paramètres!$A$1:$I$89,3,0)*VLOOKUP('Données projet'!$B$11,Paramètres!$A$1:$I$89,5,0)</f>
        <v>-5.1431925385259088E-14</v>
      </c>
      <c r="BF54" s="14" t="e">
        <f t="shared" si="37"/>
        <v>#NUM!</v>
      </c>
      <c r="BG54" s="22" t="e">
        <f t="shared" si="7"/>
        <v>#NUM!</v>
      </c>
      <c r="BH54" s="62" t="e">
        <f t="shared" si="8"/>
        <v>#NUM!</v>
      </c>
      <c r="BI54" s="62">
        <f ca="1">AVERAGE(OFFSET($BH$3,0,0,'Données projet'!$E$11+1,1))-AVERAGE(OFFSET($H$3,0,0,'Données projet'!$E$11+1,1))</f>
        <v>366.86025470473652</v>
      </c>
      <c r="BJ54" s="62">
        <f t="shared" si="38"/>
        <v>513.80016421153414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6.9833940327007253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6.9833940327007253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10.199999999999999</v>
      </c>
      <c r="BY54" s="13">
        <f>IF('Données projet'!$A$114&gt;35,BY53+BX54-CG53,IF(A54&lt;'Données projet'!$A$114,$BV$205^A54,IF(A54='Données projet'!$A$114,'Données projet'!$B$114,BY53+BX54-CG53)))</f>
        <v>213.20000000000002</v>
      </c>
      <c r="BZ54" s="14">
        <f>BY54*VLOOKUP('Données projet'!$B$12,Paramètres!$A$1:$I$89,3,0)*VLOOKUP('Données projet'!$B$12,Paramètres!$A$1:$I$89,5,0)</f>
        <v>192.90336000000002</v>
      </c>
      <c r="CA54" s="14">
        <f t="shared" si="39"/>
        <v>48.181276881765257</v>
      </c>
      <c r="CB54" s="22">
        <f t="shared" si="10"/>
        <v>419.88907590240791</v>
      </c>
      <c r="CC54" s="62">
        <f t="shared" si="11"/>
        <v>713.22240923574122</v>
      </c>
      <c r="CD54" s="62">
        <f ca="1">AVERAGE(OFFSET($CC$3,0,0,'Données projet'!$E$12+1,1))-AVERAGE(OFFSET($H$3,0,0,'Données projet'!$E$12+1,1))</f>
        <v>438.70522838726322</v>
      </c>
      <c r="CE54" s="62">
        <f t="shared" si="40"/>
        <v>278.21741231699929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10.199999999999999</v>
      </c>
      <c r="CT54" s="13">
        <f>IF('Données projet'!$A$140&gt;35,CT53+CS54-DB53,IF(A54&lt;'Données projet'!$A$140,$CQ$205^A54,IF(A54='Données projet'!$A$140,'Données projet'!$B$140,CT53+CS54-DB53)))</f>
        <v>213.20000000000002</v>
      </c>
      <c r="CU54" s="18">
        <f>CT54*VLOOKUP('Données projet'!$B$13,Paramètres!$A$1:$I$89,3,0)*VLOOKUP('Données projet'!$B$13,Paramètres!$A$1:$I$89,5,0)</f>
        <v>216.18480000000002</v>
      </c>
      <c r="CV54" s="14">
        <f t="shared" si="41"/>
        <v>53.284828478170375</v>
      </c>
      <c r="CW54" s="22">
        <f t="shared" si="13"/>
        <v>469.3262695994801</v>
      </c>
      <c r="CX54" s="62">
        <f t="shared" si="14"/>
        <v>762.65960293281341</v>
      </c>
      <c r="CY54" s="62">
        <f ca="1">AVERAGE(OFFSET($CX$3,0,0,'Données projet'!$E$13+1,1))-AVERAGE(OFFSET($H$3,0,0,'Données projet'!$E$13+1,1))</f>
        <v>486.63673936259465</v>
      </c>
      <c r="CZ54" s="62">
        <f t="shared" si="42"/>
        <v>306.61893266146666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15.4</v>
      </c>
      <c r="N55" s="14">
        <f>IF('Données projet'!$A$36&gt;35,N54+M55-V54,IF(A55&lt;'Données projet'!$A$36,$K$205^A55,IF(A55='Données projet'!$A$36,'Données projet'!$B$36,N54+M55-V54)))</f>
        <v>692.7999999999995</v>
      </c>
      <c r="O55" s="14">
        <f>N55*VLOOKUP('Données projet'!$B$9,Paramètres!$A$1:$I$89,3,0)*VLOOKUP('Données projet'!$B$9,Paramètres!$A$1:$I$89,5,0)</f>
        <v>387.2751999999997</v>
      </c>
      <c r="P55" s="14">
        <f t="shared" si="33"/>
        <v>89.192073473767834</v>
      </c>
      <c r="Q55" s="22">
        <f t="shared" si="53"/>
        <v>829.84716796681175</v>
      </c>
      <c r="R55" s="62">
        <f t="shared" si="0"/>
        <v>1123.1805013001451</v>
      </c>
      <c r="S55" s="62">
        <f ca="1">AVERAGE(OFFSET($R$3,0,0,'Données projet'!$E$9+1,1))-AVERAGE(OFFSET($H$3,0,0,'Données projet'!$E$9+1,1))</f>
        <v>555.15881087162279</v>
      </c>
      <c r="T55" s="62">
        <f t="shared" si="34"/>
        <v>668.20427590250733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18.536249884246072</v>
      </c>
      <c r="AA55" s="23">
        <f>EXP(-LN(2)/25)*AA54+(1-EXP(-LN(2)/25))/(LN(2)/25)*Calculateur!V55*Calculateur!X55*VLOOKUP('Données projet'!$B$9,Paramètres!$A$1:$I$89,3,0)*0.475*44/12</f>
        <v>12.29639608999933</v>
      </c>
      <c r="AB55" s="23">
        <f>EXP(-LN(2)/2)*AB54+(1-EXP(-LN(2)/2))/(LN(2)/2)*V55*Y55*VLOOKUP('Données projet'!$B$9,Paramètres!$A$1:$I$89,3,0)*0.475*44/12</f>
        <v>6.7537574908832221E-3</v>
      </c>
      <c r="AC55" s="24">
        <f t="shared" si="3"/>
        <v>30.839399731736286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>
        <f>AI55*VLOOKUP('Données projet'!$B$10,Paramètres!$A$1:$I$89,3,0)*VLOOKUP('Données projet'!$B$10,Paramètres!$A$1:$I$89,5,0)</f>
        <v>0</v>
      </c>
      <c r="AK55" s="14" t="e">
        <f t="shared" si="35"/>
        <v>#NUM!</v>
      </c>
      <c r="AL55" s="22" t="e">
        <f t="shared" si="4"/>
        <v>#NUM!</v>
      </c>
      <c r="AM55" s="62" t="e">
        <f t="shared" si="5"/>
        <v>#NUM!</v>
      </c>
      <c r="AN55" s="62">
        <f ca="1">AVERAGE(OFFSET($AM$3,0,0,'Données projet'!$E$10+1,1))-AVERAGE(OFFSET($H$3,0,0,'Données projet'!$E$10+1,1))</f>
        <v>195.80903373714432</v>
      </c>
      <c r="AO55" s="62">
        <f t="shared" si="36"/>
        <v>388.30721786668977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63.907001266716428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0.12987546093313196</v>
      </c>
      <c r="AX55" s="23">
        <f t="shared" si="6"/>
        <v>64.036876727649556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-5.6843418860808015E-14</v>
      </c>
      <c r="BE55" s="14">
        <f>BD55*VLOOKUP('Données projet'!$B$11,Paramètres!$A$1:$I$89,3,0)*VLOOKUP('Données projet'!$B$11,Paramètres!$A$1:$I$89,5,0)</f>
        <v>-5.1431925385259088E-14</v>
      </c>
      <c r="BF55" s="14" t="e">
        <f t="shared" si="37"/>
        <v>#NUM!</v>
      </c>
      <c r="BG55" s="22" t="e">
        <f t="shared" si="7"/>
        <v>#NUM!</v>
      </c>
      <c r="BH55" s="62" t="e">
        <f t="shared" si="8"/>
        <v>#NUM!</v>
      </c>
      <c r="BI55" s="62">
        <f ca="1">AVERAGE(OFFSET($BH$3,0,0,'Données projet'!$E$11+1,1))-AVERAGE(OFFSET($H$3,0,0,'Données projet'!$E$11+1,1))</f>
        <v>366.86025470473652</v>
      </c>
      <c r="BJ55" s="62">
        <f t="shared" si="38"/>
        <v>513.80016421153414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6.8464539351692384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6.8464539351692384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10.199999999999999</v>
      </c>
      <c r="BY55" s="13">
        <f>IF('Données projet'!$A$114&gt;35,BY54+BX55-CG54,IF(A55&lt;'Données projet'!$A$114,$BV$205^A55,IF(A55='Données projet'!$A$114,'Données projet'!$B$114,BY54+BX55-CG54)))</f>
        <v>223.4</v>
      </c>
      <c r="BZ55" s="14">
        <f>BY55*VLOOKUP('Données projet'!$B$12,Paramètres!$A$1:$I$89,3,0)*VLOOKUP('Données projet'!$B$12,Paramètres!$A$1:$I$89,5,0)</f>
        <v>202.13232000000002</v>
      </c>
      <c r="CA55" s="14">
        <f t="shared" si="39"/>
        <v>50.212497488959627</v>
      </c>
      <c r="CB55" s="22">
        <f t="shared" si="10"/>
        <v>439.50055712660469</v>
      </c>
      <c r="CC55" s="62">
        <f t="shared" si="11"/>
        <v>732.83389045993795</v>
      </c>
      <c r="CD55" s="62">
        <f ca="1">AVERAGE(OFFSET($CC$3,0,0,'Données projet'!$E$12+1,1))-AVERAGE(OFFSET($H$3,0,0,'Données projet'!$E$12+1,1))</f>
        <v>438.70522838726322</v>
      </c>
      <c r="CE55" s="62">
        <f t="shared" si="40"/>
        <v>278.21741231699929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10.199999999999999</v>
      </c>
      <c r="CT55" s="13">
        <f>IF('Données projet'!$A$140&gt;35,CT54+CS55-DB54,IF(A55&lt;'Données projet'!$A$140,$CQ$205^A55,IF(A55='Données projet'!$A$140,'Données projet'!$B$140,CT54+CS55-DB54)))</f>
        <v>223.4</v>
      </c>
      <c r="CU55" s="18">
        <f>CT55*VLOOKUP('Données projet'!$B$13,Paramètres!$A$1:$I$89,3,0)*VLOOKUP('Données projet'!$B$13,Paramètres!$A$1:$I$89,5,0)</f>
        <v>226.52760000000001</v>
      </c>
      <c r="CV55" s="14">
        <f t="shared" si="41"/>
        <v>55.531204013656371</v>
      </c>
      <c r="CW55" s="22">
        <f t="shared" si="13"/>
        <v>491.25241699045142</v>
      </c>
      <c r="CX55" s="62">
        <f t="shared" si="14"/>
        <v>784.58575032378474</v>
      </c>
      <c r="CY55" s="62">
        <f ca="1">AVERAGE(OFFSET($CX$3,0,0,'Données projet'!$E$13+1,1))-AVERAGE(OFFSET($H$3,0,0,'Données projet'!$E$13+1,1))</f>
        <v>486.63673936259465</v>
      </c>
      <c r="CZ55" s="62">
        <f t="shared" si="42"/>
        <v>306.61893266146666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15.4</v>
      </c>
      <c r="N56" s="14">
        <f>IF('Données projet'!$A$36&gt;35,N55+M56-V55,IF(A56&lt;'Données projet'!$A$36,$K$205^A56,IF(A56='Données projet'!$A$36,'Données projet'!$B$36,N55+M56-V55)))</f>
        <v>708.19999999999948</v>
      </c>
      <c r="O56" s="14">
        <f>N56*VLOOKUP('Données projet'!$B$9,Paramètres!$A$1:$I$89,3,0)*VLOOKUP('Données projet'!$B$9,Paramètres!$A$1:$I$89,5,0)</f>
        <v>395.88379999999972</v>
      </c>
      <c r="P56" s="14">
        <f t="shared" si="33"/>
        <v>90.941667130422957</v>
      </c>
      <c r="Q56" s="22">
        <f t="shared" si="53"/>
        <v>847.8876885854861</v>
      </c>
      <c r="R56" s="62">
        <f t="shared" si="0"/>
        <v>1141.2210219188194</v>
      </c>
      <c r="S56" s="62">
        <f ca="1">AVERAGE(OFFSET($R$3,0,0,'Données projet'!$E$9+1,1))-AVERAGE(OFFSET($H$3,0,0,'Données projet'!$E$9+1,1))</f>
        <v>555.15881087162279</v>
      </c>
      <c r="T56" s="62">
        <f t="shared" si="34"/>
        <v>668.20427590250733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18.172765330012062</v>
      </c>
      <c r="AA56" s="23">
        <f>EXP(-LN(2)/25)*AA55+(1-EXP(-LN(2)/25))/(LN(2)/25)*Calculateur!V56*Calculateur!X56*VLOOKUP('Données projet'!$B$9,Paramètres!$A$1:$I$89,3,0)*0.475*44/12</f>
        <v>11.960150492278933</v>
      </c>
      <c r="AB56" s="23">
        <f>EXP(-LN(2)/2)*AB55+(1-EXP(-LN(2)/2))/(LN(2)/2)*V56*Y56*VLOOKUP('Données projet'!$B$9,Paramètres!$A$1:$I$89,3,0)*0.475*44/12</f>
        <v>4.7756277202929687E-3</v>
      </c>
      <c r="AC56" s="24">
        <f t="shared" si="3"/>
        <v>30.137691450011289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>
        <f>AI56*VLOOKUP('Données projet'!$B$10,Paramètres!$A$1:$I$89,3,0)*VLOOKUP('Données projet'!$B$10,Paramètres!$A$1:$I$89,5,0)</f>
        <v>0</v>
      </c>
      <c r="AK56" s="14" t="e">
        <f t="shared" si="35"/>
        <v>#NUM!</v>
      </c>
      <c r="AL56" s="22" t="e">
        <f t="shared" si="4"/>
        <v>#NUM!</v>
      </c>
      <c r="AM56" s="62" t="e">
        <f t="shared" si="5"/>
        <v>#NUM!</v>
      </c>
      <c r="AN56" s="62">
        <f ca="1">AVERAGE(OFFSET($AM$3,0,0,'Données projet'!$E$10+1,1))-AVERAGE(OFFSET($H$3,0,0,'Données projet'!$E$10+1,1))</f>
        <v>195.80903373714432</v>
      </c>
      <c r="AO56" s="62">
        <f t="shared" si="36"/>
        <v>388.30721786668977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62.653823951297994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9.1835819135546143E-2</v>
      </c>
      <c r="AX56" s="23">
        <f t="shared" si="6"/>
        <v>62.745659770433541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-5.6843418860808015E-14</v>
      </c>
      <c r="BE56" s="14">
        <f>BD56*VLOOKUP('Données projet'!$B$11,Paramètres!$A$1:$I$89,3,0)*VLOOKUP('Données projet'!$B$11,Paramètres!$A$1:$I$89,5,0)</f>
        <v>-5.1431925385259088E-14</v>
      </c>
      <c r="BF56" s="14" t="e">
        <f t="shared" si="37"/>
        <v>#NUM!</v>
      </c>
      <c r="BG56" s="22" t="e">
        <f t="shared" si="7"/>
        <v>#NUM!</v>
      </c>
      <c r="BH56" s="62" t="e">
        <f t="shared" si="8"/>
        <v>#NUM!</v>
      </c>
      <c r="BI56" s="62">
        <f ca="1">AVERAGE(OFFSET($BH$3,0,0,'Données projet'!$E$11+1,1))-AVERAGE(OFFSET($H$3,0,0,'Données projet'!$E$11+1,1))</f>
        <v>366.86025470473652</v>
      </c>
      <c r="BJ56" s="62">
        <f t="shared" si="38"/>
        <v>513.80016421153414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6.7121991494251318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6.7121991494251318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10.199999999999999</v>
      </c>
      <c r="BY56" s="13">
        <f>IF('Données projet'!$A$114&gt;35,BY55+BX56-CG55,IF(A56&lt;'Données projet'!$A$114,$BV$205^A56,IF(A56='Données projet'!$A$114,'Données projet'!$B$114,BY55+BX56-CG55)))</f>
        <v>233.6</v>
      </c>
      <c r="BZ56" s="14">
        <f>BY56*VLOOKUP('Données projet'!$B$12,Paramètres!$A$1:$I$89,3,0)*VLOOKUP('Données projet'!$B$12,Paramètres!$A$1:$I$89,5,0)</f>
        <v>211.36127999999999</v>
      </c>
      <c r="CA56" s="14">
        <f t="shared" si="39"/>
        <v>52.232947669705631</v>
      </c>
      <c r="CB56" s="22">
        <f t="shared" si="10"/>
        <v>459.09327985807062</v>
      </c>
      <c r="CC56" s="62">
        <f t="shared" si="11"/>
        <v>752.42661319140393</v>
      </c>
      <c r="CD56" s="62">
        <f ca="1">AVERAGE(OFFSET($CC$3,0,0,'Données projet'!$E$12+1,1))-AVERAGE(OFFSET($H$3,0,0,'Données projet'!$E$12+1,1))</f>
        <v>438.70522838726322</v>
      </c>
      <c r="CE56" s="62">
        <f t="shared" si="40"/>
        <v>278.21741231699929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10.199999999999999</v>
      </c>
      <c r="CT56" s="13">
        <f>IF('Données projet'!$A$140&gt;35,CT55+CS56-DB55,IF(A56&lt;'Données projet'!$A$140,$CQ$205^A56,IF(A56='Données projet'!$A$140,'Données projet'!$B$140,CT55+CS56-DB55)))</f>
        <v>233.6</v>
      </c>
      <c r="CU56" s="18">
        <f>CT56*VLOOKUP('Données projet'!$B$13,Paramètres!$A$1:$I$89,3,0)*VLOOKUP('Données projet'!$B$13,Paramètres!$A$1:$I$89,5,0)</f>
        <v>236.87040000000002</v>
      </c>
      <c r="CV56" s="14">
        <f t="shared" si="41"/>
        <v>57.765668276484661</v>
      </c>
      <c r="CW56" s="22">
        <f t="shared" si="13"/>
        <v>513.15781891487757</v>
      </c>
      <c r="CX56" s="62">
        <f t="shared" si="14"/>
        <v>806.49115224821094</v>
      </c>
      <c r="CY56" s="62">
        <f ca="1">AVERAGE(OFFSET($CX$3,0,0,'Données projet'!$E$13+1,1))-AVERAGE(OFFSET($H$3,0,0,'Données projet'!$E$13+1,1))</f>
        <v>486.63673936259465</v>
      </c>
      <c r="CZ56" s="62">
        <f t="shared" si="42"/>
        <v>306.61893266146666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15.4</v>
      </c>
      <c r="N57" s="14">
        <f>IF('Données projet'!$A$36&gt;35,N56+M57-V56,IF(A57&lt;'Données projet'!$A$36,$K$205^A57,IF(A57='Données projet'!$A$36,'Données projet'!$B$36,N56+M57-V56)))</f>
        <v>723.59999999999945</v>
      </c>
      <c r="O57" s="14">
        <f>N57*VLOOKUP('Données projet'!$B$9,Paramètres!$A$1:$I$89,3,0)*VLOOKUP('Données projet'!$B$9,Paramètres!$A$1:$I$89,5,0)</f>
        <v>404.49239999999969</v>
      </c>
      <c r="P57" s="14">
        <f t="shared" si="33"/>
        <v>92.686837535548761</v>
      </c>
      <c r="Q57" s="22">
        <f t="shared" si="53"/>
        <v>865.92050537441344</v>
      </c>
      <c r="R57" s="62">
        <f t="shared" si="0"/>
        <v>1159.2538387077468</v>
      </c>
      <c r="S57" s="62">
        <f ca="1">AVERAGE(OFFSET($R$3,0,0,'Données projet'!$E$9+1,1))-AVERAGE(OFFSET($H$3,0,0,'Données projet'!$E$9+1,1))</f>
        <v>555.15881087162279</v>
      </c>
      <c r="T57" s="62">
        <f t="shared" si="34"/>
        <v>668.20427590250733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17.816408486182894</v>
      </c>
      <c r="AA57" s="23">
        <f>EXP(-LN(2)/25)*AA56+(1-EXP(-LN(2)/25))/(LN(2)/25)*Calculateur!V57*Calculateur!X57*VLOOKUP('Données projet'!$B$9,Paramètres!$A$1:$I$89,3,0)*0.475*44/12</f>
        <v>11.633099548110586</v>
      </c>
      <c r="AB57" s="23">
        <f>EXP(-LN(2)/2)*AB56+(1-EXP(-LN(2)/2))/(LN(2)/2)*V57*Y57*VLOOKUP('Données projet'!$B$9,Paramètres!$A$1:$I$89,3,0)*0.475*44/12</f>
        <v>3.376878745441611E-3</v>
      </c>
      <c r="AC57" s="24">
        <f t="shared" si="3"/>
        <v>29.452884913038922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>
        <f>AI57*VLOOKUP('Données projet'!$B$10,Paramètres!$A$1:$I$89,3,0)*VLOOKUP('Données projet'!$B$10,Paramètres!$A$1:$I$89,5,0)</f>
        <v>0</v>
      </c>
      <c r="AK57" s="14" t="e">
        <f t="shared" si="35"/>
        <v>#NUM!</v>
      </c>
      <c r="AL57" s="22" t="e">
        <f t="shared" si="4"/>
        <v>#NUM!</v>
      </c>
      <c r="AM57" s="62" t="e">
        <f t="shared" si="5"/>
        <v>#NUM!</v>
      </c>
      <c r="AN57" s="62">
        <f ca="1">AVERAGE(OFFSET($AM$3,0,0,'Données projet'!$E$10+1,1))-AVERAGE(OFFSET($H$3,0,0,'Données projet'!$E$10+1,1))</f>
        <v>195.80903373714432</v>
      </c>
      <c r="AO57" s="62">
        <f t="shared" si="36"/>
        <v>388.30721786668977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61.425220678672225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6.4937730466565979E-2</v>
      </c>
      <c r="AX57" s="23">
        <f t="shared" si="6"/>
        <v>61.490158409138793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-5.6843418860808015E-14</v>
      </c>
      <c r="BE57" s="14">
        <f>BD57*VLOOKUP('Données projet'!$B$11,Paramètres!$A$1:$I$89,3,0)*VLOOKUP('Données projet'!$B$11,Paramètres!$A$1:$I$89,5,0)</f>
        <v>-5.1431925385259088E-14</v>
      </c>
      <c r="BF57" s="14" t="e">
        <f t="shared" si="37"/>
        <v>#NUM!</v>
      </c>
      <c r="BG57" s="22" t="e">
        <f t="shared" si="7"/>
        <v>#NUM!</v>
      </c>
      <c r="BH57" s="62" t="e">
        <f t="shared" si="8"/>
        <v>#NUM!</v>
      </c>
      <c r="BI57" s="62">
        <f ca="1">AVERAGE(OFFSET($BH$3,0,0,'Données projet'!$E$11+1,1))-AVERAGE(OFFSET($H$3,0,0,'Données projet'!$E$11+1,1))</f>
        <v>366.86025470473652</v>
      </c>
      <c r="BJ57" s="62">
        <f t="shared" si="38"/>
        <v>513.80016421153414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6.5805770181421339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6.5805770181421339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10.199999999999999</v>
      </c>
      <c r="BY57" s="13">
        <f>IF('Données projet'!$A$114&gt;35,BY56+BX57-CG56,IF(A57&lt;'Données projet'!$A$114,$BV$205^A57,IF(A57='Données projet'!$A$114,'Données projet'!$B$114,BY56+BX57-CG56)))</f>
        <v>243.79999999999998</v>
      </c>
      <c r="BZ57" s="14">
        <f>BY57*VLOOKUP('Données projet'!$B$12,Paramètres!$A$1:$I$89,3,0)*VLOOKUP('Données projet'!$B$12,Paramètres!$A$1:$I$89,5,0)</f>
        <v>220.59023999999997</v>
      </c>
      <c r="CA57" s="14">
        <f t="shared" si="39"/>
        <v>54.24315145708789</v>
      </c>
      <c r="CB57" s="22">
        <f t="shared" si="10"/>
        <v>478.66815678776129</v>
      </c>
      <c r="CC57" s="62">
        <f t="shared" si="11"/>
        <v>772.00149012109455</v>
      </c>
      <c r="CD57" s="62">
        <f ca="1">AVERAGE(OFFSET($CC$3,0,0,'Données projet'!$E$12+1,1))-AVERAGE(OFFSET($H$3,0,0,'Données projet'!$E$12+1,1))</f>
        <v>438.70522838726322</v>
      </c>
      <c r="CE57" s="62">
        <f t="shared" si="40"/>
        <v>278.21741231699929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10.199999999999999</v>
      </c>
      <c r="CT57" s="13">
        <f>IF('Données projet'!$A$140&gt;35,CT56+CS57-DB56,IF(A57&lt;'Données projet'!$A$140,$CQ$205^A57,IF(A57='Données projet'!$A$140,'Données projet'!$B$140,CT56+CS57-DB56)))</f>
        <v>243.79999999999998</v>
      </c>
      <c r="CU57" s="18">
        <f>CT57*VLOOKUP('Données projet'!$B$13,Paramètres!$A$1:$I$89,3,0)*VLOOKUP('Données projet'!$B$13,Paramètres!$A$1:$I$89,5,0)</f>
        <v>247.2132</v>
      </c>
      <c r="CV57" s="14">
        <f t="shared" si="41"/>
        <v>59.988800807398761</v>
      </c>
      <c r="CW57" s="22">
        <f t="shared" si="13"/>
        <v>535.04348473955281</v>
      </c>
      <c r="CX57" s="62">
        <f t="shared" si="14"/>
        <v>828.37681807288618</v>
      </c>
      <c r="CY57" s="62">
        <f ca="1">AVERAGE(OFFSET($CX$3,0,0,'Données projet'!$E$13+1,1))-AVERAGE(OFFSET($H$3,0,0,'Données projet'!$E$13+1,1))</f>
        <v>486.63673936259465</v>
      </c>
      <c r="CZ57" s="62">
        <f t="shared" si="42"/>
        <v>306.61893266146666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739</v>
      </c>
      <c r="L58" s="13">
        <f>VLOOKUP(A58,'Données projet'!$A$35:$I$55,9,0)</f>
        <v>15.4</v>
      </c>
      <c r="M58" s="13">
        <f t="array" ref="M58">INDEX(L:L,MIN(IF(ISNUMBER(L58:L254),ROW(L58:L254),"")))</f>
        <v>15.4</v>
      </c>
      <c r="N58" s="14">
        <f>IF('Données projet'!$A$36&gt;35,N57+M58-V57,IF(A58&lt;'Données projet'!$A$36,$K$205^A58,IF(A58='Données projet'!$A$36,'Données projet'!$B$36,N57+M58-V57)))</f>
        <v>738.99999999999943</v>
      </c>
      <c r="O58" s="14">
        <f>N58*VLOOKUP('Données projet'!$B$9,Paramètres!$A$1:$I$89,3,0)*VLOOKUP('Données projet'!$B$9,Paramètres!$A$1:$I$89,5,0)</f>
        <v>413.10099999999971</v>
      </c>
      <c r="P58" s="14">
        <f t="shared" si="33"/>
        <v>94.427689670462271</v>
      </c>
      <c r="Q58" s="22">
        <f t="shared" si="53"/>
        <v>883.94580117605472</v>
      </c>
      <c r="R58" s="62">
        <f t="shared" si="0"/>
        <v>1177.2791345093881</v>
      </c>
      <c r="S58" s="62">
        <f ca="1">AVERAGE(OFFSET($R$3,0,0,'Données projet'!$E$9+1,1))-AVERAGE(OFFSET($H$3,0,0,'Données projet'!$E$9+1,1))</f>
        <v>555.15881087162279</v>
      </c>
      <c r="T58" s="62">
        <f t="shared" si="34"/>
        <v>668.20427590250733</v>
      </c>
      <c r="U58" s="16">
        <f>IF(ISNA(VLOOKUP(A58,'Données projet'!$A$35:$I$55,3,0)),0,VLOOKUP(A58,'Données projet'!$A$35:$I$55,3,0))</f>
        <v>9</v>
      </c>
      <c r="V58" s="16">
        <f>IF(ISNA(VLOOKUP(A58,'Données projet'!$A$35:$I$55,4,0)),0,VLOOKUP(A58,'Données projet'!$A$35:$I$55,4,0))</f>
        <v>46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17.467039582705002</v>
      </c>
      <c r="AA58" s="23">
        <f>EXP(-LN(2)/25)*AA57+(1-EXP(-LN(2)/25))/(LN(2)/25)*Calculateur!V58*Calculateur!X58*VLOOKUP('Données projet'!$B$9,Paramètres!$A$1:$I$89,3,0)*0.475*44/12</f>
        <v>11.314991829209385</v>
      </c>
      <c r="AB58" s="23">
        <f>EXP(-LN(2)/2)*AB57+(1-EXP(-LN(2)/2))/(LN(2)/2)*V58*Y58*VLOOKUP('Données projet'!$B$9,Paramètres!$A$1:$I$89,3,0)*0.475*44/12</f>
        <v>2.3878138601464843E-3</v>
      </c>
      <c r="AC58" s="24">
        <f t="shared" si="3"/>
        <v>28.784419225774535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>
        <f>AI58*VLOOKUP('Données projet'!$B$10,Paramètres!$A$1:$I$89,3,0)*VLOOKUP('Données projet'!$B$10,Paramètres!$A$1:$I$89,5,0)</f>
        <v>0</v>
      </c>
      <c r="AK58" s="14" t="e">
        <f t="shared" si="35"/>
        <v>#NUM!</v>
      </c>
      <c r="AL58" s="22" t="e">
        <f t="shared" si="4"/>
        <v>#NUM!</v>
      </c>
      <c r="AM58" s="62" t="e">
        <f t="shared" si="5"/>
        <v>#NUM!</v>
      </c>
      <c r="AN58" s="62">
        <f ca="1">AVERAGE(OFFSET($AM$3,0,0,'Données projet'!$E$10+1,1))-AVERAGE(OFFSET($H$3,0,0,'Données projet'!$E$10+1,1))</f>
        <v>195.80903373714432</v>
      </c>
      <c r="AO58" s="62">
        <f t="shared" si="36"/>
        <v>388.30721786668977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60.220709566848647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4.5917909567773071E-2</v>
      </c>
      <c r="AX58" s="23">
        <f t="shared" si="6"/>
        <v>60.266627476416417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-5.6843418860808015E-14</v>
      </c>
      <c r="BE58" s="14">
        <f>BD58*VLOOKUP('Données projet'!$B$11,Paramètres!$A$1:$I$89,3,0)*VLOOKUP('Données projet'!$B$11,Paramètres!$A$1:$I$89,5,0)</f>
        <v>-5.1431925385259088E-14</v>
      </c>
      <c r="BF58" s="14" t="e">
        <f t="shared" si="37"/>
        <v>#NUM!</v>
      </c>
      <c r="BG58" s="22" t="e">
        <f t="shared" si="7"/>
        <v>#NUM!</v>
      </c>
      <c r="BH58" s="62" t="e">
        <f t="shared" si="8"/>
        <v>#NUM!</v>
      </c>
      <c r="BI58" s="62">
        <f ca="1">AVERAGE(OFFSET($BH$3,0,0,'Données projet'!$E$11+1,1))-AVERAGE(OFFSET($H$3,0,0,'Données projet'!$E$11+1,1))</f>
        <v>366.86025470473652</v>
      </c>
      <c r="BJ58" s="62">
        <f t="shared" si="38"/>
        <v>513.80016421153414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6.4515359165720225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6.4515359165720225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254</v>
      </c>
      <c r="BW58" s="13">
        <f>VLOOKUP(A58,'Données projet'!$A$113:$I$133,9,0)</f>
        <v>10.199999999999999</v>
      </c>
      <c r="BX58" s="13">
        <f t="array" ref="BX58">INDEX(BW:BW,MIN(IF(ISNUMBER(BW58:BW254),ROW(BW58:BW254),"")))</f>
        <v>10.199999999999999</v>
      </c>
      <c r="BY58" s="13">
        <f>IF('Données projet'!$A$114&gt;35,BY57+BX58-CG57,IF(A58&lt;'Données projet'!$A$114,$BV$205^A58,IF(A58='Données projet'!$A$114,'Données projet'!$B$114,BY57+BX58-CG57)))</f>
        <v>253.99999999999997</v>
      </c>
      <c r="BZ58" s="14">
        <f>BY58*VLOOKUP('Données projet'!$B$12,Paramètres!$A$1:$I$89,3,0)*VLOOKUP('Données projet'!$B$12,Paramètres!$A$1:$I$89,5,0)</f>
        <v>229.81919999999997</v>
      </c>
      <c r="CA58" s="14">
        <f t="shared" si="39"/>
        <v>56.243586554989342</v>
      </c>
      <c r="CB58" s="22">
        <f t="shared" si="10"/>
        <v>498.22601991660639</v>
      </c>
      <c r="CC58" s="62">
        <f t="shared" si="11"/>
        <v>791.5593532499397</v>
      </c>
      <c r="CD58" s="62">
        <f ca="1">AVERAGE(OFFSET($CC$3,0,0,'Données projet'!$E$12+1,1))-AVERAGE(OFFSET($H$3,0,0,'Données projet'!$E$12+1,1))</f>
        <v>438.70522838726322</v>
      </c>
      <c r="CE58" s="62">
        <f t="shared" si="40"/>
        <v>278.21741231699929</v>
      </c>
      <c r="CF58" s="16">
        <f>IF(ISNA(VLOOKUP(A58,'Données projet'!$A$113:$I$133,3,0)),0,VLOOKUP(A58,'Données projet'!$A$113:$I$133,3,0))</f>
        <v>8</v>
      </c>
      <c r="CG58" s="16">
        <f>IF(ISNA(VLOOKUP(A58,'Données projet'!$A$113:$I$133,4,0)),0,VLOOKUP(A58,'Données projet'!$A$113:$I$133,4,0))</f>
        <v>28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254</v>
      </c>
      <c r="CR58" s="13">
        <f>VLOOKUP(A58,'Données projet'!$A$139:$I$159,9,0)</f>
        <v>10.199999999999999</v>
      </c>
      <c r="CS58" s="13">
        <f t="array" ref="CS58">INDEX(CR:CR,MIN(IF(ISNUMBER(CR58:CR254),ROW(CR58:CR254),"")))</f>
        <v>10.199999999999999</v>
      </c>
      <c r="CT58" s="13">
        <f>IF('Données projet'!$A$140&gt;35,CT57+CS58-DB57,IF(A58&lt;'Données projet'!$A$140,$CQ$205^A58,IF(A58='Données projet'!$A$140,'Données projet'!$B$140,CT57+CS58-DB57)))</f>
        <v>253.99999999999997</v>
      </c>
      <c r="CU58" s="18">
        <f>CT58*VLOOKUP('Données projet'!$B$13,Paramètres!$A$1:$I$89,3,0)*VLOOKUP('Données projet'!$B$13,Paramètres!$A$1:$I$89,5,0)</f>
        <v>257.55599999999998</v>
      </c>
      <c r="CV58" s="14">
        <f t="shared" si="41"/>
        <v>62.201129910568184</v>
      </c>
      <c r="CW58" s="22">
        <f t="shared" si="13"/>
        <v>556.91033459423954</v>
      </c>
      <c r="CX58" s="62">
        <f t="shared" si="14"/>
        <v>850.24366792757291</v>
      </c>
      <c r="CY58" s="62">
        <f ca="1">AVERAGE(OFFSET($CX$3,0,0,'Données projet'!$E$13+1,1))-AVERAGE(OFFSET($H$3,0,0,'Données projet'!$E$13+1,1))</f>
        <v>486.63673936259465</v>
      </c>
      <c r="CZ58" s="62">
        <f t="shared" si="42"/>
        <v>306.61893266146666</v>
      </c>
      <c r="DA58" s="16">
        <f>IF(ISNA(VLOOKUP(A58,'Données projet'!$A$139:$I$159,3,0)),0,VLOOKUP(A58,'Données projet'!$A$139:$I$159,3,0))</f>
        <v>8</v>
      </c>
      <c r="DB58" s="16">
        <f>IF(ISNA(VLOOKUP(A58,'Données projet'!$A$139:$I$159,4,0)),0,VLOOKUP(A58,'Données projet'!$A$139:$I$159,4,0))</f>
        <v>28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12.2</v>
      </c>
      <c r="N59" s="14">
        <f>IF('Données projet'!$A$36&gt;35,N58+M59-V58,IF(A59&lt;'Données projet'!$A$36,$K$205^A59,IF(A59='Données projet'!$A$36,'Données projet'!$B$36,N58+M59-V58)))</f>
        <v>705.19999999999948</v>
      </c>
      <c r="O59" s="14">
        <f>N59*VLOOKUP('Données projet'!$B$9,Paramètres!$A$1:$I$89,3,0)*VLOOKUP('Données projet'!$B$9,Paramètres!$A$1:$I$89,5,0)</f>
        <v>394.2067999999997</v>
      </c>
      <c r="P59" s="14">
        <f t="shared" si="33"/>
        <v>90.601187466199292</v>
      </c>
      <c r="Q59" s="22">
        <f t="shared" si="53"/>
        <v>844.37391150362998</v>
      </c>
      <c r="R59" s="62">
        <f t="shared" si="0"/>
        <v>1137.7072448369634</v>
      </c>
      <c r="S59" s="62">
        <f ca="1">AVERAGE(OFFSET($R$3,0,0,'Données projet'!$E$9+1,1))-AVERAGE(OFFSET($H$3,0,0,'Données projet'!$E$9+1,1))</f>
        <v>555.15881087162279</v>
      </c>
      <c r="T59" s="62">
        <f t="shared" si="34"/>
        <v>668.20427590250733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17.124521590330325</v>
      </c>
      <c r="AA59" s="23">
        <f>EXP(-LN(2)/25)*AA58+(1-EXP(-LN(2)/25))/(LN(2)/25)*Calculateur!V59*Calculateur!X59*VLOOKUP('Données projet'!$B$9,Paramètres!$A$1:$I$89,3,0)*0.475*44/12</f>
        <v>11.005582782610094</v>
      </c>
      <c r="AB59" s="23">
        <f>EXP(-LN(2)/2)*AB58+(1-EXP(-LN(2)/2))/(LN(2)/2)*V59*Y59*VLOOKUP('Données projet'!$B$9,Paramètres!$A$1:$I$89,3,0)*0.475*44/12</f>
        <v>1.6884393727208055E-3</v>
      </c>
      <c r="AC59" s="24">
        <f t="shared" si="3"/>
        <v>28.13179281231314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>
        <f>AI59*VLOOKUP('Données projet'!$B$10,Paramètres!$A$1:$I$89,3,0)*VLOOKUP('Données projet'!$B$10,Paramètres!$A$1:$I$89,5,0)</f>
        <v>0</v>
      </c>
      <c r="AK59" s="14" t="e">
        <f t="shared" si="35"/>
        <v>#NUM!</v>
      </c>
      <c r="AL59" s="22" t="e">
        <f t="shared" si="4"/>
        <v>#NUM!</v>
      </c>
      <c r="AM59" s="62" t="e">
        <f t="shared" si="5"/>
        <v>#NUM!</v>
      </c>
      <c r="AN59" s="62">
        <f ca="1">AVERAGE(OFFSET($AM$3,0,0,'Données projet'!$E$10+1,1))-AVERAGE(OFFSET($H$3,0,0,'Données projet'!$E$10+1,1))</f>
        <v>195.80903373714432</v>
      </c>
      <c r="AO59" s="62">
        <f t="shared" si="36"/>
        <v>388.30721786668977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59.039818183248698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3.246886523328299E-2</v>
      </c>
      <c r="AX59" s="23">
        <f t="shared" si="6"/>
        <v>59.072287048481982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-5.6843418860808015E-14</v>
      </c>
      <c r="BE59" s="14">
        <f>BD59*VLOOKUP('Données projet'!$B$11,Paramètres!$A$1:$I$89,3,0)*VLOOKUP('Données projet'!$B$11,Paramètres!$A$1:$I$89,5,0)</f>
        <v>-5.1431925385259088E-14</v>
      </c>
      <c r="BF59" s="14" t="e">
        <f t="shared" si="37"/>
        <v>#NUM!</v>
      </c>
      <c r="BG59" s="22" t="e">
        <f t="shared" si="7"/>
        <v>#NUM!</v>
      </c>
      <c r="BH59" s="62" t="e">
        <f t="shared" si="8"/>
        <v>#NUM!</v>
      </c>
      <c r="BI59" s="62">
        <f ca="1">AVERAGE(OFFSET($BH$3,0,0,'Données projet'!$E$11+1,1))-AVERAGE(OFFSET($H$3,0,0,'Données projet'!$E$11+1,1))</f>
        <v>366.86025470473652</v>
      </c>
      <c r="BJ59" s="62">
        <f t="shared" si="38"/>
        <v>513.80016421153414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6.3250252322964009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6.3250252322964009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9.4</v>
      </c>
      <c r="BY59" s="13">
        <f>IF('Données projet'!$A$114&gt;35,BY58+BX59-CG58,IF(A59&lt;'Données projet'!$A$114,$BV$205^A59,IF(A59='Données projet'!$A$114,'Données projet'!$B$114,BY58+BX59-CG58)))</f>
        <v>235.39999999999998</v>
      </c>
      <c r="BZ59" s="14">
        <f>BY59*VLOOKUP('Données projet'!$B$12,Paramètres!$A$1:$I$89,3,0)*VLOOKUP('Données projet'!$B$12,Paramètres!$A$1:$I$89,5,0)</f>
        <v>212.98991999999998</v>
      </c>
      <c r="CA59" s="14">
        <f t="shared" si="39"/>
        <v>52.588419883221171</v>
      </c>
      <c r="CB59" s="22">
        <f t="shared" si="10"/>
        <v>462.54894196327677</v>
      </c>
      <c r="CC59" s="62">
        <f t="shared" si="11"/>
        <v>755.88227529661003</v>
      </c>
      <c r="CD59" s="62">
        <f ca="1">AVERAGE(OFFSET($CC$3,0,0,'Données projet'!$E$12+1,1))-AVERAGE(OFFSET($H$3,0,0,'Données projet'!$E$12+1,1))</f>
        <v>438.70522838726322</v>
      </c>
      <c r="CE59" s="62">
        <f t="shared" si="40"/>
        <v>278.21741231699929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9.4</v>
      </c>
      <c r="CT59" s="13">
        <f>IF('Données projet'!$A$140&gt;35,CT58+CS59-DB58,IF(A59&lt;'Données projet'!$A$140,$CQ$205^A59,IF(A59='Données projet'!$A$140,'Données projet'!$B$140,CT58+CS59-DB58)))</f>
        <v>235.39999999999998</v>
      </c>
      <c r="CU59" s="18">
        <f>CT59*VLOOKUP('Données projet'!$B$13,Paramètres!$A$1:$I$89,3,0)*VLOOKUP('Données projet'!$B$13,Paramètres!$A$1:$I$89,5,0)</f>
        <v>238.69559999999998</v>
      </c>
      <c r="CV59" s="14">
        <f t="shared" si="41"/>
        <v>58.158793514165929</v>
      </c>
      <c r="CW59" s="22">
        <f t="shared" si="13"/>
        <v>517.02140203717238</v>
      </c>
      <c r="CX59" s="62">
        <f t="shared" si="14"/>
        <v>810.35473537050575</v>
      </c>
      <c r="CY59" s="62">
        <f ca="1">AVERAGE(OFFSET($CX$3,0,0,'Données projet'!$E$13+1,1))-AVERAGE(OFFSET($H$3,0,0,'Données projet'!$E$13+1,1))</f>
        <v>486.63673936259465</v>
      </c>
      <c r="CZ59" s="62">
        <f t="shared" si="42"/>
        <v>306.61893266146666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12.2</v>
      </c>
      <c r="N60" s="14">
        <f>IF('Données projet'!$A$36&gt;35,N59+M60-V59,IF(A60&lt;'Données projet'!$A$36,$K$205^A60,IF(A60='Données projet'!$A$36,'Données projet'!$B$36,N59+M60-V59)))</f>
        <v>717.39999999999952</v>
      </c>
      <c r="O60" s="14">
        <f>N60*VLOOKUP('Données projet'!$B$9,Paramètres!$A$1:$I$89,3,0)*VLOOKUP('Données projet'!$B$9,Paramètres!$A$1:$I$89,5,0)</f>
        <v>401.02659999999975</v>
      </c>
      <c r="P60" s="14">
        <f t="shared" si="33"/>
        <v>91.984761558101539</v>
      </c>
      <c r="Q60" s="22">
        <f t="shared" si="53"/>
        <v>858.66145471369293</v>
      </c>
      <c r="R60" s="62">
        <f t="shared" si="0"/>
        <v>1151.9947880470263</v>
      </c>
      <c r="S60" s="62">
        <f ca="1">AVERAGE(OFFSET($R$3,0,0,'Données projet'!$E$9+1,1))-AVERAGE(OFFSET($H$3,0,0,'Données projet'!$E$9+1,1))</f>
        <v>555.15881087162279</v>
      </c>
      <c r="T60" s="62">
        <f t="shared" si="34"/>
        <v>668.20427590250733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16.788720166870768</v>
      </c>
      <c r="AA60" s="23">
        <f>EXP(-LN(2)/25)*AA59+(1-EXP(-LN(2)/25))/(LN(2)/25)*Calculateur!V60*Calculateur!X60*VLOOKUP('Données projet'!$B$9,Paramètres!$A$1:$I$89,3,0)*0.475*44/12</f>
        <v>10.704634542661177</v>
      </c>
      <c r="AB60" s="23">
        <f>EXP(-LN(2)/2)*AB59+(1-EXP(-LN(2)/2))/(LN(2)/2)*V60*Y60*VLOOKUP('Données projet'!$B$9,Paramètres!$A$1:$I$89,3,0)*0.475*44/12</f>
        <v>1.1939069300732422E-3</v>
      </c>
      <c r="AC60" s="24">
        <f t="shared" si="3"/>
        <v>27.494548616462016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>
        <f>AI60*VLOOKUP('Données projet'!$B$10,Paramètres!$A$1:$I$89,3,0)*VLOOKUP('Données projet'!$B$10,Paramètres!$A$1:$I$89,5,0)</f>
        <v>0</v>
      </c>
      <c r="AK60" s="14" t="e">
        <f t="shared" si="35"/>
        <v>#NUM!</v>
      </c>
      <c r="AL60" s="22" t="e">
        <f t="shared" si="4"/>
        <v>#NUM!</v>
      </c>
      <c r="AM60" s="62" t="e">
        <f t="shared" si="5"/>
        <v>#NUM!</v>
      </c>
      <c r="AN60" s="62">
        <f ca="1">AVERAGE(OFFSET($AM$3,0,0,'Données projet'!$E$10+1,1))-AVERAGE(OFFSET($H$3,0,0,'Données projet'!$E$10+1,1))</f>
        <v>195.80903373714432</v>
      </c>
      <c r="AO60" s="62">
        <f t="shared" si="36"/>
        <v>388.30721786668977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57.882083359408519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2.2958954783886536E-2</v>
      </c>
      <c r="AX60" s="23">
        <f t="shared" si="6"/>
        <v>57.905042314192407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-5.6843418860808015E-14</v>
      </c>
      <c r="BE60" s="14">
        <f>BD60*VLOOKUP('Données projet'!$B$11,Paramètres!$A$1:$I$89,3,0)*VLOOKUP('Données projet'!$B$11,Paramètres!$A$1:$I$89,5,0)</f>
        <v>-5.1431925385259088E-14</v>
      </c>
      <c r="BF60" s="14" t="e">
        <f t="shared" si="37"/>
        <v>#NUM!</v>
      </c>
      <c r="BG60" s="22" t="e">
        <f t="shared" si="7"/>
        <v>#NUM!</v>
      </c>
      <c r="BH60" s="62" t="e">
        <f t="shared" si="8"/>
        <v>#NUM!</v>
      </c>
      <c r="BI60" s="62">
        <f ca="1">AVERAGE(OFFSET($BH$3,0,0,'Données projet'!$E$11+1,1))-AVERAGE(OFFSET($H$3,0,0,'Données projet'!$E$11+1,1))</f>
        <v>366.86025470473652</v>
      </c>
      <c r="BJ60" s="62">
        <f t="shared" si="38"/>
        <v>513.80016421153414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6.2009953453755253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6.2009953453755253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9.4</v>
      </c>
      <c r="BY60" s="13">
        <f>IF('Données projet'!$A$114&gt;35,BY59+BX60-CG59,IF(A60&lt;'Données projet'!$A$114,$BV$205^A60,IF(A60='Données projet'!$A$114,'Données projet'!$B$114,BY59+BX60-CG59)))</f>
        <v>244.79999999999998</v>
      </c>
      <c r="BZ60" s="14">
        <f>BY60*VLOOKUP('Données projet'!$B$12,Paramètres!$A$1:$I$89,3,0)*VLOOKUP('Données projet'!$B$12,Paramètres!$A$1:$I$89,5,0)</f>
        <v>221.49503999999999</v>
      </c>
      <c r="CA60" s="14">
        <f t="shared" si="39"/>
        <v>54.439697086174412</v>
      </c>
      <c r="CB60" s="22">
        <f t="shared" si="10"/>
        <v>480.58633375842032</v>
      </c>
      <c r="CC60" s="62">
        <f t="shared" si="11"/>
        <v>773.91966709175358</v>
      </c>
      <c r="CD60" s="62">
        <f ca="1">AVERAGE(OFFSET($CC$3,0,0,'Données projet'!$E$12+1,1))-AVERAGE(OFFSET($H$3,0,0,'Données projet'!$E$12+1,1))</f>
        <v>438.70522838726322</v>
      </c>
      <c r="CE60" s="62">
        <f t="shared" si="40"/>
        <v>278.21741231699929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9.4</v>
      </c>
      <c r="CT60" s="13">
        <f>IF('Données projet'!$A$140&gt;35,CT59+CS60-DB59,IF(A60&lt;'Données projet'!$A$140,$CQ$205^A60,IF(A60='Données projet'!$A$140,'Données projet'!$B$140,CT59+CS60-DB59)))</f>
        <v>244.79999999999998</v>
      </c>
      <c r="CU60" s="18">
        <f>CT60*VLOOKUP('Données projet'!$B$13,Paramètres!$A$1:$I$89,3,0)*VLOOKUP('Données projet'!$B$13,Paramètres!$A$1:$I$89,5,0)</f>
        <v>248.22720000000001</v>
      </c>
      <c r="CV60" s="14">
        <f t="shared" si="41"/>
        <v>60.20616532763993</v>
      </c>
      <c r="CW60" s="22">
        <f t="shared" si="13"/>
        <v>537.18811127897277</v>
      </c>
      <c r="CX60" s="62">
        <f t="shared" si="14"/>
        <v>830.52144461230614</v>
      </c>
      <c r="CY60" s="62">
        <f ca="1">AVERAGE(OFFSET($CX$3,0,0,'Données projet'!$E$13+1,1))-AVERAGE(OFFSET($H$3,0,0,'Données projet'!$E$13+1,1))</f>
        <v>486.63673936259465</v>
      </c>
      <c r="CZ60" s="62">
        <f t="shared" si="42"/>
        <v>306.61893266146666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12.2</v>
      </c>
      <c r="N61" s="14">
        <f>IF('Données projet'!$A$36&gt;35,N60+M61-V60,IF(A61&lt;'Données projet'!$A$36,$K$205^A61,IF(A61='Données projet'!$A$36,'Données projet'!$B$36,N60+M61-V60)))</f>
        <v>729.59999999999957</v>
      </c>
      <c r="O61" s="14">
        <f>N61*VLOOKUP('Données projet'!$B$9,Paramètres!$A$1:$I$89,3,0)*VLOOKUP('Données projet'!$B$9,Paramètres!$A$1:$I$89,5,0)</f>
        <v>407.84639999999973</v>
      </c>
      <c r="P61" s="14">
        <f t="shared" si="33"/>
        <v>93.365599460181741</v>
      </c>
      <c r="Q61" s="22">
        <f t="shared" si="53"/>
        <v>872.94423239314926</v>
      </c>
      <c r="R61" s="62">
        <f t="shared" si="0"/>
        <v>1166.2775657264826</v>
      </c>
      <c r="S61" s="62">
        <f ca="1">AVERAGE(OFFSET($R$3,0,0,'Données projet'!$E$9+1,1))-AVERAGE(OFFSET($H$3,0,0,'Données projet'!$E$9+1,1))</f>
        <v>555.15881087162279</v>
      </c>
      <c r="T61" s="62">
        <f t="shared" si="34"/>
        <v>668.20427590250733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16.459503604506608</v>
      </c>
      <c r="AA61" s="23">
        <f>EXP(-LN(2)/25)*AA60+(1-EXP(-LN(2)/25))/(LN(2)/25)*Calculateur!V61*Calculateur!X61*VLOOKUP('Données projet'!$B$9,Paramètres!$A$1:$I$89,3,0)*0.475*44/12</f>
        <v>10.411915748159842</v>
      </c>
      <c r="AB61" s="23">
        <f>EXP(-LN(2)/2)*AB60+(1-EXP(-LN(2)/2))/(LN(2)/2)*V61*Y61*VLOOKUP('Données projet'!$B$9,Paramètres!$A$1:$I$89,3,0)*0.475*44/12</f>
        <v>8.4421968636040276E-4</v>
      </c>
      <c r="AC61" s="24">
        <f t="shared" si="3"/>
        <v>26.872263572352811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>
        <f>AI61*VLOOKUP('Données projet'!$B$10,Paramètres!$A$1:$I$89,3,0)*VLOOKUP('Données projet'!$B$10,Paramètres!$A$1:$I$89,5,0)</f>
        <v>0</v>
      </c>
      <c r="AK61" s="14" t="e">
        <f t="shared" si="35"/>
        <v>#NUM!</v>
      </c>
      <c r="AL61" s="22" t="e">
        <f t="shared" si="4"/>
        <v>#NUM!</v>
      </c>
      <c r="AM61" s="62" t="e">
        <f t="shared" si="5"/>
        <v>#NUM!</v>
      </c>
      <c r="AN61" s="62">
        <f ca="1">AVERAGE(OFFSET($AM$3,0,0,'Données projet'!$E$10+1,1))-AVERAGE(OFFSET($H$3,0,0,'Données projet'!$E$10+1,1))</f>
        <v>195.80903373714432</v>
      </c>
      <c r="AO61" s="62">
        <f t="shared" si="36"/>
        <v>388.30721786668977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56.747051009315328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1.6234432616641495E-2</v>
      </c>
      <c r="AX61" s="23">
        <f t="shared" si="6"/>
        <v>56.76328544193197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-5.6843418860808015E-14</v>
      </c>
      <c r="BE61" s="14">
        <f>BD61*VLOOKUP('Données projet'!$B$11,Paramètres!$A$1:$I$89,3,0)*VLOOKUP('Données projet'!$B$11,Paramètres!$A$1:$I$89,5,0)</f>
        <v>-5.1431925385259088E-14</v>
      </c>
      <c r="BF61" s="14" t="e">
        <f t="shared" si="37"/>
        <v>#NUM!</v>
      </c>
      <c r="BG61" s="22" t="e">
        <f t="shared" si="7"/>
        <v>#NUM!</v>
      </c>
      <c r="BH61" s="62" t="e">
        <f t="shared" si="8"/>
        <v>#NUM!</v>
      </c>
      <c r="BI61" s="62">
        <f ca="1">AVERAGE(OFFSET($BH$3,0,0,'Données projet'!$E$11+1,1))-AVERAGE(OFFSET($H$3,0,0,'Données projet'!$E$11+1,1))</f>
        <v>366.86025470473652</v>
      </c>
      <c r="BJ61" s="62">
        <f t="shared" si="38"/>
        <v>513.80016421153414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6.0793976088864072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6.0793976088864072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9.4</v>
      </c>
      <c r="BY61" s="13">
        <f>IF('Données projet'!$A$114&gt;35,BY60+BX61-CG60,IF(A61&lt;'Données projet'!$A$114,$BV$205^A61,IF(A61='Données projet'!$A$114,'Données projet'!$B$114,BY60+BX61-CG60)))</f>
        <v>254.2</v>
      </c>
      <c r="BZ61" s="14">
        <f>BY61*VLOOKUP('Données projet'!$B$12,Paramètres!$A$1:$I$89,3,0)*VLOOKUP('Données projet'!$B$12,Paramètres!$A$1:$I$89,5,0)</f>
        <v>230.00015999999997</v>
      </c>
      <c r="CA61" s="14">
        <f t="shared" si="39"/>
        <v>56.282716126880423</v>
      </c>
      <c r="CB61" s="22">
        <f t="shared" si="10"/>
        <v>498.60934258765002</v>
      </c>
      <c r="CC61" s="62">
        <f t="shared" si="11"/>
        <v>791.94267592098333</v>
      </c>
      <c r="CD61" s="62">
        <f ca="1">AVERAGE(OFFSET($CC$3,0,0,'Données projet'!$E$12+1,1))-AVERAGE(OFFSET($H$3,0,0,'Données projet'!$E$12+1,1))</f>
        <v>438.70522838726322</v>
      </c>
      <c r="CE61" s="62">
        <f t="shared" si="40"/>
        <v>278.21741231699929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9.4</v>
      </c>
      <c r="CT61" s="13">
        <f>IF('Données projet'!$A$140&gt;35,CT60+CS61-DB60,IF(A61&lt;'Données projet'!$A$140,$CQ$205^A61,IF(A61='Données projet'!$A$140,'Données projet'!$B$140,CT60+CS61-DB60)))</f>
        <v>254.2</v>
      </c>
      <c r="CU61" s="18">
        <f>CT61*VLOOKUP('Données projet'!$B$13,Paramètres!$A$1:$I$89,3,0)*VLOOKUP('Données projet'!$B$13,Paramètres!$A$1:$I$89,5,0)</f>
        <v>257.75880000000001</v>
      </c>
      <c r="CV61" s="14">
        <f t="shared" si="41"/>
        <v>62.244404241627407</v>
      </c>
      <c r="CW61" s="22">
        <f t="shared" si="13"/>
        <v>557.33891405416773</v>
      </c>
      <c r="CX61" s="62">
        <f t="shared" si="14"/>
        <v>850.6722473875011</v>
      </c>
      <c r="CY61" s="62">
        <f ca="1">AVERAGE(OFFSET($CX$3,0,0,'Données projet'!$E$13+1,1))-AVERAGE(OFFSET($H$3,0,0,'Données projet'!$E$13+1,1))</f>
        <v>486.63673936259465</v>
      </c>
      <c r="CZ61" s="62">
        <f t="shared" si="42"/>
        <v>306.61893266146666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12.2</v>
      </c>
      <c r="N62" s="14">
        <f>IF('Données projet'!$A$36&gt;35,N61+M62-V61,IF(A62&lt;'Données projet'!$A$36,$K$205^A62,IF(A62='Données projet'!$A$36,'Données projet'!$B$36,N61+M62-V61)))</f>
        <v>741.79999999999961</v>
      </c>
      <c r="O62" s="14">
        <f>N62*VLOOKUP('Données projet'!$B$9,Paramètres!$A$1:$I$89,3,0)*VLOOKUP('Données projet'!$B$9,Paramètres!$A$1:$I$89,5,0)</f>
        <v>414.66619999999978</v>
      </c>
      <c r="P62" s="14">
        <f t="shared" si="33"/>
        <v>94.743752206399009</v>
      </c>
      <c r="Q62" s="22">
        <f t="shared" si="53"/>
        <v>887.22233342614447</v>
      </c>
      <c r="R62" s="62">
        <f t="shared" si="0"/>
        <v>1180.5556667594778</v>
      </c>
      <c r="S62" s="62">
        <f ca="1">AVERAGE(OFFSET($R$3,0,0,'Données projet'!$E$9+1,1))-AVERAGE(OFFSET($H$3,0,0,'Données projet'!$E$9+1,1))</f>
        <v>555.15881087162279</v>
      </c>
      <c r="T62" s="62">
        <f t="shared" si="34"/>
        <v>668.20427590250733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16.136742778128134</v>
      </c>
      <c r="AA62" s="23">
        <f>EXP(-LN(2)/25)*AA61+(1-EXP(-LN(2)/25))/(LN(2)/25)*Calculateur!V62*Calculateur!X62*VLOOKUP('Données projet'!$B$9,Paramètres!$A$1:$I$89,3,0)*0.475*44/12</f>
        <v>10.12720136448756</v>
      </c>
      <c r="AB62" s="23">
        <f>EXP(-LN(2)/2)*AB61+(1-EXP(-LN(2)/2))/(LN(2)/2)*V62*Y62*VLOOKUP('Données projet'!$B$9,Paramètres!$A$1:$I$89,3,0)*0.475*44/12</f>
        <v>5.9695346503662108E-4</v>
      </c>
      <c r="AC62" s="24">
        <f t="shared" si="3"/>
        <v>26.26454109608073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>
        <f>AI62*VLOOKUP('Données projet'!$B$10,Paramètres!$A$1:$I$89,3,0)*VLOOKUP('Données projet'!$B$10,Paramètres!$A$1:$I$89,5,0)</f>
        <v>0</v>
      </c>
      <c r="AK62" s="14" t="e">
        <f t="shared" si="35"/>
        <v>#NUM!</v>
      </c>
      <c r="AL62" s="22" t="e">
        <f t="shared" si="4"/>
        <v>#NUM!</v>
      </c>
      <c r="AM62" s="62" t="e">
        <f t="shared" si="5"/>
        <v>#NUM!</v>
      </c>
      <c r="AN62" s="62">
        <f ca="1">AVERAGE(OFFSET($AM$3,0,0,'Données projet'!$E$10+1,1))-AVERAGE(OFFSET($H$3,0,0,'Données projet'!$E$10+1,1))</f>
        <v>195.80903373714432</v>
      </c>
      <c r="AO62" s="62">
        <f t="shared" si="36"/>
        <v>388.30721786668977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55.634275951306094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1.1479477391943268E-2</v>
      </c>
      <c r="AX62" s="23">
        <f t="shared" si="6"/>
        <v>55.645755428698038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-5.6843418860808015E-14</v>
      </c>
      <c r="BE62" s="14">
        <f>BD62*VLOOKUP('Données projet'!$B$11,Paramètres!$A$1:$I$89,3,0)*VLOOKUP('Données projet'!$B$11,Paramètres!$A$1:$I$89,5,0)</f>
        <v>-5.1431925385259088E-14</v>
      </c>
      <c r="BF62" s="14" t="e">
        <f t="shared" si="37"/>
        <v>#NUM!</v>
      </c>
      <c r="BG62" s="22" t="e">
        <f t="shared" si="7"/>
        <v>#NUM!</v>
      </c>
      <c r="BH62" s="62" t="e">
        <f t="shared" si="8"/>
        <v>#NUM!</v>
      </c>
      <c r="BI62" s="62">
        <f ca="1">AVERAGE(OFFSET($BH$3,0,0,'Données projet'!$E$11+1,1))-AVERAGE(OFFSET($H$3,0,0,'Données projet'!$E$11+1,1))</f>
        <v>366.86025470473652</v>
      </c>
      <c r="BJ62" s="62">
        <f t="shared" si="38"/>
        <v>513.80016421153414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5.9601843298425452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5.9601843298425452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9.4</v>
      </c>
      <c r="BY62" s="13">
        <f>IF('Données projet'!$A$114&gt;35,BY61+BX62-CG61,IF(A62&lt;'Données projet'!$A$114,$BV$205^A62,IF(A62='Données projet'!$A$114,'Données projet'!$B$114,BY61+BX62-CG61)))</f>
        <v>263.59999999999997</v>
      </c>
      <c r="BZ62" s="14">
        <f>BY62*VLOOKUP('Données projet'!$B$12,Paramètres!$A$1:$I$89,3,0)*VLOOKUP('Données projet'!$B$12,Paramètres!$A$1:$I$89,5,0)</f>
        <v>238.50527999999997</v>
      </c>
      <c r="CA62" s="14">
        <f t="shared" si="39"/>
        <v>58.117817352909881</v>
      </c>
      <c r="CB62" s="22">
        <f t="shared" si="10"/>
        <v>516.61856122298457</v>
      </c>
      <c r="CC62" s="62">
        <f t="shared" si="11"/>
        <v>809.95189455631794</v>
      </c>
      <c r="CD62" s="62">
        <f ca="1">AVERAGE(OFFSET($CC$3,0,0,'Données projet'!$E$12+1,1))-AVERAGE(OFFSET($H$3,0,0,'Données projet'!$E$12+1,1))</f>
        <v>438.70522838726322</v>
      </c>
      <c r="CE62" s="62">
        <f t="shared" si="40"/>
        <v>278.21741231699929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9.4</v>
      </c>
      <c r="CT62" s="13">
        <f>IF('Données projet'!$A$140&gt;35,CT61+CS62-DB61,IF(A62&lt;'Données projet'!$A$140,$CQ$205^A62,IF(A62='Données projet'!$A$140,'Données projet'!$B$140,CT61+CS62-DB61)))</f>
        <v>263.59999999999997</v>
      </c>
      <c r="CU62" s="18">
        <f>CT62*VLOOKUP('Données projet'!$B$13,Paramètres!$A$1:$I$89,3,0)*VLOOKUP('Données projet'!$B$13,Paramètres!$A$1:$I$89,5,0)</f>
        <v>267.29039999999998</v>
      </c>
      <c r="CV62" s="14">
        <f t="shared" si="41"/>
        <v>64.273886654661325</v>
      </c>
      <c r="CW62" s="22">
        <f t="shared" si="13"/>
        <v>577.47446592353515</v>
      </c>
      <c r="CX62" s="62">
        <f t="shared" si="14"/>
        <v>870.80779925686852</v>
      </c>
      <c r="CY62" s="62">
        <f ca="1">AVERAGE(OFFSET($CX$3,0,0,'Données projet'!$E$13+1,1))-AVERAGE(OFFSET($H$3,0,0,'Données projet'!$E$13+1,1))</f>
        <v>486.63673936259465</v>
      </c>
      <c r="CZ62" s="62">
        <f t="shared" si="42"/>
        <v>306.61893266146666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754</v>
      </c>
      <c r="L63" s="13">
        <f>VLOOKUP(A63,'Données projet'!$A$35:$I$55,9,0)</f>
        <v>12.2</v>
      </c>
      <c r="M63" s="13">
        <f t="array" ref="M63">INDEX(L:L,MIN(IF(ISNUMBER(L63:L259),ROW(L63:L259),"")))</f>
        <v>12.2</v>
      </c>
      <c r="N63" s="14">
        <f>IF('Données projet'!$A$36&gt;35,N62+M63-V62,IF(A63&lt;'Données projet'!$A$36,$K$205^A63,IF(A63='Données projet'!$A$36,'Données projet'!$B$36,N62+M63-V62)))</f>
        <v>753.99999999999966</v>
      </c>
      <c r="O63" s="14">
        <f>N63*VLOOKUP('Données projet'!$B$9,Paramètres!$A$1:$I$89,3,0)*VLOOKUP('Données projet'!$B$9,Paramètres!$A$1:$I$89,5,0)</f>
        <v>421.48599999999982</v>
      </c>
      <c r="P63" s="14">
        <f t="shared" si="33"/>
        <v>96.119269055816147</v>
      </c>
      <c r="Q63" s="22">
        <f t="shared" si="53"/>
        <v>901.49584360554616</v>
      </c>
      <c r="R63" s="62">
        <f t="shared" si="0"/>
        <v>1194.8291769388795</v>
      </c>
      <c r="S63" s="62">
        <f ca="1">AVERAGE(OFFSET($R$3,0,0,'Données projet'!$E$9+1,1))-AVERAGE(OFFSET($H$3,0,0,'Données projet'!$E$9+1,1))</f>
        <v>555.15881087162279</v>
      </c>
      <c r="T63" s="62">
        <f t="shared" si="34"/>
        <v>668.20427590250733</v>
      </c>
      <c r="U63" s="16">
        <f>IF(ISNA(VLOOKUP(A63,'Données projet'!$A$35:$I$55,3,0)),0,VLOOKUP(A63,'Données projet'!$A$35:$I$55,3,0))</f>
        <v>10</v>
      </c>
      <c r="V63" s="16">
        <f>IF(ISNA(VLOOKUP(A63,'Données projet'!$A$35:$I$55,4,0)),0,VLOOKUP(A63,'Données projet'!$A$35:$I$55,4,0))</f>
        <v>35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15.820311094690275</v>
      </c>
      <c r="AA63" s="23">
        <f>EXP(-LN(2)/25)*AA62+(1-EXP(-LN(2)/25))/(LN(2)/25)*Calculateur!V63*Calculateur!X63*VLOOKUP('Données projet'!$B$9,Paramètres!$A$1:$I$89,3,0)*0.475*44/12</f>
        <v>9.8502725106092743</v>
      </c>
      <c r="AB63" s="23">
        <f>EXP(-LN(2)/2)*AB62+(1-EXP(-LN(2)/2))/(LN(2)/2)*V63*Y63*VLOOKUP('Données projet'!$B$9,Paramètres!$A$1:$I$89,3,0)*0.475*44/12</f>
        <v>4.2210984318020138E-4</v>
      </c>
      <c r="AC63" s="24">
        <f t="shared" si="3"/>
        <v>25.671005715142726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>
        <f>AI63*VLOOKUP('Données projet'!$B$10,Paramètres!$A$1:$I$89,3,0)*VLOOKUP('Données projet'!$B$10,Paramètres!$A$1:$I$89,5,0)</f>
        <v>0</v>
      </c>
      <c r="AK63" s="14" t="e">
        <f t="shared" si="35"/>
        <v>#NUM!</v>
      </c>
      <c r="AL63" s="22" t="e">
        <f t="shared" si="4"/>
        <v>#NUM!</v>
      </c>
      <c r="AM63" s="62" t="e">
        <f t="shared" si="5"/>
        <v>#NUM!</v>
      </c>
      <c r="AN63" s="62">
        <f ca="1">AVERAGE(OFFSET($AM$3,0,0,'Données projet'!$E$10+1,1))-AVERAGE(OFFSET($H$3,0,0,'Données projet'!$E$10+1,1))</f>
        <v>195.80903373714432</v>
      </c>
      <c r="AO63" s="62">
        <f t="shared" si="36"/>
        <v>388.30721786668977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54.543321733458654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8.1172163083207474E-3</v>
      </c>
      <c r="AX63" s="23">
        <f t="shared" si="6"/>
        <v>54.551438949766975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-5.6843418860808015E-14</v>
      </c>
      <c r="BE63" s="14">
        <f>BD63*VLOOKUP('Données projet'!$B$11,Paramètres!$A$1:$I$89,3,0)*VLOOKUP('Données projet'!$B$11,Paramètres!$A$1:$I$89,5,0)</f>
        <v>-5.1431925385259088E-14</v>
      </c>
      <c r="BF63" s="14" t="e">
        <f t="shared" si="37"/>
        <v>#NUM!</v>
      </c>
      <c r="BG63" s="22" t="e">
        <f t="shared" si="7"/>
        <v>#NUM!</v>
      </c>
      <c r="BH63" s="62" t="e">
        <f t="shared" si="8"/>
        <v>#NUM!</v>
      </c>
      <c r="BI63" s="62">
        <f ca="1">AVERAGE(OFFSET($BH$3,0,0,'Données projet'!$E$11+1,1))-AVERAGE(OFFSET($H$3,0,0,'Données projet'!$E$11+1,1))</f>
        <v>366.86025470473652</v>
      </c>
      <c r="BJ63" s="62">
        <f t="shared" si="38"/>
        <v>513.80016421153414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5.8433087504878127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5.8433087504878127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273</v>
      </c>
      <c r="BW63" s="13">
        <f>VLOOKUP(A63,'Données projet'!$A$113:$I$133,9,0)</f>
        <v>9.4</v>
      </c>
      <c r="BX63" s="13">
        <f t="array" ref="BX63">INDEX(BW:BW,MIN(IF(ISNUMBER(BW63:BW259),ROW(BW63:BW259),"")))</f>
        <v>9.4</v>
      </c>
      <c r="BY63" s="13">
        <f>IF('Données projet'!$A$114&gt;35,BY62+BX63-CG62,IF(A63&lt;'Données projet'!$A$114,$BV$205^A63,IF(A63='Données projet'!$A$114,'Données projet'!$B$114,BY62+BX63-CG62)))</f>
        <v>272.99999999999994</v>
      </c>
      <c r="BZ63" s="14">
        <f>BY63*VLOOKUP('Données projet'!$B$12,Paramètres!$A$1:$I$89,3,0)*VLOOKUP('Données projet'!$B$12,Paramètres!$A$1:$I$89,5,0)</f>
        <v>247.01039999999992</v>
      </c>
      <c r="CA63" s="14">
        <f t="shared" si="39"/>
        <v>59.945315462121812</v>
      </c>
      <c r="CB63" s="22">
        <f t="shared" si="10"/>
        <v>534.61453776319524</v>
      </c>
      <c r="CC63" s="62">
        <f t="shared" si="11"/>
        <v>827.94787109652862</v>
      </c>
      <c r="CD63" s="62">
        <f ca="1">AVERAGE(OFFSET($CC$3,0,0,'Données projet'!$E$12+1,1))-AVERAGE(OFFSET($H$3,0,0,'Données projet'!$E$12+1,1))</f>
        <v>438.70522838726322</v>
      </c>
      <c r="CE63" s="62">
        <f t="shared" si="40"/>
        <v>278.21741231699929</v>
      </c>
      <c r="CF63" s="16">
        <f>IF(ISNA(VLOOKUP(A63,'Données projet'!$A$113:$I$133,3,0)),0,VLOOKUP(A63,'Données projet'!$A$113:$I$133,3,0))</f>
        <v>9</v>
      </c>
      <c r="CG63" s="16">
        <f>IF(ISNA(VLOOKUP(A63,'Données projet'!$A$113:$I$133,4,0)),0,VLOOKUP(A63,'Données projet'!$A$113:$I$133,4,0))</f>
        <v>28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273</v>
      </c>
      <c r="CR63" s="13">
        <f>VLOOKUP(A63,'Données projet'!$A$139:$I$159,9,0)</f>
        <v>9.4</v>
      </c>
      <c r="CS63" s="13">
        <f t="array" ref="CS63">INDEX(CR:CR,MIN(IF(ISNUMBER(CR63:CR259),ROW(CR63:CR259),"")))</f>
        <v>9.4</v>
      </c>
      <c r="CT63" s="13">
        <f>IF('Données projet'!$A$140&gt;35,CT62+CS63-DB62,IF(A63&lt;'Données projet'!$A$140,$CQ$205^A63,IF(A63='Données projet'!$A$140,'Données projet'!$B$140,CT62+CS63-DB62)))</f>
        <v>272.99999999999994</v>
      </c>
      <c r="CU63" s="18">
        <f>CT63*VLOOKUP('Données projet'!$B$13,Paramètres!$A$1:$I$89,3,0)*VLOOKUP('Données projet'!$B$13,Paramètres!$A$1:$I$89,5,0)</f>
        <v>276.82199999999995</v>
      </c>
      <c r="CV63" s="14">
        <f t="shared" si="41"/>
        <v>66.29496059864374</v>
      </c>
      <c r="CW63" s="22">
        <f t="shared" si="13"/>
        <v>597.59537304263779</v>
      </c>
      <c r="CX63" s="62">
        <f t="shared" si="14"/>
        <v>890.92870637597116</v>
      </c>
      <c r="CY63" s="62">
        <f ca="1">AVERAGE(OFFSET($CX$3,0,0,'Données projet'!$E$13+1,1))-AVERAGE(OFFSET($H$3,0,0,'Données projet'!$E$13+1,1))</f>
        <v>486.63673936259465</v>
      </c>
      <c r="CZ63" s="62">
        <f t="shared" si="42"/>
        <v>306.61893266146666</v>
      </c>
      <c r="DA63" s="16">
        <f>IF(ISNA(VLOOKUP(A63,'Données projet'!$A$139:$I$159,3,0)),0,VLOOKUP(A63,'Données projet'!$A$139:$I$159,3,0))</f>
        <v>9</v>
      </c>
      <c r="DB63" s="16">
        <f>IF(ISNA(VLOOKUP(A63,'Données projet'!$A$139:$I$159,4,0)),0,VLOOKUP(A63,'Données projet'!$A$139:$I$159,4,0))</f>
        <v>28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10</v>
      </c>
      <c r="N64" s="14">
        <f>IF('Données projet'!$A$36&gt;35,N63+M64-V63,IF(A64&lt;'Données projet'!$A$36,$K$205^A64,IF(A64='Données projet'!$A$36,'Données projet'!$B$36,N63+M64-V63)))</f>
        <v>728.99999999999966</v>
      </c>
      <c r="O64" s="14">
        <f>N64*VLOOKUP('Données projet'!$B$9,Paramètres!$A$1:$I$89,3,0)*VLOOKUP('Données projet'!$B$9,Paramètres!$A$1:$I$89,5,0)</f>
        <v>407.51099999999985</v>
      </c>
      <c r="P64" s="14">
        <f t="shared" si="33"/>
        <v>93.297752590617137</v>
      </c>
      <c r="Q64" s="22">
        <f t="shared" si="53"/>
        <v>872.24191076199133</v>
      </c>
      <c r="R64" s="62">
        <f t="shared" si="0"/>
        <v>1165.5752440953247</v>
      </c>
      <c r="S64" s="62">
        <f ca="1">AVERAGE(OFFSET($R$3,0,0,'Données projet'!$E$9+1,1))-AVERAGE(OFFSET($H$3,0,0,'Données projet'!$E$9+1,1))</f>
        <v>555.15881087162279</v>
      </c>
      <c r="T64" s="62">
        <f t="shared" si="34"/>
        <v>668.20427590250733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15.510084443560364</v>
      </c>
      <c r="AA64" s="23">
        <f>EXP(-LN(2)/25)*AA63+(1-EXP(-LN(2)/25))/(LN(2)/25)*Calculateur!V64*Calculateur!X64*VLOOKUP('Données projet'!$B$9,Paramètres!$A$1:$I$89,3,0)*0.475*44/12</f>
        <v>9.5809162908033461</v>
      </c>
      <c r="AB64" s="23">
        <f>EXP(-LN(2)/2)*AB63+(1-EXP(-LN(2)/2))/(LN(2)/2)*V64*Y64*VLOOKUP('Données projet'!$B$9,Paramètres!$A$1:$I$89,3,0)*0.475*44/12</f>
        <v>2.9847673251831054E-4</v>
      </c>
      <c r="AC64" s="24">
        <f t="shared" si="3"/>
        <v>25.091299211096228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>
        <f>AI64*VLOOKUP('Données projet'!$B$10,Paramètres!$A$1:$I$89,3,0)*VLOOKUP('Données projet'!$B$10,Paramètres!$A$1:$I$89,5,0)</f>
        <v>0</v>
      </c>
      <c r="AK64" s="14" t="e">
        <f t="shared" si="35"/>
        <v>#NUM!</v>
      </c>
      <c r="AL64" s="22" t="e">
        <f t="shared" si="4"/>
        <v>#NUM!</v>
      </c>
      <c r="AM64" s="62" t="e">
        <f t="shared" si="5"/>
        <v>#NUM!</v>
      </c>
      <c r="AN64" s="62">
        <f ca="1">AVERAGE(OFFSET($AM$3,0,0,'Données projet'!$E$10+1,1))-AVERAGE(OFFSET($H$3,0,0,'Données projet'!$E$10+1,1))</f>
        <v>195.80903373714432</v>
      </c>
      <c r="AO64" s="62">
        <f t="shared" si="36"/>
        <v>388.30721786668977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53.47376046240683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5.7397386959716339E-3</v>
      </c>
      <c r="AX64" s="23">
        <f t="shared" si="6"/>
        <v>53.479500201102802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-5.6843418860808015E-14</v>
      </c>
      <c r="BE64" s="14">
        <f>BD64*VLOOKUP('Données projet'!$B$11,Paramètres!$A$1:$I$89,3,0)*VLOOKUP('Données projet'!$B$11,Paramètres!$A$1:$I$89,5,0)</f>
        <v>-5.1431925385259088E-14</v>
      </c>
      <c r="BF64" s="14" t="e">
        <f t="shared" si="37"/>
        <v>#NUM!</v>
      </c>
      <c r="BG64" s="22" t="e">
        <f t="shared" si="7"/>
        <v>#NUM!</v>
      </c>
      <c r="BH64" s="62" t="e">
        <f t="shared" si="8"/>
        <v>#NUM!</v>
      </c>
      <c r="BI64" s="62">
        <f ca="1">AVERAGE(OFFSET($BH$3,0,0,'Données projet'!$E$11+1,1))-AVERAGE(OFFSET($H$3,0,0,'Données projet'!$E$11+1,1))</f>
        <v>366.86025470473652</v>
      </c>
      <c r="BJ64" s="62">
        <f t="shared" si="38"/>
        <v>513.80016421153414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5.7287250299571619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5.7287250299571619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8.8000000000000007</v>
      </c>
      <c r="BY64" s="13">
        <f>IF('Données projet'!$A$114&gt;35,BY63+BX64-CG63,IF(A64&lt;'Données projet'!$A$114,$BV$205^A64,IF(A64='Données projet'!$A$114,'Données projet'!$B$114,BY63+BX64-CG63)))</f>
        <v>253.79999999999995</v>
      </c>
      <c r="BZ64" s="14">
        <f>BY64*VLOOKUP('Données projet'!$B$12,Paramètres!$A$1:$I$89,3,0)*VLOOKUP('Données projet'!$B$12,Paramètres!$A$1:$I$89,5,0)</f>
        <v>229.63823999999994</v>
      </c>
      <c r="CA64" s="14">
        <f t="shared" si="39"/>
        <v>56.204453396569633</v>
      </c>
      <c r="CB64" s="22">
        <f t="shared" si="10"/>
        <v>497.84269099902531</v>
      </c>
      <c r="CC64" s="62">
        <f t="shared" si="11"/>
        <v>791.17602433235857</v>
      </c>
      <c r="CD64" s="62">
        <f ca="1">AVERAGE(OFFSET($CC$3,0,0,'Données projet'!$E$12+1,1))-AVERAGE(OFFSET($H$3,0,0,'Données projet'!$E$12+1,1))</f>
        <v>438.70522838726322</v>
      </c>
      <c r="CE64" s="62">
        <f t="shared" si="40"/>
        <v>278.21741231699929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8.8000000000000007</v>
      </c>
      <c r="CT64" s="13">
        <f>IF('Données projet'!$A$140&gt;35,CT63+CS64-DB63,IF(A64&lt;'Données projet'!$A$140,$CQ$205^A64,IF(A64='Données projet'!$A$140,'Données projet'!$B$140,CT63+CS64-DB63)))</f>
        <v>253.79999999999995</v>
      </c>
      <c r="CU64" s="18">
        <f>CT64*VLOOKUP('Données projet'!$B$13,Paramètres!$A$1:$I$89,3,0)*VLOOKUP('Données projet'!$B$13,Paramètres!$A$1:$I$89,5,0)</f>
        <v>257.35319999999996</v>
      </c>
      <c r="CV64" s="14">
        <f t="shared" si="41"/>
        <v>62.157851613080908</v>
      </c>
      <c r="CW64" s="22">
        <f t="shared" si="13"/>
        <v>556.48174822611588</v>
      </c>
      <c r="CX64" s="62">
        <f t="shared" si="14"/>
        <v>849.81508155944925</v>
      </c>
      <c r="CY64" s="62">
        <f ca="1">AVERAGE(OFFSET($CX$3,0,0,'Données projet'!$E$13+1,1))-AVERAGE(OFFSET($H$3,0,0,'Données projet'!$E$13+1,1))</f>
        <v>486.63673936259465</v>
      </c>
      <c r="CZ64" s="62">
        <f t="shared" si="42"/>
        <v>306.61893266146666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10</v>
      </c>
      <c r="N65" s="14">
        <f>IF('Données projet'!$A$36&gt;35,N64+M65-V64,IF(A65&lt;'Données projet'!$A$36,$K$205^A65,IF(A65='Données projet'!$A$36,'Données projet'!$B$36,N64+M65-V64)))</f>
        <v>738.99999999999966</v>
      </c>
      <c r="O65" s="14">
        <f>N65*VLOOKUP('Données projet'!$B$9,Paramètres!$A$1:$I$89,3,0)*VLOOKUP('Données projet'!$B$9,Paramètres!$A$1:$I$89,5,0)</f>
        <v>413.10099999999983</v>
      </c>
      <c r="P65" s="14">
        <f t="shared" si="33"/>
        <v>94.427689670462357</v>
      </c>
      <c r="Q65" s="22">
        <f t="shared" si="53"/>
        <v>883.94580117605494</v>
      </c>
      <c r="R65" s="62">
        <f t="shared" si="0"/>
        <v>1177.2791345093883</v>
      </c>
      <c r="S65" s="62">
        <f ca="1">AVERAGE(OFFSET($R$3,0,0,'Données projet'!$E$9+1,1))-AVERAGE(OFFSET($H$3,0,0,'Données projet'!$E$9+1,1))</f>
        <v>555.15881087162279</v>
      </c>
      <c r="T65" s="62">
        <f t="shared" si="34"/>
        <v>668.20427590250733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15.205941147839537</v>
      </c>
      <c r="AA65" s="23">
        <f>EXP(-LN(2)/25)*AA64+(1-EXP(-LN(2)/25))/(LN(2)/25)*Calculateur!V65*Calculateur!X65*VLOOKUP('Données projet'!$B$9,Paramètres!$A$1:$I$89,3,0)*0.475*44/12</f>
        <v>9.3189256309928385</v>
      </c>
      <c r="AB65" s="23">
        <f>EXP(-LN(2)/2)*AB64+(1-EXP(-LN(2)/2))/(LN(2)/2)*V65*Y65*VLOOKUP('Données projet'!$B$9,Paramètres!$A$1:$I$89,3,0)*0.475*44/12</f>
        <v>2.1105492159010069E-4</v>
      </c>
      <c r="AC65" s="24">
        <f t="shared" si="3"/>
        <v>24.525077833753965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>
        <f>AI65*VLOOKUP('Données projet'!$B$10,Paramètres!$A$1:$I$89,3,0)*VLOOKUP('Données projet'!$B$10,Paramètres!$A$1:$I$89,5,0)</f>
        <v>0</v>
      </c>
      <c r="AK65" s="14" t="e">
        <f t="shared" si="35"/>
        <v>#NUM!</v>
      </c>
      <c r="AL65" s="22" t="e">
        <f t="shared" si="4"/>
        <v>#NUM!</v>
      </c>
      <c r="AM65" s="62" t="e">
        <f t="shared" si="5"/>
        <v>#NUM!</v>
      </c>
      <c r="AN65" s="62">
        <f ca="1">AVERAGE(OFFSET($AM$3,0,0,'Données projet'!$E$10+1,1))-AVERAGE(OFFSET($H$3,0,0,'Données projet'!$E$10+1,1))</f>
        <v>195.80903373714432</v>
      </c>
      <c r="AO65" s="62">
        <f t="shared" si="36"/>
        <v>388.30721786668977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52.425172635512375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4.0586081541603737E-3</v>
      </c>
      <c r="AX65" s="23">
        <f t="shared" si="6"/>
        <v>52.429231243666536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-5.6843418860808015E-14</v>
      </c>
      <c r="BE65" s="14">
        <f>BD65*VLOOKUP('Données projet'!$B$11,Paramètres!$A$1:$I$89,3,0)*VLOOKUP('Données projet'!$B$11,Paramètres!$A$1:$I$89,5,0)</f>
        <v>-5.1431925385259088E-14</v>
      </c>
      <c r="BF65" s="14" t="e">
        <f t="shared" si="37"/>
        <v>#NUM!</v>
      </c>
      <c r="BG65" s="22" t="e">
        <f t="shared" si="7"/>
        <v>#NUM!</v>
      </c>
      <c r="BH65" s="62" t="e">
        <f t="shared" si="8"/>
        <v>#NUM!</v>
      </c>
      <c r="BI65" s="62">
        <f ca="1">AVERAGE(OFFSET($BH$3,0,0,'Données projet'!$E$11+1,1))-AVERAGE(OFFSET($H$3,0,0,'Données projet'!$E$11+1,1))</f>
        <v>366.86025470473652</v>
      </c>
      <c r="BJ65" s="62">
        <f t="shared" si="38"/>
        <v>513.80016421153414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5.6163882262969489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5.6163882262969489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8.8000000000000007</v>
      </c>
      <c r="BY65" s="13">
        <f>IF('Données projet'!$A$114&gt;35,BY64+BX65-CG64,IF(A65&lt;'Données projet'!$A$114,$BV$205^A65,IF(A65='Données projet'!$A$114,'Données projet'!$B$114,BY64+BX65-CG64)))</f>
        <v>262.59999999999997</v>
      </c>
      <c r="BZ65" s="14">
        <f>BY65*VLOOKUP('Données projet'!$B$12,Paramètres!$A$1:$I$89,3,0)*VLOOKUP('Données projet'!$B$12,Paramètres!$A$1:$I$89,5,0)</f>
        <v>237.60047999999995</v>
      </c>
      <c r="CA65" s="14">
        <f t="shared" si="39"/>
        <v>57.922960533442058</v>
      </c>
      <c r="CB65" s="22">
        <f t="shared" si="10"/>
        <v>514.70332559574479</v>
      </c>
      <c r="CC65" s="62">
        <f t="shared" si="11"/>
        <v>808.03665892907816</v>
      </c>
      <c r="CD65" s="62">
        <f ca="1">AVERAGE(OFFSET($CC$3,0,0,'Données projet'!$E$12+1,1))-AVERAGE(OFFSET($H$3,0,0,'Données projet'!$E$12+1,1))</f>
        <v>438.70522838726322</v>
      </c>
      <c r="CE65" s="62">
        <f t="shared" si="40"/>
        <v>278.21741231699929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8.8000000000000007</v>
      </c>
      <c r="CT65" s="13">
        <f>IF('Données projet'!$A$140&gt;35,CT64+CS65-DB64,IF(A65&lt;'Données projet'!$A$140,$CQ$205^A65,IF(A65='Données projet'!$A$140,'Données projet'!$B$140,CT64+CS65-DB64)))</f>
        <v>262.59999999999997</v>
      </c>
      <c r="CU65" s="18">
        <f>CT65*VLOOKUP('Données projet'!$B$13,Paramètres!$A$1:$I$89,3,0)*VLOOKUP('Données projet'!$B$13,Paramètres!$A$1:$I$89,5,0)</f>
        <v>266.27640000000002</v>
      </c>
      <c r="CV65" s="14">
        <f t="shared" si="41"/>
        <v>64.058389829439747</v>
      </c>
      <c r="CW65" s="22">
        <f t="shared" si="13"/>
        <v>575.33309228627434</v>
      </c>
      <c r="CX65" s="62">
        <f t="shared" si="14"/>
        <v>868.66642561960771</v>
      </c>
      <c r="CY65" s="62">
        <f ca="1">AVERAGE(OFFSET($CX$3,0,0,'Données projet'!$E$13+1,1))-AVERAGE(OFFSET($H$3,0,0,'Données projet'!$E$13+1,1))</f>
        <v>486.63673936259465</v>
      </c>
      <c r="CZ65" s="62">
        <f t="shared" si="42"/>
        <v>306.61893266146666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10</v>
      </c>
      <c r="N66" s="14">
        <f>IF('Données projet'!$A$36&gt;35,N65+M66-V65,IF(A66&lt;'Données projet'!$A$36,$K$205^A66,IF(A66='Données projet'!$A$36,'Données projet'!$B$36,N65+M66-V65)))</f>
        <v>748.99999999999966</v>
      </c>
      <c r="O66" s="14">
        <f>N66*VLOOKUP('Données projet'!$B$9,Paramètres!$A$1:$I$89,3,0)*VLOOKUP('Données projet'!$B$9,Paramètres!$A$1:$I$89,5,0)</f>
        <v>418.6909999999998</v>
      </c>
      <c r="P66" s="14">
        <f t="shared" si="33"/>
        <v>95.555848328260851</v>
      </c>
      <c r="Q66" s="22">
        <f t="shared" si="53"/>
        <v>895.64659417172061</v>
      </c>
      <c r="R66" s="62">
        <f t="shared" si="0"/>
        <v>1188.9799275050539</v>
      </c>
      <c r="S66" s="62">
        <f ca="1">AVERAGE(OFFSET($R$3,0,0,'Données projet'!$E$9+1,1))-AVERAGE(OFFSET($H$3,0,0,'Données projet'!$E$9+1,1))</f>
        <v>555.15881087162279</v>
      </c>
      <c r="T66" s="62">
        <f t="shared" si="34"/>
        <v>668.20427590250733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14.907761916638703</v>
      </c>
      <c r="AA66" s="23">
        <f>EXP(-LN(2)/25)*AA65+(1-EXP(-LN(2)/25))/(LN(2)/25)*Calculateur!V66*Calculateur!X66*VLOOKUP('Données projet'!$B$9,Paramètres!$A$1:$I$89,3,0)*0.475*44/12</f>
        <v>9.0640991195523384</v>
      </c>
      <c r="AB66" s="23">
        <f>EXP(-LN(2)/2)*AB65+(1-EXP(-LN(2)/2))/(LN(2)/2)*V66*Y66*VLOOKUP('Données projet'!$B$9,Paramètres!$A$1:$I$89,3,0)*0.475*44/12</f>
        <v>1.4923836625915527E-4</v>
      </c>
      <c r="AC66" s="24">
        <f t="shared" si="3"/>
        <v>23.972010274557302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>
        <f>AI66*VLOOKUP('Données projet'!$B$10,Paramètres!$A$1:$I$89,3,0)*VLOOKUP('Données projet'!$B$10,Paramètres!$A$1:$I$89,5,0)</f>
        <v>0</v>
      </c>
      <c r="AK66" s="14" t="e">
        <f t="shared" si="35"/>
        <v>#NUM!</v>
      </c>
      <c r="AL66" s="22" t="e">
        <f t="shared" si="4"/>
        <v>#NUM!</v>
      </c>
      <c r="AM66" s="62" t="e">
        <f t="shared" si="5"/>
        <v>#NUM!</v>
      </c>
      <c r="AN66" s="62">
        <f ca="1">AVERAGE(OFFSET($AM$3,0,0,'Données projet'!$E$10+1,1))-AVERAGE(OFFSET($H$3,0,0,'Données projet'!$E$10+1,1))</f>
        <v>195.80903373714432</v>
      </c>
      <c r="AO66" s="62">
        <f t="shared" si="36"/>
        <v>388.30721786668977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51.397146976327896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2.869869347985817E-3</v>
      </c>
      <c r="AX66" s="23">
        <f t="shared" si="6"/>
        <v>51.400016845675879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-5.6843418860808015E-14</v>
      </c>
      <c r="BE66" s="14">
        <f>BD66*VLOOKUP('Données projet'!$B$11,Paramètres!$A$1:$I$89,3,0)*VLOOKUP('Données projet'!$B$11,Paramètres!$A$1:$I$89,5,0)</f>
        <v>-5.1431925385259088E-14</v>
      </c>
      <c r="BF66" s="14" t="e">
        <f t="shared" si="37"/>
        <v>#NUM!</v>
      </c>
      <c r="BG66" s="22" t="e">
        <f t="shared" si="7"/>
        <v>#NUM!</v>
      </c>
      <c r="BH66" s="62" t="e">
        <f t="shared" si="8"/>
        <v>#NUM!</v>
      </c>
      <c r="BI66" s="62">
        <f ca="1">AVERAGE(OFFSET($BH$3,0,0,'Données projet'!$E$11+1,1))-AVERAGE(OFFSET($H$3,0,0,'Données projet'!$E$11+1,1))</f>
        <v>366.86025470473652</v>
      </c>
      <c r="BJ66" s="62">
        <f t="shared" si="38"/>
        <v>513.80016421153414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5.5062542788378277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5.5062542788378277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8.8000000000000007</v>
      </c>
      <c r="BY66" s="13">
        <f>IF('Données projet'!$A$114&gt;35,BY65+BX66-CG65,IF(A66&lt;'Données projet'!$A$114,$BV$205^A66,IF(A66='Données projet'!$A$114,'Données projet'!$B$114,BY65+BX66-CG65)))</f>
        <v>271.39999999999998</v>
      </c>
      <c r="BZ66" s="14">
        <f>BY66*VLOOKUP('Données projet'!$B$12,Paramètres!$A$1:$I$89,3,0)*VLOOKUP('Données projet'!$B$12,Paramètres!$A$1:$I$89,5,0)</f>
        <v>245.56271999999998</v>
      </c>
      <c r="CA66" s="14">
        <f t="shared" si="39"/>
        <v>59.634776048276898</v>
      </c>
      <c r="CB66" s="22">
        <f t="shared" si="10"/>
        <v>531.55230561741564</v>
      </c>
      <c r="CC66" s="62">
        <f t="shared" si="11"/>
        <v>824.8856389507489</v>
      </c>
      <c r="CD66" s="62">
        <f ca="1">AVERAGE(OFFSET($CC$3,0,0,'Données projet'!$E$12+1,1))-AVERAGE(OFFSET($H$3,0,0,'Données projet'!$E$12+1,1))</f>
        <v>438.70522838726322</v>
      </c>
      <c r="CE66" s="62">
        <f t="shared" si="40"/>
        <v>278.21741231699929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8.8000000000000007</v>
      </c>
      <c r="CT66" s="13">
        <f>IF('Données projet'!$A$140&gt;35,CT65+CS66-DB65,IF(A66&lt;'Données projet'!$A$140,$CQ$205^A66,IF(A66='Données projet'!$A$140,'Données projet'!$B$140,CT65+CS66-DB65)))</f>
        <v>271.39999999999998</v>
      </c>
      <c r="CU66" s="18">
        <f>CT66*VLOOKUP('Données projet'!$B$13,Paramètres!$A$1:$I$89,3,0)*VLOOKUP('Données projet'!$B$13,Paramètres!$A$1:$I$89,5,0)</f>
        <v>275.19960000000003</v>
      </c>
      <c r="CV66" s="14">
        <f t="shared" si="41"/>
        <v>65.951527620662617</v>
      </c>
      <c r="CW66" s="22">
        <f t="shared" si="13"/>
        <v>594.17154727265404</v>
      </c>
      <c r="CX66" s="62">
        <f t="shared" si="14"/>
        <v>887.50488060598741</v>
      </c>
      <c r="CY66" s="62">
        <f ca="1">AVERAGE(OFFSET($CX$3,0,0,'Données projet'!$E$13+1,1))-AVERAGE(OFFSET($H$3,0,0,'Données projet'!$E$13+1,1))</f>
        <v>486.63673936259465</v>
      </c>
      <c r="CZ66" s="62">
        <f t="shared" si="42"/>
        <v>306.61893266146666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10</v>
      </c>
      <c r="N67" s="14">
        <f>IF('Données projet'!$A$36&gt;35,N66+M67-V66,IF(A67&lt;'Données projet'!$A$36,$K$205^A67,IF(A67='Données projet'!$A$36,'Données projet'!$B$36,N66+M67-V66)))</f>
        <v>758.99999999999966</v>
      </c>
      <c r="O67" s="14">
        <f>N67*VLOOKUP('Données projet'!$B$9,Paramètres!$A$1:$I$89,3,0)*VLOOKUP('Données projet'!$B$9,Paramètres!$A$1:$I$89,5,0)</f>
        <v>424.28099999999978</v>
      </c>
      <c r="P67" s="14">
        <f t="shared" si="33"/>
        <v>96.682255052757768</v>
      </c>
      <c r="Q67" s="22">
        <f t="shared" ref="Q67:Q98" si="54">(O67+P67)*0.475*44/12</f>
        <v>907.34433588355262</v>
      </c>
      <c r="R67" s="62">
        <f t="shared" ref="R67:R130" si="55">Q67+(I67+J67)*44/12</f>
        <v>1200.677669216886</v>
      </c>
      <c r="S67" s="62">
        <f ca="1">AVERAGE(OFFSET($R$3,0,0,'Données projet'!$E$9+1,1))-AVERAGE(OFFSET($H$3,0,0,'Données projet'!$E$9+1,1))</f>
        <v>555.15881087162279</v>
      </c>
      <c r="T67" s="62">
        <f t="shared" si="34"/>
        <v>668.20427590250733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14.615429798290345</v>
      </c>
      <c r="AA67" s="23">
        <f>EXP(-LN(2)/25)*AA66+(1-EXP(-LN(2)/25))/(LN(2)/25)*Calculateur!V67*Calculateur!X67*VLOOKUP('Données projet'!$B$9,Paramètres!$A$1:$I$89,3,0)*0.475*44/12</f>
        <v>8.8162408524679226</v>
      </c>
      <c r="AB67" s="23">
        <f>EXP(-LN(2)/2)*AB66+(1-EXP(-LN(2)/2))/(LN(2)/2)*V67*Y67*VLOOKUP('Données projet'!$B$9,Paramètres!$A$1:$I$89,3,0)*0.475*44/12</f>
        <v>1.0552746079505035E-4</v>
      </c>
      <c r="AC67" s="24">
        <f t="shared" si="3"/>
        <v>23.431776178219064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>
        <f>AI67*VLOOKUP('Données projet'!$B$10,Paramètres!$A$1:$I$89,3,0)*VLOOKUP('Données projet'!$B$10,Paramètres!$A$1:$I$89,5,0)</f>
        <v>0</v>
      </c>
      <c r="AK67" s="14" t="e">
        <f t="shared" si="35"/>
        <v>#NUM!</v>
      </c>
      <c r="AL67" s="22" t="e">
        <f t="shared" si="4"/>
        <v>#NUM!</v>
      </c>
      <c r="AM67" s="62" t="e">
        <f t="shared" si="5"/>
        <v>#NUM!</v>
      </c>
      <c r="AN67" s="62">
        <f ca="1">AVERAGE(OFFSET($AM$3,0,0,'Données projet'!$E$10+1,1))-AVERAGE(OFFSET($H$3,0,0,'Données projet'!$E$10+1,1))</f>
        <v>195.80903373714432</v>
      </c>
      <c r="AO67" s="62">
        <f t="shared" si="36"/>
        <v>388.30721786668977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50.389280273286289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2.0293040770801869E-3</v>
      </c>
      <c r="AX67" s="23">
        <f t="shared" si="6"/>
        <v>50.391309577363366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-5.6843418860808015E-14</v>
      </c>
      <c r="BE67" s="14">
        <f>BD67*VLOOKUP('Données projet'!$B$11,Paramètres!$A$1:$I$89,3,0)*VLOOKUP('Données projet'!$B$11,Paramètres!$A$1:$I$89,5,0)</f>
        <v>-5.1431925385259088E-14</v>
      </c>
      <c r="BF67" s="14" t="e">
        <f t="shared" si="37"/>
        <v>#NUM!</v>
      </c>
      <c r="BG67" s="22" t="e">
        <f t="shared" si="7"/>
        <v>#NUM!</v>
      </c>
      <c r="BH67" s="62" t="e">
        <f t="shared" si="8"/>
        <v>#NUM!</v>
      </c>
      <c r="BI67" s="62">
        <f ca="1">AVERAGE(OFFSET($BH$3,0,0,'Données projet'!$E$11+1,1))-AVERAGE(OFFSET($H$3,0,0,'Données projet'!$E$11+1,1))</f>
        <v>366.86025470473652</v>
      </c>
      <c r="BJ67" s="62">
        <f t="shared" si="38"/>
        <v>513.80016421153414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5.3982799909133057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5.3982799909133057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8.8000000000000007</v>
      </c>
      <c r="BY67" s="13">
        <f>IF('Données projet'!$A$114&gt;35,BY66+BX67-CG66,IF(A67&lt;'Données projet'!$A$114,$BV$205^A67,IF(A67='Données projet'!$A$114,'Données projet'!$B$114,BY66+BX67-CG66)))</f>
        <v>280.2</v>
      </c>
      <c r="BZ67" s="14">
        <f>BY67*VLOOKUP('Données projet'!$B$12,Paramètres!$A$1:$I$89,3,0)*VLOOKUP('Données projet'!$B$12,Paramètres!$A$1:$I$89,5,0)</f>
        <v>253.52495999999999</v>
      </c>
      <c r="CA67" s="14">
        <f t="shared" si="39"/>
        <v>61.340141798422209</v>
      </c>
      <c r="CB67" s="22">
        <f t="shared" si="10"/>
        <v>548.39005229891859</v>
      </c>
      <c r="CC67" s="62">
        <f t="shared" si="11"/>
        <v>841.72338563225185</v>
      </c>
      <c r="CD67" s="62">
        <f ca="1">AVERAGE(OFFSET($CC$3,0,0,'Données projet'!$E$12+1,1))-AVERAGE(OFFSET($H$3,0,0,'Données projet'!$E$12+1,1))</f>
        <v>438.70522838726322</v>
      </c>
      <c r="CE67" s="62">
        <f t="shared" si="40"/>
        <v>278.21741231699929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8.8000000000000007</v>
      </c>
      <c r="CT67" s="13">
        <f>IF('Données projet'!$A$140&gt;35,CT66+CS67-DB66,IF(A67&lt;'Données projet'!$A$140,$CQ$205^A67,IF(A67='Données projet'!$A$140,'Données projet'!$B$140,CT66+CS67-DB66)))</f>
        <v>280.2</v>
      </c>
      <c r="CU67" s="18">
        <f>CT67*VLOOKUP('Données projet'!$B$13,Paramètres!$A$1:$I$89,3,0)*VLOOKUP('Données projet'!$B$13,Paramètres!$A$1:$I$89,5,0)</f>
        <v>284.12279999999998</v>
      </c>
      <c r="CV67" s="14">
        <f t="shared" si="41"/>
        <v>67.837532462585557</v>
      </c>
      <c r="CW67" s="22">
        <f t="shared" si="13"/>
        <v>612.99757903900309</v>
      </c>
      <c r="CX67" s="62">
        <f t="shared" si="14"/>
        <v>906.33091237233634</v>
      </c>
      <c r="CY67" s="62">
        <f ca="1">AVERAGE(OFFSET($CX$3,0,0,'Données projet'!$E$13+1,1))-AVERAGE(OFFSET($H$3,0,0,'Données projet'!$E$13+1,1))</f>
        <v>486.63673936259465</v>
      </c>
      <c r="CZ67" s="62">
        <f t="shared" si="42"/>
        <v>306.61893266146666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769</v>
      </c>
      <c r="L68" s="13">
        <f>VLOOKUP(A68,'Données projet'!$A$35:$I$55,9,0)</f>
        <v>10</v>
      </c>
      <c r="M68" s="13">
        <f t="array" ref="M68">INDEX(L:L,MIN(IF(ISNUMBER(L68:L264),ROW(L68:L264),"")))</f>
        <v>10</v>
      </c>
      <c r="N68" s="14">
        <f>IF('Données projet'!$A$36&gt;35,N67+M68-V67,IF(A68&lt;'Données projet'!$A$36,$K$205^A68,IF(A68='Données projet'!$A$36,'Données projet'!$B$36,N67+M68-V67)))</f>
        <v>768.99999999999966</v>
      </c>
      <c r="O68" s="14">
        <f>N68*VLOOKUP('Données projet'!$B$9,Paramètres!$A$1:$I$89,3,0)*VLOOKUP('Données projet'!$B$9,Paramètres!$A$1:$I$89,5,0)</f>
        <v>429.87099999999981</v>
      </c>
      <c r="P68" s="14">
        <f t="shared" si="33"/>
        <v>97.806935594587088</v>
      </c>
      <c r="Q68" s="22">
        <f t="shared" si="54"/>
        <v>919.03907116057201</v>
      </c>
      <c r="R68" s="62">
        <f t="shared" si="55"/>
        <v>1212.3724044939054</v>
      </c>
      <c r="S68" s="62">
        <f ca="1">AVERAGE(OFFSET($R$3,0,0,'Données projet'!$E$9+1,1))-AVERAGE(OFFSET($H$3,0,0,'Données projet'!$E$9+1,1))</f>
        <v>555.15881087162279</v>
      </c>
      <c r="T68" s="62">
        <f t="shared" si="34"/>
        <v>668.20427590250733</v>
      </c>
      <c r="U68" s="16">
        <f>IF(ISNA(VLOOKUP(A68,'Données projet'!$A$35:$I$55,3,0)),0,VLOOKUP(A68,'Données projet'!$A$35:$I$55,3,0))</f>
        <v>11</v>
      </c>
      <c r="V68" s="16">
        <f>IF(ISNA(VLOOKUP(A68,'Données projet'!$A$35:$I$55,4,0)),0,VLOOKUP(A68,'Données projet'!$A$35:$I$55,4,0))</f>
        <v>769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14.328830134477812</v>
      </c>
      <c r="AA68" s="23">
        <f>EXP(-LN(2)/25)*AA67+(1-EXP(-LN(2)/25))/(LN(2)/25)*Calculateur!V68*Calculateur!X68*VLOOKUP('Données projet'!$B$9,Paramètres!$A$1:$I$89,3,0)*0.475*44/12</f>
        <v>8.5751602827312308</v>
      </c>
      <c r="AB68" s="23">
        <f>EXP(-LN(2)/2)*AB67+(1-EXP(-LN(2)/2))/(LN(2)/2)*V68*Y68*VLOOKUP('Données projet'!$B$9,Paramètres!$A$1:$I$89,3,0)*0.475*44/12</f>
        <v>7.4619183129577635E-5</v>
      </c>
      <c r="AC68" s="24">
        <f t="shared" ref="AC68:AC131" si="57">SUM(Z68:AB68)</f>
        <v>22.904065036392176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>
        <f>AI68*VLOOKUP('Données projet'!$B$10,Paramètres!$A$1:$I$89,3,0)*VLOOKUP('Données projet'!$B$10,Paramètres!$A$1:$I$89,5,0)</f>
        <v>0</v>
      </c>
      <c r="AK68" s="14" t="e">
        <f t="shared" si="35"/>
        <v>#NUM!</v>
      </c>
      <c r="AL68" s="22" t="e">
        <f t="shared" ref="AL68:AL131" si="58">(AJ68+AK68)*0.475*44/12</f>
        <v>#NUM!</v>
      </c>
      <c r="AM68" s="62" t="e">
        <f t="shared" ref="AM68:AM131" si="59">AL68+(AD68+AE68)*44/12</f>
        <v>#NUM!</v>
      </c>
      <c r="AN68" s="62">
        <f ca="1">AVERAGE(OFFSET($AM$3,0,0,'Données projet'!$E$10+1,1))-AVERAGE(OFFSET($H$3,0,0,'Données projet'!$E$10+1,1))</f>
        <v>195.80903373714432</v>
      </c>
      <c r="AO68" s="62">
        <f t="shared" si="36"/>
        <v>388.30721786668977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49.40117722155334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1.4349346739929085E-3</v>
      </c>
      <c r="AX68" s="23">
        <f t="shared" ref="AX68:AX131" si="60">SUM(AU68:AW68)</f>
        <v>49.402612156227335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-5.6843418860808015E-14</v>
      </c>
      <c r="BE68" s="14">
        <f>BD68*VLOOKUP('Données projet'!$B$11,Paramètres!$A$1:$I$89,3,0)*VLOOKUP('Données projet'!$B$11,Paramètres!$A$1:$I$89,5,0)</f>
        <v>-5.1431925385259088E-14</v>
      </c>
      <c r="BF68" s="14" t="e">
        <f t="shared" si="37"/>
        <v>#NUM!</v>
      </c>
      <c r="BG68" s="22" t="e">
        <f t="shared" ref="BG68:BG131" si="61">(BE68+BF68)*0.475*44/12</f>
        <v>#NUM!</v>
      </c>
      <c r="BH68" s="62" t="e">
        <f t="shared" ref="BH68:BH131" si="62">BG68+(AY68+AZ68)*44/12</f>
        <v>#NUM!</v>
      </c>
      <c r="BI68" s="62">
        <f ca="1">AVERAGE(OFFSET($BH$3,0,0,'Données projet'!$E$11+1,1))-AVERAGE(OFFSET($H$3,0,0,'Données projet'!$E$11+1,1))</f>
        <v>366.86025470473652</v>
      </c>
      <c r="BJ68" s="62">
        <f t="shared" si="38"/>
        <v>513.80016421153414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5.2924230129171708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5.2924230129171708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289</v>
      </c>
      <c r="BW68" s="13">
        <f>VLOOKUP(A68,'Données projet'!$A$113:$I$133,9,0)</f>
        <v>8.8000000000000007</v>
      </c>
      <c r="BX68" s="13">
        <f t="array" ref="BX68">INDEX(BW:BW,MIN(IF(ISNUMBER(BW68:BW264),ROW(BW68:BW264),"")))</f>
        <v>8.8000000000000007</v>
      </c>
      <c r="BY68" s="13">
        <f>IF('Données projet'!$A$114&gt;35,BY67+BX68-CG67,IF(A68&lt;'Données projet'!$A$114,$BV$205^A68,IF(A68='Données projet'!$A$114,'Données projet'!$B$114,BY67+BX68-CG67)))</f>
        <v>289</v>
      </c>
      <c r="BZ68" s="14">
        <f>BY68*VLOOKUP('Données projet'!$B$12,Paramètres!$A$1:$I$89,3,0)*VLOOKUP('Données projet'!$B$12,Paramètres!$A$1:$I$89,5,0)</f>
        <v>261.48719999999997</v>
      </c>
      <c r="CA68" s="14">
        <f t="shared" si="39"/>
        <v>63.039283586802391</v>
      </c>
      <c r="CB68" s="22">
        <f t="shared" ref="CB68:CB131" si="64">(BZ68+CA68)*0.475*44/12</f>
        <v>565.21695891368086</v>
      </c>
      <c r="CC68" s="62">
        <f t="shared" ref="CC68:CC131" si="65">CB68+(BT68+BU68)*44/12</f>
        <v>858.55029224701411</v>
      </c>
      <c r="CD68" s="62">
        <f ca="1">AVERAGE(OFFSET($CC$3,0,0,'Données projet'!$E$12+1,1))-AVERAGE(OFFSET($H$3,0,0,'Données projet'!$E$12+1,1))</f>
        <v>438.70522838726322</v>
      </c>
      <c r="CE68" s="62">
        <f t="shared" si="40"/>
        <v>278.21741231699929</v>
      </c>
      <c r="CF68" s="16">
        <f>IF(ISNA(VLOOKUP(A68,'Données projet'!$A$113:$I$133,3,0)),0,VLOOKUP(A68,'Données projet'!$A$113:$I$133,3,0))</f>
        <v>10</v>
      </c>
      <c r="CG68" s="16">
        <f>IF(ISNA(VLOOKUP(A68,'Données projet'!$A$113:$I$133,4,0)),0,VLOOKUP(A68,'Données projet'!$A$113:$I$133,4,0))</f>
        <v>28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289</v>
      </c>
      <c r="CR68" s="13">
        <f>VLOOKUP(A68,'Données projet'!$A$139:$I$159,9,0)</f>
        <v>8.8000000000000007</v>
      </c>
      <c r="CS68" s="13">
        <f t="array" ref="CS68">INDEX(CR:CR,MIN(IF(ISNUMBER(CR68:CR264),ROW(CR68:CR264),"")))</f>
        <v>8.8000000000000007</v>
      </c>
      <c r="CT68" s="13">
        <f>IF('Données projet'!$A$140&gt;35,CT67+CS68-DB67,IF(A68&lt;'Données projet'!$A$140,$CQ$205^A68,IF(A68='Données projet'!$A$140,'Données projet'!$B$140,CT67+CS68-DB67)))</f>
        <v>289</v>
      </c>
      <c r="CU68" s="18">
        <f>CT68*VLOOKUP('Données projet'!$B$13,Paramètres!$A$1:$I$89,3,0)*VLOOKUP('Données projet'!$B$13,Paramètres!$A$1:$I$89,5,0)</f>
        <v>293.04599999999999</v>
      </c>
      <c r="CV68" s="14">
        <f t="shared" si="41"/>
        <v>69.716654076072615</v>
      </c>
      <c r="CW68" s="22">
        <f t="shared" ref="CW68:CW131" si="67">(CU68+CV68)*0.475*44/12</f>
        <v>631.81162251582646</v>
      </c>
      <c r="CX68" s="62">
        <f t="shared" ref="CX68:CX131" si="68">CW68+(CO68+CP68)*44/12</f>
        <v>925.14495584915971</v>
      </c>
      <c r="CY68" s="62">
        <f ca="1">AVERAGE(OFFSET($CX$3,0,0,'Données projet'!$E$13+1,1))-AVERAGE(OFFSET($H$3,0,0,'Données projet'!$E$13+1,1))</f>
        <v>486.63673936259465</v>
      </c>
      <c r="CZ68" s="62">
        <f t="shared" si="42"/>
        <v>306.61893266146666</v>
      </c>
      <c r="DA68" s="16">
        <f>IF(ISNA(VLOOKUP(A68,'Données projet'!$A$139:$I$159,3,0)),0,VLOOKUP(A68,'Données projet'!$A$139:$I$159,3,0))</f>
        <v>10</v>
      </c>
      <c r="DB68" s="16">
        <f>IF(ISNA(VLOOKUP(A68,'Données projet'!$A$139:$I$159,4,0)),0,VLOOKUP(A68,'Données projet'!$A$139:$I$159,4,0))</f>
        <v>28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-3.4106051316484809E-13</v>
      </c>
      <c r="O69" s="14">
        <f>N69*VLOOKUP('Données projet'!$B$9,Paramètres!$A$1:$I$89,3,0)*VLOOKUP('Données projet'!$B$9,Paramètres!$A$1:$I$89,5,0)</f>
        <v>-1.9065282685915009E-13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555.15881087162279</v>
      </c>
      <c r="T69" s="62">
        <f t="shared" ref="T69:T132" si="88">$T$3</f>
        <v>668.20427590250733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14.047850515264107</v>
      </c>
      <c r="AA69" s="23">
        <f>EXP(-LN(2)/25)*AA68+(1-EXP(-LN(2)/25))/(LN(2)/25)*Calculateur!V69*Calculateur!X69*VLOOKUP('Données projet'!$B$9,Paramètres!$A$1:$I$89,3,0)*0.475*44/12</f>
        <v>8.3406720738518647</v>
      </c>
      <c r="AB69" s="23">
        <f>EXP(-LN(2)/2)*AB68+(1-EXP(-LN(2)/2))/(LN(2)/2)*V69*Y69*VLOOKUP('Données projet'!$B$9,Paramètres!$A$1:$I$89,3,0)*0.475*44/12</f>
        <v>5.2763730397525173E-5</v>
      </c>
      <c r="AC69" s="24">
        <f t="shared" si="57"/>
        <v>22.38857535284637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>
        <f>AI69*VLOOKUP('Données projet'!$B$10,Paramètres!$A$1:$I$89,3,0)*VLOOKUP('Données projet'!$B$10,Paramètres!$A$1:$I$89,5,0)</f>
        <v>0</v>
      </c>
      <c r="AK69" s="14" t="e">
        <f t="shared" ref="AK69:AK132" si="89">EXP(-1.0587+0.8836*LN(AJ69)+0.284)</f>
        <v>#NUM!</v>
      </c>
      <c r="AL69" s="22" t="e">
        <f t="shared" si="58"/>
        <v>#NUM!</v>
      </c>
      <c r="AM69" s="62" t="e">
        <f t="shared" si="59"/>
        <v>#NUM!</v>
      </c>
      <c r="AN69" s="62">
        <f ca="1">AVERAGE(OFFSET($AM$3,0,0,'Données projet'!$E$10+1,1))-AVERAGE(OFFSET($H$3,0,0,'Données projet'!$E$10+1,1))</f>
        <v>195.80903373714432</v>
      </c>
      <c r="AO69" s="62">
        <f t="shared" ref="AO69:AO132" si="90">$AO$3</f>
        <v>388.30721786668977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48.432450267981523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1.0146520385400934E-3</v>
      </c>
      <c r="AX69" s="23">
        <f t="shared" si="60"/>
        <v>48.433464920020064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-5.6843418860808015E-14</v>
      </c>
      <c r="BE69" s="14">
        <f>BD69*VLOOKUP('Données projet'!$B$11,Paramètres!$A$1:$I$89,3,0)*VLOOKUP('Données projet'!$B$11,Paramètres!$A$1:$I$89,5,0)</f>
        <v>-5.1431925385259088E-14</v>
      </c>
      <c r="BF69" s="14" t="e">
        <f t="shared" ref="BF69:BF132" si="91">EXP(-1.0587+0.8836*LN(BE69)+0.284)</f>
        <v>#NUM!</v>
      </c>
      <c r="BG69" s="22" t="e">
        <f t="shared" si="61"/>
        <v>#NUM!</v>
      </c>
      <c r="BH69" s="62" t="e">
        <f t="shared" si="62"/>
        <v>#NUM!</v>
      </c>
      <c r="BI69" s="62">
        <f ca="1">AVERAGE(OFFSET($BH$3,0,0,'Données projet'!$E$11+1,1))-AVERAGE(OFFSET($H$3,0,0,'Données projet'!$E$11+1,1))</f>
        <v>366.86025470473652</v>
      </c>
      <c r="BJ69" s="62">
        <f t="shared" ref="BJ69:BJ132" si="92">$BJ$3</f>
        <v>513.80016421153414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5.1886418256931588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5.1886418256931588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8.1999999999999993</v>
      </c>
      <c r="BY69" s="13">
        <f>IF('Données projet'!$A$114&gt;35,BY68+BX69-CG68,IF(A69&lt;'Données projet'!$A$114,$BV$205^A69,IF(A69='Données projet'!$A$114,'Données projet'!$B$114,BY68+BX69-CG68)))</f>
        <v>269.2</v>
      </c>
      <c r="BZ69" s="14">
        <f>BY69*VLOOKUP('Données projet'!$B$12,Paramètres!$A$1:$I$89,3,0)*VLOOKUP('Données projet'!$B$12,Paramètres!$A$1:$I$89,5,0)</f>
        <v>243.57216</v>
      </c>
      <c r="CA69" s="14">
        <f t="shared" ref="CA69:CA132" si="93">EXP(-1.0587+0.8836*LN(BZ69)+0.284)</f>
        <v>59.207435995642292</v>
      </c>
      <c r="CB69" s="22">
        <f t="shared" si="64"/>
        <v>527.34112969241028</v>
      </c>
      <c r="CC69" s="62">
        <f t="shared" si="65"/>
        <v>820.67446302574353</v>
      </c>
      <c r="CD69" s="62">
        <f ca="1">AVERAGE(OFFSET($CC$3,0,0,'Données projet'!$E$12+1,1))-AVERAGE(OFFSET($H$3,0,0,'Données projet'!$E$12+1,1))</f>
        <v>438.70522838726322</v>
      </c>
      <c r="CE69" s="62">
        <f t="shared" ref="CE69:CE132" si="94">$CE$3</f>
        <v>278.21741231699929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8.1999999999999993</v>
      </c>
      <c r="CT69" s="13">
        <f>IF('Données projet'!$A$140&gt;35,CT68+CS69-DB68,IF(A69&lt;'Données projet'!$A$140,$CQ$205^A69,IF(A69='Données projet'!$A$140,'Données projet'!$B$140,CT68+CS69-DB68)))</f>
        <v>269.2</v>
      </c>
      <c r="CU69" s="18">
        <f>CT69*VLOOKUP('Données projet'!$B$13,Paramètres!$A$1:$I$89,3,0)*VLOOKUP('Données projet'!$B$13,Paramètres!$A$1:$I$89,5,0)</f>
        <v>272.96879999999999</v>
      </c>
      <c r="CV69" s="14">
        <f t="shared" ref="CV69:CV132" si="95">EXP(-1.0587+0.8836*LN(CU69)+0.284)</f>
        <v>65.478922017818945</v>
      </c>
      <c r="CW69" s="22">
        <f t="shared" si="67"/>
        <v>589.46311584770126</v>
      </c>
      <c r="CX69" s="62">
        <f t="shared" si="68"/>
        <v>882.79644918103463</v>
      </c>
      <c r="CY69" s="62">
        <f ca="1">AVERAGE(OFFSET($CX$3,0,0,'Données projet'!$E$13+1,1))-AVERAGE(OFFSET($H$3,0,0,'Données projet'!$E$13+1,1))</f>
        <v>486.63673936259465</v>
      </c>
      <c r="CZ69" s="62">
        <f t="shared" ref="CZ69:CZ132" si="96">$CZ$3</f>
        <v>306.61893266146666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-3.4106051316484809E-13</v>
      </c>
      <c r="O70" s="14">
        <f>N70*VLOOKUP('Données projet'!$B$9,Paramètres!$A$1:$I$89,3,0)*VLOOKUP('Données projet'!$B$9,Paramètres!$A$1:$I$89,5,0)</f>
        <v>-1.9065282685915009E-13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555.15881087162279</v>
      </c>
      <c r="T70" s="62">
        <f t="shared" si="88"/>
        <v>668.20427590250733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13.772380735002539</v>
      </c>
      <c r="AA70" s="23">
        <f>EXP(-LN(2)/25)*AA69+(1-EXP(-LN(2)/25))/(LN(2)/25)*Calculateur!V70*Calculateur!X70*VLOOKUP('Données projet'!$B$9,Paramètres!$A$1:$I$89,3,0)*0.475*44/12</f>
        <v>8.112595957375504</v>
      </c>
      <c r="AB70" s="23">
        <f>EXP(-LN(2)/2)*AB69+(1-EXP(-LN(2)/2))/(LN(2)/2)*V70*Y70*VLOOKUP('Données projet'!$B$9,Paramètres!$A$1:$I$89,3,0)*0.475*44/12</f>
        <v>3.7309591564788818E-5</v>
      </c>
      <c r="AC70" s="24">
        <f t="shared" si="57"/>
        <v>21.885014001969608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>
        <f>AI70*VLOOKUP('Données projet'!$B$10,Paramètres!$A$1:$I$89,3,0)*VLOOKUP('Données projet'!$B$10,Paramètres!$A$1:$I$89,5,0)</f>
        <v>0</v>
      </c>
      <c r="AK70" s="14" t="e">
        <f t="shared" si="89"/>
        <v>#NUM!</v>
      </c>
      <c r="AL70" s="22" t="e">
        <f t="shared" si="58"/>
        <v>#NUM!</v>
      </c>
      <c r="AM70" s="62" t="e">
        <f t="shared" si="59"/>
        <v>#NUM!</v>
      </c>
      <c r="AN70" s="62">
        <f ca="1">AVERAGE(OFFSET($AM$3,0,0,'Données projet'!$E$10+1,1))-AVERAGE(OFFSET($H$3,0,0,'Données projet'!$E$10+1,1))</f>
        <v>195.80903373714432</v>
      </c>
      <c r="AO70" s="62">
        <f t="shared" si="90"/>
        <v>388.30721786668977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47.482719459104146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7.1746733699645424E-4</v>
      </c>
      <c r="AX70" s="23">
        <f t="shared" si="60"/>
        <v>47.483436926441144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-5.6843418860808015E-14</v>
      </c>
      <c r="BE70" s="14">
        <f>BD70*VLOOKUP('Données projet'!$B$11,Paramètres!$A$1:$I$89,3,0)*VLOOKUP('Données projet'!$B$11,Paramètres!$A$1:$I$89,5,0)</f>
        <v>-5.1431925385259088E-14</v>
      </c>
      <c r="BF70" s="14" t="e">
        <f t="shared" si="91"/>
        <v>#NUM!</v>
      </c>
      <c r="BG70" s="22" t="e">
        <f t="shared" si="61"/>
        <v>#NUM!</v>
      </c>
      <c r="BH70" s="62" t="e">
        <f t="shared" si="62"/>
        <v>#NUM!</v>
      </c>
      <c r="BI70" s="62">
        <f ca="1">AVERAGE(OFFSET($BH$3,0,0,'Données projet'!$E$11+1,1))-AVERAGE(OFFSET($H$3,0,0,'Données projet'!$E$11+1,1))</f>
        <v>366.86025470473652</v>
      </c>
      <c r="BJ70" s="62">
        <f t="shared" si="92"/>
        <v>513.80016421153414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5.0868957242503354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5.0868957242503354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8.1999999999999993</v>
      </c>
      <c r="BY70" s="13">
        <f>IF('Données projet'!$A$114&gt;35,BY69+BX70-CG69,IF(A70&lt;'Données projet'!$A$114,$BV$205^A70,IF(A70='Données projet'!$A$114,'Données projet'!$B$114,BY69+BX70-CG69)))</f>
        <v>277.39999999999998</v>
      </c>
      <c r="BZ70" s="14">
        <f>BY70*VLOOKUP('Données projet'!$B$12,Paramètres!$A$1:$I$89,3,0)*VLOOKUP('Données projet'!$B$12,Paramètres!$A$1:$I$89,5,0)</f>
        <v>250.99151999999995</v>
      </c>
      <c r="CA70" s="14">
        <f t="shared" si="93"/>
        <v>60.798211000769406</v>
      </c>
      <c r="CB70" s="22">
        <f t="shared" si="64"/>
        <v>543.03378149300659</v>
      </c>
      <c r="CC70" s="62">
        <f t="shared" si="65"/>
        <v>836.36711482633996</v>
      </c>
      <c r="CD70" s="62">
        <f ca="1">AVERAGE(OFFSET($CC$3,0,0,'Données projet'!$E$12+1,1))-AVERAGE(OFFSET($H$3,0,0,'Données projet'!$E$12+1,1))</f>
        <v>438.70522838726322</v>
      </c>
      <c r="CE70" s="62">
        <f t="shared" si="94"/>
        <v>278.21741231699929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8.1999999999999993</v>
      </c>
      <c r="CT70" s="13">
        <f>IF('Données projet'!$A$140&gt;35,CT69+CS70-DB69,IF(A70&lt;'Données projet'!$A$140,$CQ$205^A70,IF(A70='Données projet'!$A$140,'Données projet'!$B$140,CT69+CS70-DB69)))</f>
        <v>277.39999999999998</v>
      </c>
      <c r="CU70" s="18">
        <f>CT70*VLOOKUP('Données projet'!$B$13,Paramètres!$A$1:$I$89,3,0)*VLOOKUP('Données projet'!$B$13,Paramètres!$A$1:$I$89,5,0)</f>
        <v>281.28360000000004</v>
      </c>
      <c r="CV70" s="14">
        <f t="shared" si="95"/>
        <v>67.238198209347928</v>
      </c>
      <c r="CW70" s="22">
        <f t="shared" si="67"/>
        <v>607.00879854794766</v>
      </c>
      <c r="CX70" s="62">
        <f t="shared" si="68"/>
        <v>900.34213188128092</v>
      </c>
      <c r="CY70" s="62">
        <f ca="1">AVERAGE(OFFSET($CX$3,0,0,'Données projet'!$E$13+1,1))-AVERAGE(OFFSET($H$3,0,0,'Données projet'!$E$13+1,1))</f>
        <v>486.63673936259465</v>
      </c>
      <c r="CZ70" s="62">
        <f t="shared" si="96"/>
        <v>306.61893266146666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-3.4106051316484809E-13</v>
      </c>
      <c r="O71" s="14">
        <f>N71*VLOOKUP('Données projet'!$B$9,Paramètres!$A$1:$I$89,3,0)*VLOOKUP('Données projet'!$B$9,Paramètres!$A$1:$I$89,5,0)</f>
        <v>-1.9065282685915009E-13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555.15881087162279</v>
      </c>
      <c r="T71" s="62">
        <f t="shared" si="88"/>
        <v>668.20427590250733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13.502312749111924</v>
      </c>
      <c r="AA71" s="23">
        <f>EXP(-LN(2)/25)*AA70+(1-EXP(-LN(2)/25))/(LN(2)/25)*Calculateur!V71*Calculateur!X71*VLOOKUP('Données projet'!$B$9,Paramètres!$A$1:$I$89,3,0)*0.475*44/12</f>
        <v>7.8907565942981908</v>
      </c>
      <c r="AB71" s="23">
        <f>EXP(-LN(2)/2)*AB70+(1-EXP(-LN(2)/2))/(LN(2)/2)*V71*Y71*VLOOKUP('Données projet'!$B$9,Paramètres!$A$1:$I$89,3,0)*0.475*44/12</f>
        <v>2.6381865198762586E-5</v>
      </c>
      <c r="AC71" s="24">
        <f t="shared" si="57"/>
        <v>21.393095725275312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>
        <f>AI71*VLOOKUP('Données projet'!$B$10,Paramètres!$A$1:$I$89,3,0)*VLOOKUP('Données projet'!$B$10,Paramètres!$A$1:$I$89,5,0)</f>
        <v>0</v>
      </c>
      <c r="AK71" s="14" t="e">
        <f t="shared" si="89"/>
        <v>#NUM!</v>
      </c>
      <c r="AL71" s="22" t="e">
        <f t="shared" si="58"/>
        <v>#NUM!</v>
      </c>
      <c r="AM71" s="62" t="e">
        <f t="shared" si="59"/>
        <v>#NUM!</v>
      </c>
      <c r="AN71" s="62">
        <f ca="1">AVERAGE(OFFSET($AM$3,0,0,'Données projet'!$E$10+1,1))-AVERAGE(OFFSET($H$3,0,0,'Données projet'!$E$10+1,1))</f>
        <v>195.80903373714432</v>
      </c>
      <c r="AO71" s="62">
        <f t="shared" si="90"/>
        <v>388.30721786668977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46.551612292110264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5.0732601927004671E-4</v>
      </c>
      <c r="AX71" s="23">
        <f t="shared" si="60"/>
        <v>46.552119618129531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-5.6843418860808015E-14</v>
      </c>
      <c r="BE71" s="14">
        <f>BD71*VLOOKUP('Données projet'!$B$11,Paramètres!$A$1:$I$89,3,0)*VLOOKUP('Données projet'!$B$11,Paramètres!$A$1:$I$89,5,0)</f>
        <v>-5.1431925385259088E-14</v>
      </c>
      <c r="BF71" s="14" t="e">
        <f t="shared" si="91"/>
        <v>#NUM!</v>
      </c>
      <c r="BG71" s="22" t="e">
        <f t="shared" si="61"/>
        <v>#NUM!</v>
      </c>
      <c r="BH71" s="62" t="e">
        <f t="shared" si="62"/>
        <v>#NUM!</v>
      </c>
      <c r="BI71" s="62">
        <f ca="1">AVERAGE(OFFSET($BH$3,0,0,'Données projet'!$E$11+1,1))-AVERAGE(OFFSET($H$3,0,0,'Données projet'!$E$11+1,1))</f>
        <v>366.86025470473652</v>
      </c>
      <c r="BJ71" s="62">
        <f t="shared" si="92"/>
        <v>513.80016421153414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4.9871448017978119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4.9871448017978119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8.1999999999999993</v>
      </c>
      <c r="BY71" s="13">
        <f>IF('Données projet'!$A$114&gt;35,BY70+BX71-CG70,IF(A71&lt;'Données projet'!$A$114,$BV$205^A71,IF(A71='Données projet'!$A$114,'Données projet'!$B$114,BY70+BX71-CG70)))</f>
        <v>285.59999999999997</v>
      </c>
      <c r="BZ71" s="14">
        <f>BY71*VLOOKUP('Données projet'!$B$12,Paramètres!$A$1:$I$89,3,0)*VLOOKUP('Données projet'!$B$12,Paramètres!$A$1:$I$89,5,0)</f>
        <v>258.41087999999996</v>
      </c>
      <c r="CA71" s="14">
        <f t="shared" si="93"/>
        <v>62.383521020316756</v>
      </c>
      <c r="CB71" s="22">
        <f t="shared" si="64"/>
        <v>558.71691511038489</v>
      </c>
      <c r="CC71" s="62">
        <f t="shared" si="65"/>
        <v>852.05024844371815</v>
      </c>
      <c r="CD71" s="62">
        <f ca="1">AVERAGE(OFFSET($CC$3,0,0,'Données projet'!$E$12+1,1))-AVERAGE(OFFSET($H$3,0,0,'Données projet'!$E$12+1,1))</f>
        <v>438.70522838726322</v>
      </c>
      <c r="CE71" s="62">
        <f t="shared" si="94"/>
        <v>278.21741231699929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8.1999999999999993</v>
      </c>
      <c r="CT71" s="13">
        <f>IF('Données projet'!$A$140&gt;35,CT70+CS71-DB70,IF(A71&lt;'Données projet'!$A$140,$CQ$205^A71,IF(A71='Données projet'!$A$140,'Données projet'!$B$140,CT70+CS71-DB70)))</f>
        <v>285.59999999999997</v>
      </c>
      <c r="CU71" s="18">
        <f>CT71*VLOOKUP('Données projet'!$B$13,Paramètres!$A$1:$I$89,3,0)*VLOOKUP('Données projet'!$B$13,Paramètres!$A$1:$I$89,5,0)</f>
        <v>289.59839999999997</v>
      </c>
      <c r="CV71" s="14">
        <f t="shared" si="95"/>
        <v>68.991430542388798</v>
      </c>
      <c r="CW71" s="22">
        <f t="shared" si="67"/>
        <v>624.54395486132705</v>
      </c>
      <c r="CX71" s="62">
        <f t="shared" si="68"/>
        <v>917.87728819466042</v>
      </c>
      <c r="CY71" s="62">
        <f ca="1">AVERAGE(OFFSET($CX$3,0,0,'Données projet'!$E$13+1,1))-AVERAGE(OFFSET($H$3,0,0,'Données projet'!$E$13+1,1))</f>
        <v>486.63673936259465</v>
      </c>
      <c r="CZ71" s="62">
        <f t="shared" si="96"/>
        <v>306.61893266146666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-3.4106051316484809E-13</v>
      </c>
      <c r="O72" s="14">
        <f>N72*VLOOKUP('Données projet'!$B$9,Paramètres!$A$1:$I$89,3,0)*VLOOKUP('Données projet'!$B$9,Paramètres!$A$1:$I$89,5,0)</f>
        <v>-1.9065282685915009E-13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555.15881087162279</v>
      </c>
      <c r="T72" s="62">
        <f t="shared" si="88"/>
        <v>668.20427590250733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13.237540631699419</v>
      </c>
      <c r="AA72" s="23">
        <f>EXP(-LN(2)/25)*AA71+(1-EXP(-LN(2)/25))/(LN(2)/25)*Calculateur!V72*Calculateur!X72*VLOOKUP('Données projet'!$B$9,Paramètres!$A$1:$I$89,3,0)*0.475*44/12</f>
        <v>7.6749834402702524</v>
      </c>
      <c r="AB72" s="23">
        <f>EXP(-LN(2)/2)*AB71+(1-EXP(-LN(2)/2))/(LN(2)/2)*V72*Y72*VLOOKUP('Données projet'!$B$9,Paramètres!$A$1:$I$89,3,0)*0.475*44/12</f>
        <v>1.8654795782394409E-5</v>
      </c>
      <c r="AC72" s="24">
        <f t="shared" si="57"/>
        <v>20.912542726765452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>
        <f>AI72*VLOOKUP('Données projet'!$B$10,Paramètres!$A$1:$I$89,3,0)*VLOOKUP('Données projet'!$B$10,Paramètres!$A$1:$I$89,5,0)</f>
        <v>0</v>
      </c>
      <c r="AK72" s="14" t="e">
        <f t="shared" si="89"/>
        <v>#NUM!</v>
      </c>
      <c r="AL72" s="22" t="e">
        <f t="shared" si="58"/>
        <v>#NUM!</v>
      </c>
      <c r="AM72" s="62" t="e">
        <f t="shared" si="59"/>
        <v>#NUM!</v>
      </c>
      <c r="AN72" s="62">
        <f ca="1">AVERAGE(OFFSET($AM$3,0,0,'Données projet'!$E$10+1,1))-AVERAGE(OFFSET($H$3,0,0,'Données projet'!$E$10+1,1))</f>
        <v>195.80903373714432</v>
      </c>
      <c r="AO72" s="62">
        <f t="shared" si="90"/>
        <v>388.30721786668977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45.638763568741837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3.5873366849822712E-4</v>
      </c>
      <c r="AX72" s="23">
        <f t="shared" si="60"/>
        <v>45.639122302410335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-5.6843418860808015E-14</v>
      </c>
      <c r="BE72" s="14">
        <f>BD72*VLOOKUP('Données projet'!$B$11,Paramètres!$A$1:$I$89,3,0)*VLOOKUP('Données projet'!$B$11,Paramètres!$A$1:$I$89,5,0)</f>
        <v>-5.1431925385259088E-14</v>
      </c>
      <c r="BF72" s="14" t="e">
        <f t="shared" si="91"/>
        <v>#NUM!</v>
      </c>
      <c r="BG72" s="22" t="e">
        <f t="shared" si="61"/>
        <v>#NUM!</v>
      </c>
      <c r="BH72" s="62" t="e">
        <f t="shared" si="62"/>
        <v>#NUM!</v>
      </c>
      <c r="BI72" s="62">
        <f ca="1">AVERAGE(OFFSET($BH$3,0,0,'Données projet'!$E$11+1,1))-AVERAGE(OFFSET($H$3,0,0,'Données projet'!$E$11+1,1))</f>
        <v>366.86025470473652</v>
      </c>
      <c r="BJ72" s="62">
        <f t="shared" si="92"/>
        <v>513.80016421153414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4.8893499340925271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4.8893499340925271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8.1999999999999993</v>
      </c>
      <c r="BY72" s="13">
        <f>IF('Données projet'!$A$114&gt;35,BY71+BX72-CG71,IF(A72&lt;'Données projet'!$A$114,$BV$205^A72,IF(A72='Données projet'!$A$114,'Données projet'!$B$114,BY71+BX72-CG71)))</f>
        <v>293.79999999999995</v>
      </c>
      <c r="BZ72" s="14">
        <f>BY72*VLOOKUP('Données projet'!$B$12,Paramètres!$A$1:$I$89,3,0)*VLOOKUP('Données projet'!$B$12,Paramètres!$A$1:$I$89,5,0)</f>
        <v>265.83023999999995</v>
      </c>
      <c r="CA72" s="14">
        <f t="shared" si="93"/>
        <v>63.963540982526439</v>
      </c>
      <c r="CB72" s="22">
        <f t="shared" si="64"/>
        <v>574.39083521123348</v>
      </c>
      <c r="CC72" s="62">
        <f t="shared" si="65"/>
        <v>867.72416854456674</v>
      </c>
      <c r="CD72" s="62">
        <f ca="1">AVERAGE(OFFSET($CC$3,0,0,'Données projet'!$E$12+1,1))-AVERAGE(OFFSET($H$3,0,0,'Données projet'!$E$12+1,1))</f>
        <v>438.70522838726322</v>
      </c>
      <c r="CE72" s="62">
        <f t="shared" si="94"/>
        <v>278.21741231699929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8.1999999999999993</v>
      </c>
      <c r="CT72" s="13">
        <f>IF('Données projet'!$A$140&gt;35,CT71+CS72-DB71,IF(A72&lt;'Données projet'!$A$140,$CQ$205^A72,IF(A72='Données projet'!$A$140,'Données projet'!$B$140,CT71+CS72-DB71)))</f>
        <v>293.79999999999995</v>
      </c>
      <c r="CU72" s="18">
        <f>CT72*VLOOKUP('Données projet'!$B$13,Paramètres!$A$1:$I$89,3,0)*VLOOKUP('Données projet'!$B$13,Paramètres!$A$1:$I$89,5,0)</f>
        <v>297.91319999999996</v>
      </c>
      <c r="CV72" s="14">
        <f t="shared" si="95"/>
        <v>70.73881247427552</v>
      </c>
      <c r="CW72" s="22">
        <f t="shared" si="67"/>
        <v>642.06892172602977</v>
      </c>
      <c r="CX72" s="62">
        <f t="shared" si="68"/>
        <v>935.40225505936314</v>
      </c>
      <c r="CY72" s="62">
        <f ca="1">AVERAGE(OFFSET($CX$3,0,0,'Données projet'!$E$13+1,1))-AVERAGE(OFFSET($H$3,0,0,'Données projet'!$E$13+1,1))</f>
        <v>486.63673936259465</v>
      </c>
      <c r="CZ72" s="62">
        <f t="shared" si="96"/>
        <v>306.61893266146666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-3.4106051316484809E-13</v>
      </c>
      <c r="O73" s="14">
        <f>N73*VLOOKUP('Données projet'!$B$9,Paramètres!$A$1:$I$89,3,0)*VLOOKUP('Données projet'!$B$9,Paramètres!$A$1:$I$89,5,0)</f>
        <v>-1.9065282685915009E-13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555.15881087162279</v>
      </c>
      <c r="T73" s="62">
        <f t="shared" si="88"/>
        <v>668.20427590250733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12.977960534014327</v>
      </c>
      <c r="AA73" s="23">
        <f>EXP(-LN(2)/25)*AA72+(1-EXP(-LN(2)/25))/(LN(2)/25)*Calculateur!V73*Calculateur!X73*VLOOKUP('Données projet'!$B$9,Paramètres!$A$1:$I$89,3,0)*0.475*44/12</f>
        <v>7.4651106144862247</v>
      </c>
      <c r="AB73" s="23">
        <f>EXP(-LN(2)/2)*AB72+(1-EXP(-LN(2)/2))/(LN(2)/2)*V73*Y73*VLOOKUP('Données projet'!$B$9,Paramètres!$A$1:$I$89,3,0)*0.475*44/12</f>
        <v>1.3190932599381293E-5</v>
      </c>
      <c r="AC73" s="24">
        <f t="shared" si="57"/>
        <v>20.443084339433149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>
        <f>AI73*VLOOKUP('Données projet'!$B$10,Paramètres!$A$1:$I$89,3,0)*VLOOKUP('Données projet'!$B$10,Paramètres!$A$1:$I$89,5,0)</f>
        <v>0</v>
      </c>
      <c r="AK73" s="14" t="e">
        <f t="shared" si="89"/>
        <v>#NUM!</v>
      </c>
      <c r="AL73" s="22" t="e">
        <f t="shared" si="58"/>
        <v>#NUM!</v>
      </c>
      <c r="AM73" s="62" t="e">
        <f t="shared" si="59"/>
        <v>#NUM!</v>
      </c>
      <c r="AN73" s="62">
        <f ca="1">AVERAGE(OFFSET($AM$3,0,0,'Données projet'!$E$10+1,1))-AVERAGE(OFFSET($H$3,0,0,'Données projet'!$E$10+1,1))</f>
        <v>195.80903373714432</v>
      </c>
      <c r="AO73" s="62">
        <f t="shared" si="90"/>
        <v>388.30721786668977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44.743815252055924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2.5366300963502336E-4</v>
      </c>
      <c r="AX73" s="23">
        <f t="shared" si="60"/>
        <v>44.744068915065561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-5.6843418860808015E-14</v>
      </c>
      <c r="BE73" s="14">
        <f>BD73*VLOOKUP('Données projet'!$B$11,Paramètres!$A$1:$I$89,3,0)*VLOOKUP('Données projet'!$B$11,Paramètres!$A$1:$I$89,5,0)</f>
        <v>-5.1431925385259088E-14</v>
      </c>
      <c r="BF73" s="14" t="e">
        <f t="shared" si="91"/>
        <v>#NUM!</v>
      </c>
      <c r="BG73" s="22" t="e">
        <f t="shared" si="61"/>
        <v>#NUM!</v>
      </c>
      <c r="BH73" s="62" t="e">
        <f t="shared" si="62"/>
        <v>#NUM!</v>
      </c>
      <c r="BI73" s="62">
        <f ca="1">AVERAGE(OFFSET($BH$3,0,0,'Données projet'!$E$11+1,1))-AVERAGE(OFFSET($H$3,0,0,'Données projet'!$E$11+1,1))</f>
        <v>366.86025470473652</v>
      </c>
      <c r="BJ73" s="62">
        <f t="shared" si="92"/>
        <v>513.80016421153414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4.7934727640939636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4.7934727640939636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302</v>
      </c>
      <c r="BW73" s="13">
        <f>VLOOKUP(A73,'Données projet'!$A$113:$I$133,9,0)</f>
        <v>8.1999999999999993</v>
      </c>
      <c r="BX73" s="13">
        <f t="array" ref="BX73">INDEX(BW:BW,MIN(IF(ISNUMBER(BW73:BW269),ROW(BW73:BW269),"")))</f>
        <v>8.1999999999999993</v>
      </c>
      <c r="BY73" s="13">
        <f>IF('Données projet'!$A$114&gt;35,BY72+BX73-CG72,IF(A73&lt;'Données projet'!$A$114,$BV$205^A73,IF(A73='Données projet'!$A$114,'Données projet'!$B$114,BY72+BX73-CG72)))</f>
        <v>301.99999999999994</v>
      </c>
      <c r="BZ73" s="14">
        <f>BY73*VLOOKUP('Données projet'!$B$12,Paramètres!$A$1:$I$89,3,0)*VLOOKUP('Données projet'!$B$12,Paramètres!$A$1:$I$89,5,0)</f>
        <v>273.24959999999999</v>
      </c>
      <c r="CA73" s="14">
        <f t="shared" si="93"/>
        <v>65.538435495514321</v>
      </c>
      <c r="CB73" s="22">
        <f t="shared" si="64"/>
        <v>590.05582848802067</v>
      </c>
      <c r="CC73" s="62">
        <f t="shared" si="65"/>
        <v>883.38916182135404</v>
      </c>
      <c r="CD73" s="62">
        <f ca="1">AVERAGE(OFFSET($CC$3,0,0,'Données projet'!$E$12+1,1))-AVERAGE(OFFSET($H$3,0,0,'Données projet'!$E$12+1,1))</f>
        <v>438.70522838726322</v>
      </c>
      <c r="CE73" s="62">
        <f t="shared" si="94"/>
        <v>278.21741231699929</v>
      </c>
      <c r="CF73" s="16">
        <f>IF(ISNA(VLOOKUP(A73,'Données projet'!$A$113:$I$133,3,0)),0,VLOOKUP(A73,'Données projet'!$A$113:$I$133,3,0))</f>
        <v>11</v>
      </c>
      <c r="CG73" s="16">
        <f>IF(ISNA(VLOOKUP(A73,'Données projet'!$A$113:$I$133,4,0)),0,VLOOKUP(A73,'Données projet'!$A$113:$I$133,4,0))</f>
        <v>28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302</v>
      </c>
      <c r="CR73" s="13">
        <f>VLOOKUP(A73,'Données projet'!$A$139:$I$159,9,0)</f>
        <v>8.1999999999999993</v>
      </c>
      <c r="CS73" s="13">
        <f t="array" ref="CS73">INDEX(CR:CR,MIN(IF(ISNUMBER(CR73:CR269),ROW(CR73:CR269),"")))</f>
        <v>8.1999999999999993</v>
      </c>
      <c r="CT73" s="13">
        <f>IF('Données projet'!$A$140&gt;35,CT72+CS73-DB72,IF(A73&lt;'Données projet'!$A$140,$CQ$205^A73,IF(A73='Données projet'!$A$140,'Données projet'!$B$140,CT72+CS73-DB72)))</f>
        <v>301.99999999999994</v>
      </c>
      <c r="CU73" s="18">
        <f>CT73*VLOOKUP('Données projet'!$B$13,Paramètres!$A$1:$I$89,3,0)*VLOOKUP('Données projet'!$B$13,Paramètres!$A$1:$I$89,5,0)</f>
        <v>306.22800000000001</v>
      </c>
      <c r="CV73" s="14">
        <f t="shared" si="95"/>
        <v>72.480526049067294</v>
      </c>
      <c r="CW73" s="22">
        <f t="shared" si="67"/>
        <v>659.58401620212555</v>
      </c>
      <c r="CX73" s="62">
        <f t="shared" si="68"/>
        <v>952.91734953545892</v>
      </c>
      <c r="CY73" s="62">
        <f ca="1">AVERAGE(OFFSET($CX$3,0,0,'Données projet'!$E$13+1,1))-AVERAGE(OFFSET($H$3,0,0,'Données projet'!$E$13+1,1))</f>
        <v>486.63673936259465</v>
      </c>
      <c r="CZ73" s="62">
        <f t="shared" si="96"/>
        <v>306.61893266146666</v>
      </c>
      <c r="DA73" s="16">
        <f>IF(ISNA(VLOOKUP(A73,'Données projet'!$A$139:$I$159,3,0)),0,VLOOKUP(A73,'Données projet'!$A$139:$I$159,3,0))</f>
        <v>11</v>
      </c>
      <c r="DB73" s="16">
        <f>IF(ISNA(VLOOKUP(A73,'Données projet'!$A$139:$I$159,4,0)),0,VLOOKUP(A73,'Données projet'!$A$139:$I$159,4,0))</f>
        <v>28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-3.4106051316484809E-13</v>
      </c>
      <c r="O74" s="14">
        <f>N74*VLOOKUP('Données projet'!$B$9,Paramètres!$A$1:$I$89,3,0)*VLOOKUP('Données projet'!$B$9,Paramètres!$A$1:$I$89,5,0)</f>
        <v>-1.9065282685915009E-13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555.15881087162279</v>
      </c>
      <c r="T74" s="62">
        <f t="shared" si="88"/>
        <v>668.20427590250733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12.723470643716615</v>
      </c>
      <c r="AA74" s="23">
        <f>EXP(-LN(2)/25)*AA73+(1-EXP(-LN(2)/25))/(LN(2)/25)*Calculateur!V74*Calculateur!X74*VLOOKUP('Données projet'!$B$9,Paramètres!$A$1:$I$89,3,0)*0.475*44/12</f>
        <v>7.2609767721599932</v>
      </c>
      <c r="AB74" s="23">
        <f>EXP(-LN(2)/2)*AB73+(1-EXP(-LN(2)/2))/(LN(2)/2)*V74*Y74*VLOOKUP('Données projet'!$B$9,Paramètres!$A$1:$I$89,3,0)*0.475*44/12</f>
        <v>9.3273978911972044E-6</v>
      </c>
      <c r="AC74" s="24">
        <f t="shared" si="57"/>
        <v>19.9844567432745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>
        <f>AI74*VLOOKUP('Données projet'!$B$10,Paramètres!$A$1:$I$89,3,0)*VLOOKUP('Données projet'!$B$10,Paramètres!$A$1:$I$89,5,0)</f>
        <v>0</v>
      </c>
      <c r="AK74" s="14" t="e">
        <f t="shared" si="89"/>
        <v>#NUM!</v>
      </c>
      <c r="AL74" s="22" t="e">
        <f t="shared" si="58"/>
        <v>#NUM!</v>
      </c>
      <c r="AM74" s="62" t="e">
        <f t="shared" si="59"/>
        <v>#NUM!</v>
      </c>
      <c r="AN74" s="62">
        <f ca="1">AVERAGE(OFFSET($AM$3,0,0,'Données projet'!$E$10+1,1))-AVERAGE(OFFSET($H$3,0,0,'Données projet'!$E$10+1,1))</f>
        <v>195.80903373714432</v>
      </c>
      <c r="AO74" s="62">
        <f t="shared" si="90"/>
        <v>388.30721786668977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43.866416325995644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1.7936683424911356E-4</v>
      </c>
      <c r="AX74" s="23">
        <f t="shared" si="60"/>
        <v>43.86659569282989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-5.6843418860808015E-14</v>
      </c>
      <c r="BE74" s="14">
        <f>BD74*VLOOKUP('Données projet'!$B$11,Paramètres!$A$1:$I$89,3,0)*VLOOKUP('Données projet'!$B$11,Paramètres!$A$1:$I$89,5,0)</f>
        <v>-5.1431925385259088E-14</v>
      </c>
      <c r="BF74" s="14" t="e">
        <f t="shared" si="91"/>
        <v>#NUM!</v>
      </c>
      <c r="BG74" s="22" t="e">
        <f t="shared" si="61"/>
        <v>#NUM!</v>
      </c>
      <c r="BH74" s="62" t="e">
        <f t="shared" si="62"/>
        <v>#NUM!</v>
      </c>
      <c r="BI74" s="62">
        <f ca="1">AVERAGE(OFFSET($BH$3,0,0,'Données projet'!$E$11+1,1))-AVERAGE(OFFSET($H$3,0,0,'Données projet'!$E$11+1,1))</f>
        <v>366.86025470473652</v>
      </c>
      <c r="BJ74" s="62">
        <f t="shared" si="92"/>
        <v>513.80016421153414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4.6994756869197731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4.6994756869197731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7.6</v>
      </c>
      <c r="BY74" s="13">
        <f>IF('Données projet'!$A$114&gt;35,BY73+BX74-CG73,IF(A74&lt;'Données projet'!$A$114,$BV$205^A74,IF(A74='Données projet'!$A$114,'Données projet'!$B$114,BY73+BX74-CG73)))</f>
        <v>281.59999999999997</v>
      </c>
      <c r="BZ74" s="14">
        <f>BY74*VLOOKUP('Données projet'!$B$12,Paramètres!$A$1:$I$89,3,0)*VLOOKUP('Données projet'!$B$12,Paramètres!$A$1:$I$89,5,0)</f>
        <v>254.79167999999996</v>
      </c>
      <c r="CA74" s="14">
        <f t="shared" si="93"/>
        <v>61.610870508448471</v>
      </c>
      <c r="CB74" s="22">
        <f t="shared" si="64"/>
        <v>551.067775468881</v>
      </c>
      <c r="CC74" s="62">
        <f t="shared" si="65"/>
        <v>844.40110880221437</v>
      </c>
      <c r="CD74" s="62">
        <f ca="1">AVERAGE(OFFSET($CC$3,0,0,'Données projet'!$E$12+1,1))-AVERAGE(OFFSET($H$3,0,0,'Données projet'!$E$12+1,1))</f>
        <v>438.70522838726322</v>
      </c>
      <c r="CE74" s="62">
        <f t="shared" si="94"/>
        <v>278.21741231699929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7.6</v>
      </c>
      <c r="CT74" s="13">
        <f>IF('Données projet'!$A$140&gt;35,CT73+CS74-DB73,IF(A74&lt;'Données projet'!$A$140,$CQ$205^A74,IF(A74='Données projet'!$A$140,'Données projet'!$B$140,CT73+CS74-DB73)))</f>
        <v>281.59999999999997</v>
      </c>
      <c r="CU74" s="18">
        <f>CT74*VLOOKUP('Données projet'!$B$13,Paramètres!$A$1:$I$89,3,0)*VLOOKUP('Données projet'!$B$13,Paramètres!$A$1:$I$89,5,0)</f>
        <v>285.54239999999999</v>
      </c>
      <c r="CV74" s="14">
        <f t="shared" si="95"/>
        <v>68.136937829389524</v>
      </c>
      <c r="CW74" s="22">
        <f t="shared" si="67"/>
        <v>615.99151338618674</v>
      </c>
      <c r="CX74" s="62">
        <f t="shared" si="68"/>
        <v>909.32484671952011</v>
      </c>
      <c r="CY74" s="62">
        <f ca="1">AVERAGE(OFFSET($CX$3,0,0,'Données projet'!$E$13+1,1))-AVERAGE(OFFSET($H$3,0,0,'Données projet'!$E$13+1,1))</f>
        <v>486.63673936259465</v>
      </c>
      <c r="CZ74" s="62">
        <f t="shared" si="96"/>
        <v>306.61893266146666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-3.4106051316484809E-13</v>
      </c>
      <c r="O75" s="14">
        <f>N75*VLOOKUP('Données projet'!$B$9,Paramètres!$A$1:$I$89,3,0)*VLOOKUP('Données projet'!$B$9,Paramètres!$A$1:$I$89,5,0)</f>
        <v>-1.9065282685915009E-13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555.15881087162279</v>
      </c>
      <c r="T75" s="62">
        <f t="shared" si="88"/>
        <v>668.20427590250733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12.473971144944134</v>
      </c>
      <c r="AA75" s="23">
        <f>EXP(-LN(2)/25)*AA74+(1-EXP(-LN(2)/25))/(LN(2)/25)*Calculateur!V75*Calculateur!X75*VLOOKUP('Données projet'!$B$9,Paramètres!$A$1:$I$89,3,0)*0.475*44/12</f>
        <v>7.0624249804871049</v>
      </c>
      <c r="AB75" s="23">
        <f>EXP(-LN(2)/2)*AB74+(1-EXP(-LN(2)/2))/(LN(2)/2)*V75*Y75*VLOOKUP('Données projet'!$B$9,Paramètres!$A$1:$I$89,3,0)*0.475*44/12</f>
        <v>6.5954662996906466E-6</v>
      </c>
      <c r="AC75" s="24">
        <f t="shared" si="57"/>
        <v>19.536402720897538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>
        <f>AI75*VLOOKUP('Données projet'!$B$10,Paramètres!$A$1:$I$89,3,0)*VLOOKUP('Données projet'!$B$10,Paramètres!$A$1:$I$89,5,0)</f>
        <v>0</v>
      </c>
      <c r="AK75" s="14" t="e">
        <f t="shared" si="89"/>
        <v>#NUM!</v>
      </c>
      <c r="AL75" s="22" t="e">
        <f t="shared" si="58"/>
        <v>#NUM!</v>
      </c>
      <c r="AM75" s="62" t="e">
        <f t="shared" si="59"/>
        <v>#NUM!</v>
      </c>
      <c r="AN75" s="62">
        <f ca="1">AVERAGE(OFFSET($AM$3,0,0,'Données projet'!$E$10+1,1))-AVERAGE(OFFSET($H$3,0,0,'Données projet'!$E$10+1,1))</f>
        <v>195.80903373714432</v>
      </c>
      <c r="AO75" s="62">
        <f t="shared" si="90"/>
        <v>388.30721786668977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43.006222657714908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1.2683150481751168E-4</v>
      </c>
      <c r="AX75" s="23">
        <f t="shared" si="60"/>
        <v>43.006349489219723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-5.6843418860808015E-14</v>
      </c>
      <c r="BE75" s="14">
        <f>BD75*VLOOKUP('Données projet'!$B$11,Paramètres!$A$1:$I$89,3,0)*VLOOKUP('Données projet'!$B$11,Paramètres!$A$1:$I$89,5,0)</f>
        <v>-5.1431925385259088E-14</v>
      </c>
      <c r="BF75" s="14" t="e">
        <f t="shared" si="91"/>
        <v>#NUM!</v>
      </c>
      <c r="BG75" s="22" t="e">
        <f t="shared" si="61"/>
        <v>#NUM!</v>
      </c>
      <c r="BH75" s="62" t="e">
        <f t="shared" si="62"/>
        <v>#NUM!</v>
      </c>
      <c r="BI75" s="62">
        <f ca="1">AVERAGE(OFFSET($BH$3,0,0,'Données projet'!$E$11+1,1))-AVERAGE(OFFSET($H$3,0,0,'Données projet'!$E$11+1,1))</f>
        <v>366.86025470473652</v>
      </c>
      <c r="BJ75" s="62">
        <f t="shared" si="92"/>
        <v>513.80016421153414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4.6073218350964122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4.6073218350964122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7.6</v>
      </c>
      <c r="BY75" s="13">
        <f>IF('Données projet'!$A$114&gt;35,BY74+BX75-CG74,IF(A75&lt;'Données projet'!$A$114,$BV$205^A75,IF(A75='Données projet'!$A$114,'Données projet'!$B$114,BY74+BX75-CG74)))</f>
        <v>289.2</v>
      </c>
      <c r="BZ75" s="14">
        <f>BY75*VLOOKUP('Données projet'!$B$12,Paramètres!$A$1:$I$89,3,0)*VLOOKUP('Données projet'!$B$12,Paramètres!$A$1:$I$89,5,0)</f>
        <v>261.66816</v>
      </c>
      <c r="CA75" s="14">
        <f t="shared" si="93"/>
        <v>63.077829793082856</v>
      </c>
      <c r="CB75" s="22">
        <f t="shared" si="64"/>
        <v>565.5992655562859</v>
      </c>
      <c r="CC75" s="62">
        <f t="shared" si="65"/>
        <v>858.93259888961916</v>
      </c>
      <c r="CD75" s="62">
        <f ca="1">AVERAGE(OFFSET($CC$3,0,0,'Données projet'!$E$12+1,1))-AVERAGE(OFFSET($H$3,0,0,'Données projet'!$E$12+1,1))</f>
        <v>438.70522838726322</v>
      </c>
      <c r="CE75" s="62">
        <f t="shared" si="94"/>
        <v>278.21741231699929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7.6</v>
      </c>
      <c r="CT75" s="13">
        <f>IF('Données projet'!$A$140&gt;35,CT74+CS75-DB74,IF(A75&lt;'Données projet'!$A$140,$CQ$205^A75,IF(A75='Données projet'!$A$140,'Données projet'!$B$140,CT74+CS75-DB74)))</f>
        <v>289.2</v>
      </c>
      <c r="CU75" s="18">
        <f>CT75*VLOOKUP('Données projet'!$B$13,Paramètres!$A$1:$I$89,3,0)*VLOOKUP('Données projet'!$B$13,Paramètres!$A$1:$I$89,5,0)</f>
        <v>293.24880000000002</v>
      </c>
      <c r="CV75" s="14">
        <f t="shared" si="95"/>
        <v>69.759283249126327</v>
      </c>
      <c r="CW75" s="22">
        <f t="shared" si="67"/>
        <v>632.23907832556176</v>
      </c>
      <c r="CX75" s="62">
        <f t="shared" si="68"/>
        <v>925.57241165889513</v>
      </c>
      <c r="CY75" s="62">
        <f ca="1">AVERAGE(OFFSET($CX$3,0,0,'Données projet'!$E$13+1,1))-AVERAGE(OFFSET($H$3,0,0,'Données projet'!$E$13+1,1))</f>
        <v>486.63673936259465</v>
      </c>
      <c r="CZ75" s="62">
        <f t="shared" si="96"/>
        <v>306.61893266146666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-3.4106051316484809E-13</v>
      </c>
      <c r="O76" s="14">
        <f>N76*VLOOKUP('Données projet'!$B$9,Paramètres!$A$1:$I$89,3,0)*VLOOKUP('Données projet'!$B$9,Paramètres!$A$1:$I$89,5,0)</f>
        <v>-1.9065282685915009E-13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555.15881087162279</v>
      </c>
      <c r="T76" s="62">
        <f t="shared" si="88"/>
        <v>668.20427590250733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12.229364179162914</v>
      </c>
      <c r="AA76" s="23">
        <f>EXP(-LN(2)/25)*AA75+(1-EXP(-LN(2)/25))/(LN(2)/25)*Calculateur!V76*Calculateur!X76*VLOOKUP('Données projet'!$B$9,Paramètres!$A$1:$I$89,3,0)*0.475*44/12</f>
        <v>6.8693025979988969</v>
      </c>
      <c r="AB76" s="23">
        <f>EXP(-LN(2)/2)*AB75+(1-EXP(-LN(2)/2))/(LN(2)/2)*V76*Y76*VLOOKUP('Données projet'!$B$9,Paramètres!$A$1:$I$89,3,0)*0.475*44/12</f>
        <v>4.6636989455986022E-6</v>
      </c>
      <c r="AC76" s="24">
        <f t="shared" si="57"/>
        <v>19.098671440860755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>
        <f>AI76*VLOOKUP('Données projet'!$B$10,Paramètres!$A$1:$I$89,3,0)*VLOOKUP('Données projet'!$B$10,Paramètres!$A$1:$I$89,5,0)</f>
        <v>0</v>
      </c>
      <c r="AK76" s="14" t="e">
        <f t="shared" si="89"/>
        <v>#NUM!</v>
      </c>
      <c r="AL76" s="22" t="e">
        <f t="shared" si="58"/>
        <v>#NUM!</v>
      </c>
      <c r="AM76" s="62" t="e">
        <f t="shared" si="59"/>
        <v>#NUM!</v>
      </c>
      <c r="AN76" s="62">
        <f ca="1">AVERAGE(OFFSET($AM$3,0,0,'Données projet'!$E$10+1,1))-AVERAGE(OFFSET($H$3,0,0,'Données projet'!$E$10+1,1))</f>
        <v>195.80903373714432</v>
      </c>
      <c r="AO76" s="62">
        <f t="shared" si="90"/>
        <v>388.30721786668977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42.162896862602821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8.968341712455678E-5</v>
      </c>
      <c r="AX76" s="23">
        <f t="shared" si="60"/>
        <v>42.162986546019944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-5.6843418860808015E-14</v>
      </c>
      <c r="BE76" s="14">
        <f>BD76*VLOOKUP('Données projet'!$B$11,Paramètres!$A$1:$I$89,3,0)*VLOOKUP('Données projet'!$B$11,Paramètres!$A$1:$I$89,5,0)</f>
        <v>-5.1431925385259088E-14</v>
      </c>
      <c r="BF76" s="14" t="e">
        <f t="shared" si="91"/>
        <v>#NUM!</v>
      </c>
      <c r="BG76" s="22" t="e">
        <f t="shared" si="61"/>
        <v>#NUM!</v>
      </c>
      <c r="BH76" s="62" t="e">
        <f t="shared" si="62"/>
        <v>#NUM!</v>
      </c>
      <c r="BI76" s="62">
        <f ca="1">AVERAGE(OFFSET($BH$3,0,0,'Données projet'!$E$11+1,1))-AVERAGE(OFFSET($H$3,0,0,'Données projet'!$E$11+1,1))</f>
        <v>366.86025470473652</v>
      </c>
      <c r="BJ76" s="62">
        <f t="shared" si="92"/>
        <v>513.80016421153414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4.5169750640990083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4.5169750640990083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7.6</v>
      </c>
      <c r="BY76" s="13">
        <f>IF('Données projet'!$A$114&gt;35,BY75+BX76-CG75,IF(A76&lt;'Données projet'!$A$114,$BV$205^A76,IF(A76='Données projet'!$A$114,'Données projet'!$B$114,BY75+BX76-CG75)))</f>
        <v>296.8</v>
      </c>
      <c r="BZ76" s="14">
        <f>BY76*VLOOKUP('Données projet'!$B$12,Paramètres!$A$1:$I$89,3,0)*VLOOKUP('Données projet'!$B$12,Paramètres!$A$1:$I$89,5,0)</f>
        <v>268.54464000000002</v>
      </c>
      <c r="CA76" s="14">
        <f t="shared" si="93"/>
        <v>64.54030807605065</v>
      </c>
      <c r="CB76" s="22">
        <f t="shared" si="64"/>
        <v>580.12295123245474</v>
      </c>
      <c r="CC76" s="62">
        <f t="shared" si="65"/>
        <v>873.45628456578811</v>
      </c>
      <c r="CD76" s="62">
        <f ca="1">AVERAGE(OFFSET($CC$3,0,0,'Données projet'!$E$12+1,1))-AVERAGE(OFFSET($H$3,0,0,'Données projet'!$E$12+1,1))</f>
        <v>438.70522838726322</v>
      </c>
      <c r="CE76" s="62">
        <f t="shared" si="94"/>
        <v>278.21741231699929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7.6</v>
      </c>
      <c r="CT76" s="13">
        <f>IF('Données projet'!$A$140&gt;35,CT75+CS76-DB75,IF(A76&lt;'Données projet'!$A$140,$CQ$205^A76,IF(A76='Données projet'!$A$140,'Données projet'!$B$140,CT75+CS76-DB75)))</f>
        <v>296.8</v>
      </c>
      <c r="CU76" s="18">
        <f>CT76*VLOOKUP('Données projet'!$B$13,Paramètres!$A$1:$I$89,3,0)*VLOOKUP('Données projet'!$B$13,Paramètres!$A$1:$I$89,5,0)</f>
        <v>300.95520000000005</v>
      </c>
      <c r="CV76" s="14">
        <f t="shared" si="95"/>
        <v>71.376673021759785</v>
      </c>
      <c r="CW76" s="22">
        <f t="shared" si="67"/>
        <v>648.4780121795651</v>
      </c>
      <c r="CX76" s="62">
        <f t="shared" si="68"/>
        <v>941.81134551289847</v>
      </c>
      <c r="CY76" s="62">
        <f ca="1">AVERAGE(OFFSET($CX$3,0,0,'Données projet'!$E$13+1,1))-AVERAGE(OFFSET($H$3,0,0,'Données projet'!$E$13+1,1))</f>
        <v>486.63673936259465</v>
      </c>
      <c r="CZ76" s="62">
        <f t="shared" si="96"/>
        <v>306.61893266146666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-3.4106051316484809E-13</v>
      </c>
      <c r="O77" s="14">
        <f>N77*VLOOKUP('Données projet'!$B$9,Paramètres!$A$1:$I$89,3,0)*VLOOKUP('Données projet'!$B$9,Paramètres!$A$1:$I$89,5,0)</f>
        <v>-1.9065282685915009E-13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555.15881087162279</v>
      </c>
      <c r="T77" s="62">
        <f t="shared" si="88"/>
        <v>668.20427590250733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11.989553806785146</v>
      </c>
      <c r="AA77" s="23">
        <f>EXP(-LN(2)/25)*AA76+(1-EXP(-LN(2)/25))/(LN(2)/25)*Calculateur!V77*Calculateur!X77*VLOOKUP('Données projet'!$B$9,Paramètres!$A$1:$I$89,3,0)*0.475*44/12</f>
        <v>6.6814611572156934</v>
      </c>
      <c r="AB77" s="23">
        <f>EXP(-LN(2)/2)*AB76+(1-EXP(-LN(2)/2))/(LN(2)/2)*V77*Y77*VLOOKUP('Données projet'!$B$9,Paramètres!$A$1:$I$89,3,0)*0.475*44/12</f>
        <v>3.2977331498453233E-6</v>
      </c>
      <c r="AC77" s="24">
        <f t="shared" si="57"/>
        <v>18.671018261733991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>
        <f>AI77*VLOOKUP('Données projet'!$B$10,Paramètres!$A$1:$I$89,3,0)*VLOOKUP('Données projet'!$B$10,Paramètres!$A$1:$I$89,5,0)</f>
        <v>0</v>
      </c>
      <c r="AK77" s="14" t="e">
        <f t="shared" si="89"/>
        <v>#NUM!</v>
      </c>
      <c r="AL77" s="22" t="e">
        <f t="shared" si="58"/>
        <v>#NUM!</v>
      </c>
      <c r="AM77" s="62" t="e">
        <f t="shared" si="59"/>
        <v>#NUM!</v>
      </c>
      <c r="AN77" s="62">
        <f ca="1">AVERAGE(OFFSET($AM$3,0,0,'Données projet'!$E$10+1,1))-AVERAGE(OFFSET($H$3,0,0,'Données projet'!$E$10+1,1))</f>
        <v>195.80903373714432</v>
      </c>
      <c r="AO77" s="62">
        <f t="shared" si="90"/>
        <v>388.30721786668977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41.33610817195494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6.3415752408755839E-5</v>
      </c>
      <c r="AX77" s="23">
        <f t="shared" si="60"/>
        <v>41.336171587707348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-5.6843418860808015E-14</v>
      </c>
      <c r="BE77" s="14">
        <f>BD77*VLOOKUP('Données projet'!$B$11,Paramètres!$A$1:$I$89,3,0)*VLOOKUP('Données projet'!$B$11,Paramètres!$A$1:$I$89,5,0)</f>
        <v>-5.1431925385259088E-14</v>
      </c>
      <c r="BF77" s="14" t="e">
        <f t="shared" si="91"/>
        <v>#NUM!</v>
      </c>
      <c r="BG77" s="22" t="e">
        <f t="shared" si="61"/>
        <v>#NUM!</v>
      </c>
      <c r="BH77" s="62" t="e">
        <f t="shared" si="62"/>
        <v>#NUM!</v>
      </c>
      <c r="BI77" s="62">
        <f ca="1">AVERAGE(OFFSET($BH$3,0,0,'Données projet'!$E$11+1,1))-AVERAGE(OFFSET($H$3,0,0,'Données projet'!$E$11+1,1))</f>
        <v>366.86025470473652</v>
      </c>
      <c r="BJ77" s="62">
        <f t="shared" si="92"/>
        <v>513.80016421153414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4.4283999381747741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4.4283999381747741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7.6</v>
      </c>
      <c r="BY77" s="13">
        <f>IF('Données projet'!$A$114&gt;35,BY76+BX77-CG76,IF(A77&lt;'Données projet'!$A$114,$BV$205^A77,IF(A77='Données projet'!$A$114,'Données projet'!$B$114,BY76+BX77-CG76)))</f>
        <v>304.40000000000003</v>
      </c>
      <c r="BZ77" s="14">
        <f>BY77*VLOOKUP('Données projet'!$B$12,Paramètres!$A$1:$I$89,3,0)*VLOOKUP('Données projet'!$B$12,Paramètres!$A$1:$I$89,5,0)</f>
        <v>275.42112000000003</v>
      </c>
      <c r="CA77" s="14">
        <f t="shared" si="93"/>
        <v>65.998433293601067</v>
      </c>
      <c r="CB77" s="22">
        <f t="shared" si="64"/>
        <v>594.63905531968851</v>
      </c>
      <c r="CC77" s="62">
        <f t="shared" si="65"/>
        <v>887.97238865302188</v>
      </c>
      <c r="CD77" s="62">
        <f ca="1">AVERAGE(OFFSET($CC$3,0,0,'Données projet'!$E$12+1,1))-AVERAGE(OFFSET($H$3,0,0,'Données projet'!$E$12+1,1))</f>
        <v>438.70522838726322</v>
      </c>
      <c r="CE77" s="62">
        <f t="shared" si="94"/>
        <v>278.21741231699929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7.6</v>
      </c>
      <c r="CT77" s="13">
        <f>IF('Données projet'!$A$140&gt;35,CT76+CS77-DB76,IF(A77&lt;'Données projet'!$A$140,$CQ$205^A77,IF(A77='Données projet'!$A$140,'Données projet'!$B$140,CT76+CS77-DB76)))</f>
        <v>304.40000000000003</v>
      </c>
      <c r="CU77" s="18">
        <f>CT77*VLOOKUP('Données projet'!$B$13,Paramètres!$A$1:$I$89,3,0)*VLOOKUP('Données projet'!$B$13,Paramètres!$A$1:$I$89,5,0)</f>
        <v>308.66160000000008</v>
      </c>
      <c r="CV77" s="14">
        <f t="shared" si="95"/>
        <v>72.98924863505313</v>
      </c>
      <c r="CW77" s="22">
        <f t="shared" si="67"/>
        <v>664.70856137271755</v>
      </c>
      <c r="CX77" s="62">
        <f t="shared" si="68"/>
        <v>958.04189470605093</v>
      </c>
      <c r="CY77" s="62">
        <f ca="1">AVERAGE(OFFSET($CX$3,0,0,'Données projet'!$E$13+1,1))-AVERAGE(OFFSET($H$3,0,0,'Données projet'!$E$13+1,1))</f>
        <v>486.63673936259465</v>
      </c>
      <c r="CZ77" s="62">
        <f t="shared" si="96"/>
        <v>306.61893266146666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-3.4106051316484809E-13</v>
      </c>
      <c r="O78" s="14">
        <f>N78*VLOOKUP('Données projet'!$B$9,Paramètres!$A$1:$I$89,3,0)*VLOOKUP('Données projet'!$B$9,Paramètres!$A$1:$I$89,5,0)</f>
        <v>-1.9065282685915009E-13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555.15881087162279</v>
      </c>
      <c r="T78" s="62">
        <f t="shared" si="88"/>
        <v>668.20427590250733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11.754445969539821</v>
      </c>
      <c r="AA78" s="23">
        <f>EXP(-LN(2)/25)*AA77+(1-EXP(-LN(2)/25))/(LN(2)/25)*Calculateur!V78*Calculateur!X78*VLOOKUP('Données projet'!$B$9,Paramètres!$A$1:$I$89,3,0)*0.475*44/12</f>
        <v>6.4987562505088583</v>
      </c>
      <c r="AB78" s="23">
        <f>EXP(-LN(2)/2)*AB77+(1-EXP(-LN(2)/2))/(LN(2)/2)*V78*Y78*VLOOKUP('Données projet'!$B$9,Paramètres!$A$1:$I$89,3,0)*0.475*44/12</f>
        <v>2.3318494727993011E-6</v>
      </c>
      <c r="AC78" s="24">
        <f t="shared" si="57"/>
        <v>18.25320455189815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>
        <f>AI78*VLOOKUP('Données projet'!$B$10,Paramètres!$A$1:$I$89,3,0)*VLOOKUP('Données projet'!$B$10,Paramètres!$A$1:$I$89,5,0)</f>
        <v>0</v>
      </c>
      <c r="AK78" s="14" t="e">
        <f t="shared" si="89"/>
        <v>#NUM!</v>
      </c>
      <c r="AL78" s="22" t="e">
        <f t="shared" si="58"/>
        <v>#NUM!</v>
      </c>
      <c r="AM78" s="62" t="e">
        <f t="shared" si="59"/>
        <v>#NUM!</v>
      </c>
      <c r="AN78" s="62">
        <f ca="1">AVERAGE(OFFSET($AM$3,0,0,'Données projet'!$E$10+1,1))-AVERAGE(OFFSET($H$3,0,0,'Données projet'!$E$10+1,1))</f>
        <v>195.80903373714432</v>
      </c>
      <c r="AO78" s="62">
        <f t="shared" si="90"/>
        <v>388.30721786668977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40.525532303239359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4.484170856227839E-5</v>
      </c>
      <c r="AX78" s="23">
        <f t="shared" si="60"/>
        <v>40.525577144947924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-5.6843418860808015E-14</v>
      </c>
      <c r="BE78" s="14">
        <f>BD78*VLOOKUP('Données projet'!$B$11,Paramètres!$A$1:$I$89,3,0)*VLOOKUP('Données projet'!$B$11,Paramètres!$A$1:$I$89,5,0)</f>
        <v>-5.1431925385259088E-14</v>
      </c>
      <c r="BF78" s="14" t="e">
        <f t="shared" si="91"/>
        <v>#NUM!</v>
      </c>
      <c r="BG78" s="22" t="e">
        <f t="shared" si="61"/>
        <v>#NUM!</v>
      </c>
      <c r="BH78" s="62" t="e">
        <f t="shared" si="62"/>
        <v>#NUM!</v>
      </c>
      <c r="BI78" s="62">
        <f ca="1">AVERAGE(OFFSET($BH$3,0,0,'Données projet'!$E$11+1,1))-AVERAGE(OFFSET($H$3,0,0,'Données projet'!$E$11+1,1))</f>
        <v>366.86025470473652</v>
      </c>
      <c r="BJ78" s="62">
        <f t="shared" si="92"/>
        <v>513.80016421153414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4.3415617164444216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4.3415617164444216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312</v>
      </c>
      <c r="BW78" s="13">
        <f>VLOOKUP(A78,'Données projet'!$A$113:$I$133,9,0)</f>
        <v>7.6</v>
      </c>
      <c r="BX78" s="13">
        <f t="array" ref="BX78">INDEX(BW:BW,MIN(IF(ISNUMBER(BW78:BW274),ROW(BW78:BW274),"")))</f>
        <v>7.6</v>
      </c>
      <c r="BY78" s="13">
        <f>IF('Données projet'!$A$114&gt;35,BY77+BX78-CG77,IF(A78&lt;'Données projet'!$A$114,$BV$205^A78,IF(A78='Données projet'!$A$114,'Données projet'!$B$114,BY77+BX78-CG77)))</f>
        <v>312.00000000000006</v>
      </c>
      <c r="BZ78" s="14">
        <f>BY78*VLOOKUP('Données projet'!$B$12,Paramètres!$A$1:$I$89,3,0)*VLOOKUP('Données projet'!$B$12,Paramètres!$A$1:$I$89,5,0)</f>
        <v>282.29760000000005</v>
      </c>
      <c r="CA78" s="14">
        <f t="shared" si="93"/>
        <v>67.452326629470178</v>
      </c>
      <c r="CB78" s="22">
        <f t="shared" si="64"/>
        <v>609.14778887966054</v>
      </c>
      <c r="CC78" s="62">
        <f t="shared" si="65"/>
        <v>902.4811222129938</v>
      </c>
      <c r="CD78" s="62">
        <f ca="1">AVERAGE(OFFSET($CC$3,0,0,'Données projet'!$E$12+1,1))-AVERAGE(OFFSET($H$3,0,0,'Données projet'!$E$12+1,1))</f>
        <v>438.70522838726322</v>
      </c>
      <c r="CE78" s="62">
        <f t="shared" si="94"/>
        <v>278.21741231699929</v>
      </c>
      <c r="CF78" s="16">
        <f>IF(ISNA(VLOOKUP(A78,'Données projet'!$A$113:$I$133,3,0)),0,VLOOKUP(A78,'Données projet'!$A$113:$I$133,3,0))</f>
        <v>12</v>
      </c>
      <c r="CG78" s="16">
        <f>IF(ISNA(VLOOKUP(A78,'Données projet'!$A$113:$I$133,4,0)),0,VLOOKUP(A78,'Données projet'!$A$113:$I$133,4,0))</f>
        <v>28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312</v>
      </c>
      <c r="CR78" s="13">
        <f>VLOOKUP(A78,'Données projet'!$A$139:$I$159,9,0)</f>
        <v>7.6</v>
      </c>
      <c r="CS78" s="13">
        <f t="array" ref="CS78">INDEX(CR:CR,MIN(IF(ISNUMBER(CR78:CR274),ROW(CR78:CR274),"")))</f>
        <v>7.6</v>
      </c>
      <c r="CT78" s="13">
        <f>IF('Données projet'!$A$140&gt;35,CT77+CS78-DB77,IF(A78&lt;'Données projet'!$A$140,$CQ$205^A78,IF(A78='Données projet'!$A$140,'Données projet'!$B$140,CT77+CS78-DB77)))</f>
        <v>312.00000000000006</v>
      </c>
      <c r="CU78" s="18">
        <f>CT78*VLOOKUP('Données projet'!$B$13,Paramètres!$A$1:$I$89,3,0)*VLOOKUP('Données projet'!$B$13,Paramètres!$A$1:$I$89,5,0)</f>
        <v>316.36800000000005</v>
      </c>
      <c r="CV78" s="14">
        <f t="shared" si="95"/>
        <v>74.597144109003438</v>
      </c>
      <c r="CW78" s="22">
        <f t="shared" si="67"/>
        <v>680.93095932318113</v>
      </c>
      <c r="CX78" s="62">
        <f t="shared" si="68"/>
        <v>974.2642926565145</v>
      </c>
      <c r="CY78" s="62">
        <f ca="1">AVERAGE(OFFSET($CX$3,0,0,'Données projet'!$E$13+1,1))-AVERAGE(OFFSET($H$3,0,0,'Données projet'!$E$13+1,1))</f>
        <v>486.63673936259465</v>
      </c>
      <c r="CZ78" s="62">
        <f t="shared" si="96"/>
        <v>306.61893266146666</v>
      </c>
      <c r="DA78" s="16">
        <f>IF(ISNA(VLOOKUP(A78,'Données projet'!$A$139:$I$159,3,0)),0,VLOOKUP(A78,'Données projet'!$A$139:$I$159,3,0))</f>
        <v>12</v>
      </c>
      <c r="DB78" s="16">
        <f>IF(ISNA(VLOOKUP(A78,'Données projet'!$A$139:$I$159,4,0)),0,VLOOKUP(A78,'Données projet'!$A$139:$I$159,4,0))</f>
        <v>28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-3.4106051316484809E-13</v>
      </c>
      <c r="O79" s="14">
        <f>N79*VLOOKUP('Données projet'!$B$9,Paramètres!$A$1:$I$89,3,0)*VLOOKUP('Données projet'!$B$9,Paramètres!$A$1:$I$89,5,0)</f>
        <v>-1.9065282685915009E-13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555.15881087162279</v>
      </c>
      <c r="T79" s="62">
        <f t="shared" si="88"/>
        <v>668.20427590250733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11.523948453581257</v>
      </c>
      <c r="AA79" s="23">
        <f>EXP(-LN(2)/25)*AA78+(1-EXP(-LN(2)/25))/(LN(2)/25)*Calculateur!V79*Calculateur!X79*VLOOKUP('Données projet'!$B$9,Paramètres!$A$1:$I$89,3,0)*0.475*44/12</f>
        <v>6.3210474190839552</v>
      </c>
      <c r="AB79" s="23">
        <f>EXP(-LN(2)/2)*AB78+(1-EXP(-LN(2)/2))/(LN(2)/2)*V79*Y79*VLOOKUP('Données projet'!$B$9,Paramètres!$A$1:$I$89,3,0)*0.475*44/12</f>
        <v>1.6488665749226616E-6</v>
      </c>
      <c r="AC79" s="24">
        <f t="shared" si="57"/>
        <v>17.844997521531788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>
        <f>AI79*VLOOKUP('Données projet'!$B$10,Paramètres!$A$1:$I$89,3,0)*VLOOKUP('Données projet'!$B$10,Paramètres!$A$1:$I$89,5,0)</f>
        <v>0</v>
      </c>
      <c r="AK79" s="14" t="e">
        <f t="shared" si="89"/>
        <v>#NUM!</v>
      </c>
      <c r="AL79" s="22" t="e">
        <f t="shared" si="58"/>
        <v>#NUM!</v>
      </c>
      <c r="AM79" s="62" t="e">
        <f t="shared" si="59"/>
        <v>#NUM!</v>
      </c>
      <c r="AN79" s="62">
        <f ca="1">AVERAGE(OFFSET($AM$3,0,0,'Données projet'!$E$10+1,1))-AVERAGE(OFFSET($H$3,0,0,'Données projet'!$E$10+1,1))</f>
        <v>195.80903373714432</v>
      </c>
      <c r="AO79" s="62">
        <f t="shared" si="90"/>
        <v>388.30721786668977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39.73085133290683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3.170787620437792E-5</v>
      </c>
      <c r="AX79" s="23">
        <f t="shared" si="60"/>
        <v>39.730883040783034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-5.6843418860808015E-14</v>
      </c>
      <c r="BE79" s="14">
        <f>BD79*VLOOKUP('Données projet'!$B$11,Paramètres!$A$1:$I$89,3,0)*VLOOKUP('Données projet'!$B$11,Paramètres!$A$1:$I$89,5,0)</f>
        <v>-5.1431925385259088E-14</v>
      </c>
      <c r="BF79" s="14" t="e">
        <f t="shared" si="91"/>
        <v>#NUM!</v>
      </c>
      <c r="BG79" s="22" t="e">
        <f t="shared" si="61"/>
        <v>#NUM!</v>
      </c>
      <c r="BH79" s="62" t="e">
        <f t="shared" si="62"/>
        <v>#NUM!</v>
      </c>
      <c r="BI79" s="62">
        <f ca="1">AVERAGE(OFFSET($BH$3,0,0,'Données projet'!$E$11+1,1))-AVERAGE(OFFSET($H$3,0,0,'Données projet'!$E$11+1,1))</f>
        <v>366.86025470473652</v>
      </c>
      <c r="BJ79" s="62">
        <f t="shared" si="92"/>
        <v>513.80016421153414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4.2564263392761159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4.2564263392761159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7.2</v>
      </c>
      <c r="BY79" s="13">
        <f>IF('Données projet'!$A$114&gt;35,BY78+BX79-CG78,IF(A79&lt;'Données projet'!$A$114,$BV$205^A79,IF(A79='Données projet'!$A$114,'Données projet'!$B$114,BY78+BX79-CG78)))</f>
        <v>291.20000000000005</v>
      </c>
      <c r="BZ79" s="14">
        <f>BY79*VLOOKUP('Données projet'!$B$12,Paramètres!$A$1:$I$89,3,0)*VLOOKUP('Données projet'!$B$12,Paramètres!$A$1:$I$89,5,0)</f>
        <v>263.47776000000005</v>
      </c>
      <c r="CA79" s="14">
        <f t="shared" si="93"/>
        <v>63.46312159763346</v>
      </c>
      <c r="CB79" s="22">
        <f t="shared" si="64"/>
        <v>569.42203544921165</v>
      </c>
      <c r="CC79" s="62">
        <f t="shared" si="65"/>
        <v>862.75536878254502</v>
      </c>
      <c r="CD79" s="62">
        <f ca="1">AVERAGE(OFFSET($CC$3,0,0,'Données projet'!$E$12+1,1))-AVERAGE(OFFSET($H$3,0,0,'Données projet'!$E$12+1,1))</f>
        <v>438.70522838726322</v>
      </c>
      <c r="CE79" s="62">
        <f t="shared" si="94"/>
        <v>278.21741231699929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7.2</v>
      </c>
      <c r="CT79" s="13">
        <f>IF('Données projet'!$A$140&gt;35,CT78+CS79-DB78,IF(A79&lt;'Données projet'!$A$140,$CQ$205^A79,IF(A79='Données projet'!$A$140,'Données projet'!$B$140,CT78+CS79-DB78)))</f>
        <v>291.20000000000005</v>
      </c>
      <c r="CU79" s="18">
        <f>CT79*VLOOKUP('Données projet'!$B$13,Paramètres!$A$1:$I$89,3,0)*VLOOKUP('Données projet'!$B$13,Paramètres!$A$1:$I$89,5,0)</f>
        <v>295.27680000000004</v>
      </c>
      <c r="CV79" s="14">
        <f t="shared" si="95"/>
        <v>70.185386686980493</v>
      </c>
      <c r="CW79" s="22">
        <f t="shared" si="67"/>
        <v>636.51330847982445</v>
      </c>
      <c r="CX79" s="62">
        <f t="shared" si="68"/>
        <v>929.8466418131577</v>
      </c>
      <c r="CY79" s="62">
        <f ca="1">AVERAGE(OFFSET($CX$3,0,0,'Données projet'!$E$13+1,1))-AVERAGE(OFFSET($H$3,0,0,'Données projet'!$E$13+1,1))</f>
        <v>486.63673936259465</v>
      </c>
      <c r="CZ79" s="62">
        <f t="shared" si="96"/>
        <v>306.61893266146666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-3.4106051316484809E-13</v>
      </c>
      <c r="O80" s="14">
        <f>N80*VLOOKUP('Données projet'!$B$9,Paramètres!$A$1:$I$89,3,0)*VLOOKUP('Données projet'!$B$9,Paramètres!$A$1:$I$89,5,0)</f>
        <v>-1.9065282685915009E-13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555.15881087162279</v>
      </c>
      <c r="T80" s="62">
        <f t="shared" si="88"/>
        <v>668.20427590250733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11.297970853321038</v>
      </c>
      <c r="AA80" s="23">
        <f>EXP(-LN(2)/25)*AA79+(1-EXP(-LN(2)/25))/(LN(2)/25)*Calculateur!V80*Calculateur!X80*VLOOKUP('Données projet'!$B$9,Paramètres!$A$1:$I$89,3,0)*0.475*44/12</f>
        <v>6.1481980449996678</v>
      </c>
      <c r="AB80" s="23">
        <f>EXP(-LN(2)/2)*AB79+(1-EXP(-LN(2)/2))/(LN(2)/2)*V80*Y80*VLOOKUP('Données projet'!$B$9,Paramètres!$A$1:$I$89,3,0)*0.475*44/12</f>
        <v>1.1659247363996506E-6</v>
      </c>
      <c r="AC80" s="24">
        <f t="shared" si="57"/>
        <v>17.446170064245443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>
        <f>AI80*VLOOKUP('Données projet'!$B$10,Paramètres!$A$1:$I$89,3,0)*VLOOKUP('Données projet'!$B$10,Paramètres!$A$1:$I$89,5,0)</f>
        <v>0</v>
      </c>
      <c r="AK80" s="14" t="e">
        <f t="shared" si="89"/>
        <v>#NUM!</v>
      </c>
      <c r="AL80" s="22" t="e">
        <f t="shared" si="58"/>
        <v>#NUM!</v>
      </c>
      <c r="AM80" s="62" t="e">
        <f t="shared" si="59"/>
        <v>#NUM!</v>
      </c>
      <c r="AN80" s="62">
        <f ca="1">AVERAGE(OFFSET($AM$3,0,0,'Données projet'!$E$10+1,1))-AVERAGE(OFFSET($H$3,0,0,'Données projet'!$E$10+1,1))</f>
        <v>195.80903373714432</v>
      </c>
      <c r="AO80" s="62">
        <f t="shared" si="90"/>
        <v>388.30721786668977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38.951753571694987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2.2420854281139195E-5</v>
      </c>
      <c r="AX80" s="23">
        <f t="shared" si="60"/>
        <v>38.951775992549265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-5.6843418860808015E-14</v>
      </c>
      <c r="BE80" s="14">
        <f>BD80*VLOOKUP('Données projet'!$B$11,Paramètres!$A$1:$I$89,3,0)*VLOOKUP('Données projet'!$B$11,Paramètres!$A$1:$I$89,5,0)</f>
        <v>-5.1431925385259088E-14</v>
      </c>
      <c r="BF80" s="14" t="e">
        <f t="shared" si="91"/>
        <v>#NUM!</v>
      </c>
      <c r="BG80" s="22" t="e">
        <f t="shared" si="61"/>
        <v>#NUM!</v>
      </c>
      <c r="BH80" s="62" t="e">
        <f t="shared" si="62"/>
        <v>#NUM!</v>
      </c>
      <c r="BI80" s="62">
        <f ca="1">AVERAGE(OFFSET($BH$3,0,0,'Données projet'!$E$11+1,1))-AVERAGE(OFFSET($H$3,0,0,'Données projet'!$E$11+1,1))</f>
        <v>366.86025470473652</v>
      </c>
      <c r="BJ80" s="62">
        <f t="shared" si="92"/>
        <v>513.80016421153414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4.1729604149266279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4.1729604149266279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7.2</v>
      </c>
      <c r="BY80" s="13">
        <f>IF('Données projet'!$A$114&gt;35,BY79+BX80-CG79,IF(A80&lt;'Données projet'!$A$114,$BV$205^A80,IF(A80='Données projet'!$A$114,'Données projet'!$B$114,BY79+BX80-CG79)))</f>
        <v>298.40000000000003</v>
      </c>
      <c r="BZ80" s="14">
        <f>BY80*VLOOKUP('Données projet'!$B$12,Paramètres!$A$1:$I$89,3,0)*VLOOKUP('Données projet'!$B$12,Paramètres!$A$1:$I$89,5,0)</f>
        <v>269.99232000000001</v>
      </c>
      <c r="CA80" s="14">
        <f t="shared" si="93"/>
        <v>64.847639395310296</v>
      </c>
      <c r="CB80" s="22">
        <f t="shared" si="64"/>
        <v>583.17959594683214</v>
      </c>
      <c r="CC80" s="62">
        <f t="shared" si="65"/>
        <v>876.51292928016551</v>
      </c>
      <c r="CD80" s="62">
        <f ca="1">AVERAGE(OFFSET($CC$3,0,0,'Données projet'!$E$12+1,1))-AVERAGE(OFFSET($H$3,0,0,'Données projet'!$E$12+1,1))</f>
        <v>438.70522838726322</v>
      </c>
      <c r="CE80" s="62">
        <f t="shared" si="94"/>
        <v>278.21741231699929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7.2</v>
      </c>
      <c r="CT80" s="13">
        <f>IF('Données projet'!$A$140&gt;35,CT79+CS80-DB79,IF(A80&lt;'Données projet'!$A$140,$CQ$205^A80,IF(A80='Données projet'!$A$140,'Données projet'!$B$140,CT79+CS80-DB79)))</f>
        <v>298.40000000000003</v>
      </c>
      <c r="CU80" s="18">
        <f>CT80*VLOOKUP('Données projet'!$B$13,Paramètres!$A$1:$I$89,3,0)*VLOOKUP('Données projet'!$B$13,Paramètres!$A$1:$I$89,5,0)</f>
        <v>302.57760000000007</v>
      </c>
      <c r="CV80" s="14">
        <f t="shared" si="95"/>
        <v>71.716558091076294</v>
      </c>
      <c r="CW80" s="22">
        <f t="shared" si="67"/>
        <v>651.89565867529132</v>
      </c>
      <c r="CX80" s="62">
        <f t="shared" si="68"/>
        <v>945.22899200862457</v>
      </c>
      <c r="CY80" s="62">
        <f ca="1">AVERAGE(OFFSET($CX$3,0,0,'Données projet'!$E$13+1,1))-AVERAGE(OFFSET($H$3,0,0,'Données projet'!$E$13+1,1))</f>
        <v>486.63673936259465</v>
      </c>
      <c r="CZ80" s="62">
        <f t="shared" si="96"/>
        <v>306.61893266146666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-3.4106051316484809E-13</v>
      </c>
      <c r="O81" s="14">
        <f>N81*VLOOKUP('Données projet'!$B$9,Paramètres!$A$1:$I$89,3,0)*VLOOKUP('Données projet'!$B$9,Paramètres!$A$1:$I$89,5,0)</f>
        <v>-1.9065282685915009E-13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555.15881087162279</v>
      </c>
      <c r="T81" s="62">
        <f t="shared" si="88"/>
        <v>668.20427590250733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11.076424535969196</v>
      </c>
      <c r="AA81" s="23">
        <f>EXP(-LN(2)/25)*AA80+(1-EXP(-LN(2)/25))/(LN(2)/25)*Calculateur!V81*Calculateur!X81*VLOOKUP('Données projet'!$B$9,Paramètres!$A$1:$I$89,3,0)*0.475*44/12</f>
        <v>5.9800752461394691</v>
      </c>
      <c r="AB81" s="23">
        <f>EXP(-LN(2)/2)*AB80+(1-EXP(-LN(2)/2))/(LN(2)/2)*V81*Y81*VLOOKUP('Données projet'!$B$9,Paramètres!$A$1:$I$89,3,0)*0.475*44/12</f>
        <v>8.2443328746133082E-7</v>
      </c>
      <c r="AC81" s="24">
        <f t="shared" si="57"/>
        <v>17.056500606541952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>
        <f>AI81*VLOOKUP('Données projet'!$B$10,Paramètres!$A$1:$I$89,3,0)*VLOOKUP('Données projet'!$B$10,Paramètres!$A$1:$I$89,5,0)</f>
        <v>0</v>
      </c>
      <c r="AK81" s="14" t="e">
        <f t="shared" si="89"/>
        <v>#NUM!</v>
      </c>
      <c r="AL81" s="22" t="e">
        <f t="shared" si="58"/>
        <v>#NUM!</v>
      </c>
      <c r="AM81" s="62" t="e">
        <f t="shared" si="59"/>
        <v>#NUM!</v>
      </c>
      <c r="AN81" s="62">
        <f ca="1">AVERAGE(OFFSET($AM$3,0,0,'Données projet'!$E$10+1,1))-AVERAGE(OFFSET($H$3,0,0,'Données projet'!$E$10+1,1))</f>
        <v>195.80903373714432</v>
      </c>
      <c r="AO81" s="62">
        <f t="shared" si="90"/>
        <v>388.30721786668977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38.187933442377798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1.585393810218896E-5</v>
      </c>
      <c r="AX81" s="23">
        <f t="shared" si="60"/>
        <v>38.1879492963159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-5.6843418860808015E-14</v>
      </c>
      <c r="BE81" s="14">
        <f>BD81*VLOOKUP('Données projet'!$B$11,Paramètres!$A$1:$I$89,3,0)*VLOOKUP('Données projet'!$B$11,Paramètres!$A$1:$I$89,5,0)</f>
        <v>-5.1431925385259088E-14</v>
      </c>
      <c r="BF81" s="14" t="e">
        <f t="shared" si="91"/>
        <v>#NUM!</v>
      </c>
      <c r="BG81" s="22" t="e">
        <f t="shared" si="61"/>
        <v>#NUM!</v>
      </c>
      <c r="BH81" s="62" t="e">
        <f t="shared" si="62"/>
        <v>#NUM!</v>
      </c>
      <c r="BI81" s="62">
        <f ca="1">AVERAGE(OFFSET($BH$3,0,0,'Données projet'!$E$11+1,1))-AVERAGE(OFFSET($H$3,0,0,'Données projet'!$E$11+1,1))</f>
        <v>366.86025470473652</v>
      </c>
      <c r="BJ81" s="62">
        <f t="shared" si="92"/>
        <v>513.80016421153414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4.0911312064444472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4.0911312064444472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7.2</v>
      </c>
      <c r="BY81" s="13">
        <f>IF('Données projet'!$A$114&gt;35,BY80+BX81-CG80,IF(A81&lt;'Données projet'!$A$114,$BV$205^A81,IF(A81='Données projet'!$A$114,'Données projet'!$B$114,BY80+BX81-CG80)))</f>
        <v>305.60000000000002</v>
      </c>
      <c r="BZ81" s="14">
        <f>BY81*VLOOKUP('Données projet'!$B$12,Paramètres!$A$1:$I$89,3,0)*VLOOKUP('Données projet'!$B$12,Paramètres!$A$1:$I$89,5,0)</f>
        <v>276.50687999999997</v>
      </c>
      <c r="CA81" s="14">
        <f t="shared" si="93"/>
        <v>66.228273722513677</v>
      </c>
      <c r="CB81" s="22">
        <f t="shared" si="64"/>
        <v>596.93039273337797</v>
      </c>
      <c r="CC81" s="62">
        <f t="shared" si="65"/>
        <v>890.26372606671134</v>
      </c>
      <c r="CD81" s="62">
        <f ca="1">AVERAGE(OFFSET($CC$3,0,0,'Données projet'!$E$12+1,1))-AVERAGE(OFFSET($H$3,0,0,'Données projet'!$E$12+1,1))</f>
        <v>438.70522838726322</v>
      </c>
      <c r="CE81" s="62">
        <f t="shared" si="94"/>
        <v>278.21741231699929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7.2</v>
      </c>
      <c r="CT81" s="13">
        <f>IF('Données projet'!$A$140&gt;35,CT80+CS81-DB80,IF(A81&lt;'Données projet'!$A$140,$CQ$205^A81,IF(A81='Données projet'!$A$140,'Données projet'!$B$140,CT80+CS81-DB80)))</f>
        <v>305.60000000000002</v>
      </c>
      <c r="CU81" s="18">
        <f>CT81*VLOOKUP('Données projet'!$B$13,Paramètres!$A$1:$I$89,3,0)*VLOOKUP('Données projet'!$B$13,Paramètres!$A$1:$I$89,5,0)</f>
        <v>309.87840000000006</v>
      </c>
      <c r="CV81" s="14">
        <f t="shared" si="95"/>
        <v>73.243434672131556</v>
      </c>
      <c r="CW81" s="22">
        <f t="shared" si="67"/>
        <v>667.27052872062916</v>
      </c>
      <c r="CX81" s="62">
        <f t="shared" si="68"/>
        <v>960.60386205396253</v>
      </c>
      <c r="CY81" s="62">
        <f ca="1">AVERAGE(OFFSET($CX$3,0,0,'Données projet'!$E$13+1,1))-AVERAGE(OFFSET($H$3,0,0,'Données projet'!$E$13+1,1))</f>
        <v>486.63673936259465</v>
      </c>
      <c r="CZ81" s="62">
        <f t="shared" si="96"/>
        <v>306.61893266146666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-3.4106051316484809E-13</v>
      </c>
      <c r="O82" s="14">
        <f>N82*VLOOKUP('Données projet'!$B$9,Paramètres!$A$1:$I$89,3,0)*VLOOKUP('Données projet'!$B$9,Paramètres!$A$1:$I$89,5,0)</f>
        <v>-1.9065282685915009E-13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555.15881087162279</v>
      </c>
      <c r="T82" s="62">
        <f t="shared" si="88"/>
        <v>668.20427590250733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10.859222606770711</v>
      </c>
      <c r="AA82" s="23">
        <f>EXP(-LN(2)/25)*AA81+(1-EXP(-LN(2)/25))/(LN(2)/25)*Calculateur!V82*Calculateur!X82*VLOOKUP('Données projet'!$B$9,Paramètres!$A$1:$I$89,3,0)*0.475*44/12</f>
        <v>5.8165497740552956</v>
      </c>
      <c r="AB82" s="23">
        <f>EXP(-LN(2)/2)*AB81+(1-EXP(-LN(2)/2))/(LN(2)/2)*V82*Y82*VLOOKUP('Données projet'!$B$9,Paramètres!$A$1:$I$89,3,0)*0.475*44/12</f>
        <v>5.8296236819982528E-7</v>
      </c>
      <c r="AC82" s="24">
        <f t="shared" si="57"/>
        <v>16.675772963788376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>
        <f>AI82*VLOOKUP('Données projet'!$B$10,Paramètres!$A$1:$I$89,3,0)*VLOOKUP('Données projet'!$B$10,Paramètres!$A$1:$I$89,5,0)</f>
        <v>0</v>
      </c>
      <c r="AK82" s="14" t="e">
        <f t="shared" si="89"/>
        <v>#NUM!</v>
      </c>
      <c r="AL82" s="22" t="e">
        <f t="shared" si="58"/>
        <v>#NUM!</v>
      </c>
      <c r="AM82" s="62" t="e">
        <f t="shared" si="59"/>
        <v>#NUM!</v>
      </c>
      <c r="AN82" s="62">
        <f ca="1">AVERAGE(OFFSET($AM$3,0,0,'Données projet'!$E$10+1,1))-AVERAGE(OFFSET($H$3,0,0,'Données projet'!$E$10+1,1))</f>
        <v>195.80903373714432</v>
      </c>
      <c r="AO82" s="62">
        <f t="shared" si="90"/>
        <v>388.30721786668977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37.43909135991224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1.1210427140569598E-5</v>
      </c>
      <c r="AX82" s="23">
        <f t="shared" si="60"/>
        <v>37.439102570339379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-5.6843418860808015E-14</v>
      </c>
      <c r="BE82" s="14">
        <f>BD82*VLOOKUP('Données projet'!$B$11,Paramètres!$A$1:$I$89,3,0)*VLOOKUP('Données projet'!$B$11,Paramètres!$A$1:$I$89,5,0)</f>
        <v>-5.1431925385259088E-14</v>
      </c>
      <c r="BF82" s="14" t="e">
        <f t="shared" si="91"/>
        <v>#NUM!</v>
      </c>
      <c r="BG82" s="22" t="e">
        <f t="shared" si="61"/>
        <v>#NUM!</v>
      </c>
      <c r="BH82" s="62" t="e">
        <f t="shared" si="62"/>
        <v>#NUM!</v>
      </c>
      <c r="BI82" s="62">
        <f ca="1">AVERAGE(OFFSET($BH$3,0,0,'Données projet'!$E$11+1,1))-AVERAGE(OFFSET($H$3,0,0,'Données projet'!$E$11+1,1))</f>
        <v>366.86025470473652</v>
      </c>
      <c r="BJ82" s="62">
        <f t="shared" si="92"/>
        <v>513.80016421153414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4.0109066188297131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4.0109066188297131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7.2</v>
      </c>
      <c r="BY82" s="13">
        <f>IF('Données projet'!$A$114&gt;35,BY81+BX82-CG81,IF(A82&lt;'Données projet'!$A$114,$BV$205^A82,IF(A82='Données projet'!$A$114,'Données projet'!$B$114,BY81+BX82-CG81)))</f>
        <v>312.8</v>
      </c>
      <c r="BZ82" s="14">
        <f>BY82*VLOOKUP('Données projet'!$B$12,Paramètres!$A$1:$I$89,3,0)*VLOOKUP('Données projet'!$B$12,Paramètres!$A$1:$I$89,5,0)</f>
        <v>283.02144000000004</v>
      </c>
      <c r="CA82" s="14">
        <f t="shared" si="93"/>
        <v>67.605126603830598</v>
      </c>
      <c r="CB82" s="22">
        <f t="shared" si="64"/>
        <v>610.67460350167164</v>
      </c>
      <c r="CC82" s="62">
        <f t="shared" si="65"/>
        <v>904.00793683500501</v>
      </c>
      <c r="CD82" s="62">
        <f ca="1">AVERAGE(OFFSET($CC$3,0,0,'Données projet'!$E$12+1,1))-AVERAGE(OFFSET($H$3,0,0,'Données projet'!$E$12+1,1))</f>
        <v>438.70522838726322</v>
      </c>
      <c r="CE82" s="62">
        <f t="shared" si="94"/>
        <v>278.21741231699929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7.2</v>
      </c>
      <c r="CT82" s="13">
        <f>IF('Données projet'!$A$140&gt;35,CT81+CS82-DB81,IF(A82&lt;'Données projet'!$A$140,$CQ$205^A82,IF(A82='Données projet'!$A$140,'Données projet'!$B$140,CT81+CS82-DB81)))</f>
        <v>312.8</v>
      </c>
      <c r="CU82" s="18">
        <f>CT82*VLOOKUP('Données projet'!$B$13,Paramètres!$A$1:$I$89,3,0)*VLOOKUP('Données projet'!$B$13,Paramètres!$A$1:$I$89,5,0)</f>
        <v>317.17920000000004</v>
      </c>
      <c r="CV82" s="14">
        <f t="shared" si="95"/>
        <v>74.766129261581426</v>
      </c>
      <c r="CW82" s="22">
        <f t="shared" si="67"/>
        <v>682.63811513058772</v>
      </c>
      <c r="CX82" s="62">
        <f t="shared" si="68"/>
        <v>975.97144846392098</v>
      </c>
      <c r="CY82" s="62">
        <f ca="1">AVERAGE(OFFSET($CX$3,0,0,'Données projet'!$E$13+1,1))-AVERAGE(OFFSET($H$3,0,0,'Données projet'!$E$13+1,1))</f>
        <v>486.63673936259465</v>
      </c>
      <c r="CZ82" s="62">
        <f t="shared" si="96"/>
        <v>306.61893266146666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-3.4106051316484809E-13</v>
      </c>
      <c r="O83" s="14">
        <f>N83*VLOOKUP('Données projet'!$B$9,Paramètres!$A$1:$I$89,3,0)*VLOOKUP('Données projet'!$B$9,Paramètres!$A$1:$I$89,5,0)</f>
        <v>-1.9065282685915009E-13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555.15881087162279</v>
      </c>
      <c r="T83" s="62">
        <f t="shared" si="88"/>
        <v>668.20427590250733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10.646279874923714</v>
      </c>
      <c r="AA83" s="23">
        <f>EXP(-LN(2)/25)*AA82+(1-EXP(-LN(2)/25))/(LN(2)/25)*Calculateur!V83*Calculateur!X83*VLOOKUP('Données projet'!$B$9,Paramètres!$A$1:$I$89,3,0)*0.475*44/12</f>
        <v>5.657495914604695</v>
      </c>
      <c r="AB83" s="23">
        <f>EXP(-LN(2)/2)*AB82+(1-EXP(-LN(2)/2))/(LN(2)/2)*V83*Y83*VLOOKUP('Données projet'!$B$9,Paramètres!$A$1:$I$89,3,0)*0.475*44/12</f>
        <v>4.1221664373066541E-7</v>
      </c>
      <c r="AC83" s="24">
        <f t="shared" si="57"/>
        <v>16.303776201745052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>
        <f>AI83*VLOOKUP('Données projet'!$B$10,Paramètres!$A$1:$I$89,3,0)*VLOOKUP('Données projet'!$B$10,Paramètres!$A$1:$I$89,5,0)</f>
        <v>0</v>
      </c>
      <c r="AK83" s="14" t="e">
        <f t="shared" si="89"/>
        <v>#NUM!</v>
      </c>
      <c r="AL83" s="22" t="e">
        <f t="shared" si="58"/>
        <v>#NUM!</v>
      </c>
      <c r="AM83" s="62" t="e">
        <f t="shared" si="59"/>
        <v>#NUM!</v>
      </c>
      <c r="AN83" s="62">
        <f ca="1">AVERAGE(OFFSET($AM$3,0,0,'Données projet'!$E$10+1,1))-AVERAGE(OFFSET($H$3,0,0,'Données projet'!$E$10+1,1))</f>
        <v>195.80903373714432</v>
      </c>
      <c r="AO83" s="62">
        <f t="shared" si="90"/>
        <v>388.30721786668977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36.70493361393526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7.9269690510944799E-6</v>
      </c>
      <c r="AX83" s="23">
        <f t="shared" si="60"/>
        <v>36.704941540904315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-5.6843418860808015E-14</v>
      </c>
      <c r="BE83" s="14">
        <f>BD83*VLOOKUP('Données projet'!$B$11,Paramètres!$A$1:$I$89,3,0)*VLOOKUP('Données projet'!$B$11,Paramètres!$A$1:$I$89,5,0)</f>
        <v>-5.1431925385259088E-14</v>
      </c>
      <c r="BF83" s="14" t="e">
        <f t="shared" si="91"/>
        <v>#NUM!</v>
      </c>
      <c r="BG83" s="22" t="e">
        <f t="shared" si="61"/>
        <v>#NUM!</v>
      </c>
      <c r="BH83" s="62" t="e">
        <f t="shared" si="62"/>
        <v>#NUM!</v>
      </c>
      <c r="BI83" s="62">
        <f ca="1">AVERAGE(OFFSET($BH$3,0,0,'Données projet'!$E$11+1,1))-AVERAGE(OFFSET($H$3,0,0,'Données projet'!$E$11+1,1))</f>
        <v>366.86025470473652</v>
      </c>
      <c r="BJ83" s="62">
        <f t="shared" si="92"/>
        <v>513.80016421153414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3.932255186445937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3.932255186445937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320</v>
      </c>
      <c r="BW83" s="13">
        <f>VLOOKUP(A83,'Données projet'!$A$113:$I$133,9,0)</f>
        <v>7.2</v>
      </c>
      <c r="BX83" s="13">
        <f t="array" ref="BX83">INDEX(BW:BW,MIN(IF(ISNUMBER(BW83:BW279),ROW(BW83:BW279),"")))</f>
        <v>7.2</v>
      </c>
      <c r="BY83" s="13">
        <f>IF('Données projet'!$A$114&gt;35,BY82+BX83-CG82,IF(A83&lt;'Données projet'!$A$114,$BV$205^A83,IF(A83='Données projet'!$A$114,'Données projet'!$B$114,BY82+BX83-CG82)))</f>
        <v>320</v>
      </c>
      <c r="BZ83" s="14">
        <f>BY83*VLOOKUP('Données projet'!$B$12,Paramètres!$A$1:$I$89,3,0)*VLOOKUP('Données projet'!$B$12,Paramètres!$A$1:$I$89,5,0)</f>
        <v>289.536</v>
      </c>
      <c r="CA83" s="14">
        <f t="shared" si="93"/>
        <v>68.97829509904436</v>
      </c>
      <c r="CB83" s="22">
        <f t="shared" si="64"/>
        <v>624.41239729750225</v>
      </c>
      <c r="CC83" s="62">
        <f t="shared" si="65"/>
        <v>917.74573063083562</v>
      </c>
      <c r="CD83" s="62">
        <f ca="1">AVERAGE(OFFSET($CC$3,0,0,'Données projet'!$E$12+1,1))-AVERAGE(OFFSET($H$3,0,0,'Données projet'!$E$12+1,1))</f>
        <v>438.70522838726322</v>
      </c>
      <c r="CE83" s="62">
        <f t="shared" si="94"/>
        <v>278.21741231699929</v>
      </c>
      <c r="CF83" s="16">
        <f>IF(ISNA(VLOOKUP(A83,'Données projet'!$A$113:$I$133,3,0)),0,VLOOKUP(A83,'Données projet'!$A$113:$I$133,3,0))</f>
        <v>13</v>
      </c>
      <c r="CG83" s="16">
        <f>IF(ISNA(VLOOKUP(A83,'Données projet'!$A$113:$I$133,4,0)),0,VLOOKUP(A83,'Données projet'!$A$113:$I$133,4,0))</f>
        <v>28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320</v>
      </c>
      <c r="CR83" s="13">
        <f>VLOOKUP(A83,'Données projet'!$A$139:$I$159,9,0)</f>
        <v>7.2</v>
      </c>
      <c r="CS83" s="13">
        <f t="array" ref="CS83">INDEX(CR:CR,MIN(IF(ISNUMBER(CR83:CR279),ROW(CR83:CR279),"")))</f>
        <v>7.2</v>
      </c>
      <c r="CT83" s="13">
        <f>IF('Données projet'!$A$140&gt;35,CT82+CS83-DB82,IF(A83&lt;'Données projet'!$A$140,$CQ$205^A83,IF(A83='Données projet'!$A$140,'Données projet'!$B$140,CT82+CS83-DB82)))</f>
        <v>320</v>
      </c>
      <c r="CU83" s="18">
        <f>CT83*VLOOKUP('Données projet'!$B$13,Paramètres!$A$1:$I$89,3,0)*VLOOKUP('Données projet'!$B$13,Paramètres!$A$1:$I$89,5,0)</f>
        <v>324.48</v>
      </c>
      <c r="CV83" s="14">
        <f t="shared" si="95"/>
        <v>76.284749200165578</v>
      </c>
      <c r="CW83" s="22">
        <f t="shared" si="67"/>
        <v>697.99860485695501</v>
      </c>
      <c r="CX83" s="62">
        <f t="shared" si="68"/>
        <v>991.33193819028838</v>
      </c>
      <c r="CY83" s="62">
        <f ca="1">AVERAGE(OFFSET($CX$3,0,0,'Données projet'!$E$13+1,1))-AVERAGE(OFFSET($H$3,0,0,'Données projet'!$E$13+1,1))</f>
        <v>486.63673936259465</v>
      </c>
      <c r="CZ83" s="62">
        <f t="shared" si="96"/>
        <v>306.61893266146666</v>
      </c>
      <c r="DA83" s="16">
        <f>IF(ISNA(VLOOKUP(A83,'Données projet'!$A$139:$I$159,3,0)),0,VLOOKUP(A83,'Données projet'!$A$139:$I$159,3,0))</f>
        <v>13</v>
      </c>
      <c r="DB83" s="16">
        <f>IF(ISNA(VLOOKUP(A83,'Données projet'!$A$139:$I$159,4,0)),0,VLOOKUP(A83,'Données projet'!$A$139:$I$159,4,0))</f>
        <v>28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-3.4106051316484809E-13</v>
      </c>
      <c r="O84" s="14">
        <f>N84*VLOOKUP('Données projet'!$B$9,Paramètres!$A$1:$I$89,3,0)*VLOOKUP('Données projet'!$B$9,Paramètres!$A$1:$I$89,5,0)</f>
        <v>-1.9065282685915009E-13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555.15881087162279</v>
      </c>
      <c r="T84" s="62">
        <f t="shared" si="88"/>
        <v>668.20427590250733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10.437512820165995</v>
      </c>
      <c r="AA84" s="23">
        <f>EXP(-LN(2)/25)*AA83+(1-EXP(-LN(2)/25))/(LN(2)/25)*Calculateur!V84*Calculateur!X84*VLOOKUP('Données projet'!$B$9,Paramètres!$A$1:$I$89,3,0)*0.475*44/12</f>
        <v>5.5027913913050499</v>
      </c>
      <c r="AB84" s="23">
        <f>EXP(-LN(2)/2)*AB83+(1-EXP(-LN(2)/2))/(LN(2)/2)*V84*Y84*VLOOKUP('Données projet'!$B$9,Paramètres!$A$1:$I$89,3,0)*0.475*44/12</f>
        <v>2.9148118409991264E-7</v>
      </c>
      <c r="AC84" s="24">
        <f t="shared" si="57"/>
        <v>15.940304502952229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>
        <f>AI84*VLOOKUP('Données projet'!$B$10,Paramètres!$A$1:$I$89,3,0)*VLOOKUP('Données projet'!$B$10,Paramètres!$A$1:$I$89,5,0)</f>
        <v>0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195.80903373714432</v>
      </c>
      <c r="AO84" s="62">
        <f t="shared" si="90"/>
        <v>388.30721786668977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35.985172253564883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5.6052135702847988E-6</v>
      </c>
      <c r="AX84" s="23">
        <f t="shared" si="60"/>
        <v>35.985177858778457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-5.6843418860808015E-14</v>
      </c>
      <c r="BE84" s="14">
        <f>BD84*VLOOKUP('Données projet'!$B$11,Paramètres!$A$1:$I$89,3,0)*VLOOKUP('Données projet'!$B$11,Paramètres!$A$1:$I$89,5,0)</f>
        <v>-5.1431925385259088E-14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366.86025470473652</v>
      </c>
      <c r="BJ84" s="62">
        <f t="shared" si="92"/>
        <v>513.80016421153414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3.8551460606785697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3.8551460606785697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6.8</v>
      </c>
      <c r="BY84" s="13">
        <f>IF('Données projet'!$A$114&gt;35,BY83+BX84-CG83,IF(A84&lt;'Données projet'!$A$114,$BV$205^A84,IF(A84='Données projet'!$A$114,'Données projet'!$B$114,BY83+BX84-CG83)))</f>
        <v>298.8</v>
      </c>
      <c r="BZ84" s="14">
        <f>BY84*VLOOKUP('Données projet'!$B$12,Paramètres!$A$1:$I$89,3,0)*VLOOKUP('Données projet'!$B$12,Paramètres!$A$1:$I$89,5,0)</f>
        <v>270.35424</v>
      </c>
      <c r="CA84" s="14">
        <f t="shared" si="93"/>
        <v>64.924442218534367</v>
      </c>
      <c r="CB84" s="22">
        <f t="shared" si="64"/>
        <v>583.94370486394735</v>
      </c>
      <c r="CC84" s="62">
        <f t="shared" si="65"/>
        <v>877.27703819728072</v>
      </c>
      <c r="CD84" s="62">
        <f ca="1">AVERAGE(OFFSET($CC$3,0,0,'Données projet'!$E$12+1,1))-AVERAGE(OFFSET($H$3,0,0,'Données projet'!$E$12+1,1))</f>
        <v>438.70522838726322</v>
      </c>
      <c r="CE84" s="62">
        <f t="shared" si="94"/>
        <v>278.21741231699929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6.8</v>
      </c>
      <c r="CT84" s="13">
        <f>IF('Données projet'!$A$140&gt;35,CT83+CS84-DB83,IF(A84&lt;'Données projet'!$A$140,$CQ$205^A84,IF(A84='Données projet'!$A$140,'Données projet'!$B$140,CT83+CS84-DB83)))</f>
        <v>298.8</v>
      </c>
      <c r="CU84" s="18">
        <f>CT84*VLOOKUP('Données projet'!$B$13,Paramètres!$A$1:$I$89,3,0)*VLOOKUP('Données projet'!$B$13,Paramètres!$A$1:$I$89,5,0)</f>
        <v>302.98320000000007</v>
      </c>
      <c r="CV84" s="14">
        <f t="shared" si="95"/>
        <v>71.801496173397709</v>
      </c>
      <c r="CW84" s="22">
        <f t="shared" si="67"/>
        <v>652.75001250200114</v>
      </c>
      <c r="CX84" s="62">
        <f t="shared" si="68"/>
        <v>946.08334583533451</v>
      </c>
      <c r="CY84" s="62">
        <f ca="1">AVERAGE(OFFSET($CX$3,0,0,'Données projet'!$E$13+1,1))-AVERAGE(OFFSET($H$3,0,0,'Données projet'!$E$13+1,1))</f>
        <v>486.63673936259465</v>
      </c>
      <c r="CZ84" s="62">
        <f t="shared" si="96"/>
        <v>306.61893266146666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-3.4106051316484809E-13</v>
      </c>
      <c r="O85" s="14">
        <f>N85*VLOOKUP('Données projet'!$B$9,Paramètres!$A$1:$I$89,3,0)*VLOOKUP('Données projet'!$B$9,Paramètres!$A$1:$I$89,5,0)</f>
        <v>-1.9065282685915009E-13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555.15881087162279</v>
      </c>
      <c r="T85" s="62">
        <f t="shared" si="88"/>
        <v>668.20427590250733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10.232839560016744</v>
      </c>
      <c r="AA85" s="23">
        <f>EXP(-LN(2)/25)*AA84+(1-EXP(-LN(2)/25))/(LN(2)/25)*Calculateur!V85*Calculateur!X85*VLOOKUP('Données projet'!$B$9,Paramètres!$A$1:$I$89,3,0)*0.475*44/12</f>
        <v>5.3523172713305911</v>
      </c>
      <c r="AB85" s="23">
        <f>EXP(-LN(2)/2)*AB84+(1-EXP(-LN(2)/2))/(LN(2)/2)*V85*Y85*VLOOKUP('Données projet'!$B$9,Paramètres!$A$1:$I$89,3,0)*0.475*44/12</f>
        <v>2.0610832186533271E-7</v>
      </c>
      <c r="AC85" s="24">
        <f t="shared" si="57"/>
        <v>15.585157037455657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>
        <f>AI85*VLOOKUP('Données projet'!$B$10,Paramètres!$A$1:$I$89,3,0)*VLOOKUP('Données projet'!$B$10,Paramètres!$A$1:$I$89,5,0)</f>
        <v>0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195.80903373714432</v>
      </c>
      <c r="AO85" s="62">
        <f t="shared" si="90"/>
        <v>388.30721786668977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35.279524974460287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3.96348452554724E-6</v>
      </c>
      <c r="AX85" s="23">
        <f t="shared" si="60"/>
        <v>35.279528937944811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-5.6843418860808015E-14</v>
      </c>
      <c r="BE85" s="14">
        <f>BD85*VLOOKUP('Données projet'!$B$11,Paramètres!$A$1:$I$89,3,0)*VLOOKUP('Données projet'!$B$11,Paramètres!$A$1:$I$89,5,0)</f>
        <v>-5.1431925385259088E-14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366.86025470473652</v>
      </c>
      <c r="BJ85" s="62">
        <f t="shared" si="92"/>
        <v>513.80016421153414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3.7795489978355779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3.7795489978355779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6.8</v>
      </c>
      <c r="BY85" s="13">
        <f>IF('Données projet'!$A$114&gt;35,BY84+BX85-CG84,IF(A85&lt;'Données projet'!$A$114,$BV$205^A85,IF(A85='Données projet'!$A$114,'Données projet'!$B$114,BY84+BX85-CG84)))</f>
        <v>305.60000000000002</v>
      </c>
      <c r="BZ85" s="14">
        <f>BY85*VLOOKUP('Données projet'!$B$12,Paramètres!$A$1:$I$89,3,0)*VLOOKUP('Données projet'!$B$12,Paramètres!$A$1:$I$89,5,0)</f>
        <v>276.50687999999997</v>
      </c>
      <c r="CA85" s="14">
        <f t="shared" si="93"/>
        <v>66.228273722513677</v>
      </c>
      <c r="CB85" s="22">
        <f t="shared" si="64"/>
        <v>596.93039273337797</v>
      </c>
      <c r="CC85" s="62">
        <f t="shared" si="65"/>
        <v>890.26372606671134</v>
      </c>
      <c r="CD85" s="62">
        <f ca="1">AVERAGE(OFFSET($CC$3,0,0,'Données projet'!$E$12+1,1))-AVERAGE(OFFSET($H$3,0,0,'Données projet'!$E$12+1,1))</f>
        <v>438.70522838726322</v>
      </c>
      <c r="CE85" s="62">
        <f t="shared" si="94"/>
        <v>278.21741231699929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6.8</v>
      </c>
      <c r="CT85" s="13">
        <f>IF('Données projet'!$A$140&gt;35,CT84+CS85-DB84,IF(A85&lt;'Données projet'!$A$140,$CQ$205^A85,IF(A85='Données projet'!$A$140,'Données projet'!$B$140,CT84+CS85-DB84)))</f>
        <v>305.60000000000002</v>
      </c>
      <c r="CU85" s="18">
        <f>CT85*VLOOKUP('Données projet'!$B$13,Paramètres!$A$1:$I$89,3,0)*VLOOKUP('Données projet'!$B$13,Paramètres!$A$1:$I$89,5,0)</f>
        <v>309.87840000000006</v>
      </c>
      <c r="CV85" s="14">
        <f t="shared" si="95"/>
        <v>73.243434672131556</v>
      </c>
      <c r="CW85" s="22">
        <f t="shared" si="67"/>
        <v>667.27052872062916</v>
      </c>
      <c r="CX85" s="62">
        <f t="shared" si="68"/>
        <v>960.60386205396253</v>
      </c>
      <c r="CY85" s="62">
        <f ca="1">AVERAGE(OFFSET($CX$3,0,0,'Données projet'!$E$13+1,1))-AVERAGE(OFFSET($H$3,0,0,'Données projet'!$E$13+1,1))</f>
        <v>486.63673936259465</v>
      </c>
      <c r="CZ85" s="62">
        <f t="shared" si="96"/>
        <v>306.61893266146666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-3.4106051316484809E-13</v>
      </c>
      <c r="O86" s="14">
        <f>N86*VLOOKUP('Données projet'!$B$9,Paramètres!$A$1:$I$89,3,0)*VLOOKUP('Données projet'!$B$9,Paramètres!$A$1:$I$89,5,0)</f>
        <v>-1.9065282685915009E-13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555.15881087162279</v>
      </c>
      <c r="T86" s="62">
        <f t="shared" si="88"/>
        <v>668.20427590250733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10.032179817660658</v>
      </c>
      <c r="AA86" s="23">
        <f>EXP(-LN(2)/25)*AA85+(1-EXP(-LN(2)/25))/(LN(2)/25)*Calculateur!V86*Calculateur!X86*VLOOKUP('Données projet'!$B$9,Paramètres!$A$1:$I$89,3,0)*0.475*44/12</f>
        <v>5.2059578740799237</v>
      </c>
      <c r="AB86" s="23">
        <f>EXP(-LN(2)/2)*AB85+(1-EXP(-LN(2)/2))/(LN(2)/2)*V86*Y86*VLOOKUP('Données projet'!$B$9,Paramètres!$A$1:$I$89,3,0)*0.475*44/12</f>
        <v>1.4574059204995632E-7</v>
      </c>
      <c r="AC86" s="24">
        <f t="shared" si="57"/>
        <v>15.238137837481176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>
        <f>AI86*VLOOKUP('Données projet'!$B$10,Paramètres!$A$1:$I$89,3,0)*VLOOKUP('Données projet'!$B$10,Paramètres!$A$1:$I$89,5,0)</f>
        <v>0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195.80903373714432</v>
      </c>
      <c r="AO86" s="62">
        <f t="shared" si="90"/>
        <v>388.30721786668977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34.587715008096588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2.8026067851423994E-6</v>
      </c>
      <c r="AX86" s="23">
        <f t="shared" si="60"/>
        <v>34.587717810703374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-5.6843418860808015E-14</v>
      </c>
      <c r="BE86" s="14">
        <f>BD86*VLOOKUP('Données projet'!$B$11,Paramètres!$A$1:$I$89,3,0)*VLOOKUP('Données projet'!$B$11,Paramètres!$A$1:$I$89,5,0)</f>
        <v>-5.1431925385259088E-14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366.86025470473652</v>
      </c>
      <c r="BJ86" s="62">
        <f t="shared" si="92"/>
        <v>513.80016421153414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3.7054343472852818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3.7054343472852818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6.8</v>
      </c>
      <c r="BY86" s="13">
        <f>IF('Données projet'!$A$114&gt;35,BY85+BX86-CG85,IF(A86&lt;'Données projet'!$A$114,$BV$205^A86,IF(A86='Données projet'!$A$114,'Données projet'!$B$114,BY85+BX86-CG85)))</f>
        <v>312.40000000000003</v>
      </c>
      <c r="BZ86" s="14">
        <f>BY86*VLOOKUP('Données projet'!$B$12,Paramètres!$A$1:$I$89,3,0)*VLOOKUP('Données projet'!$B$12,Paramètres!$A$1:$I$89,5,0)</f>
        <v>282.65952000000004</v>
      </c>
      <c r="CA86" s="14">
        <f t="shared" si="93"/>
        <v>67.528732309967324</v>
      </c>
      <c r="CB86" s="22">
        <f t="shared" si="64"/>
        <v>609.91120610652649</v>
      </c>
      <c r="CC86" s="62">
        <f t="shared" si="65"/>
        <v>903.24453943985986</v>
      </c>
      <c r="CD86" s="62">
        <f ca="1">AVERAGE(OFFSET($CC$3,0,0,'Données projet'!$E$12+1,1))-AVERAGE(OFFSET($H$3,0,0,'Données projet'!$E$12+1,1))</f>
        <v>438.70522838726322</v>
      </c>
      <c r="CE86" s="62">
        <f t="shared" si="94"/>
        <v>278.21741231699929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6.8</v>
      </c>
      <c r="CT86" s="13">
        <f>IF('Données projet'!$A$140&gt;35,CT85+CS86-DB85,IF(A86&lt;'Données projet'!$A$140,$CQ$205^A86,IF(A86='Données projet'!$A$140,'Données projet'!$B$140,CT85+CS86-DB85)))</f>
        <v>312.40000000000003</v>
      </c>
      <c r="CU86" s="18">
        <f>CT86*VLOOKUP('Données projet'!$B$13,Paramètres!$A$1:$I$89,3,0)*VLOOKUP('Données projet'!$B$13,Paramètres!$A$1:$I$89,5,0)</f>
        <v>316.77360000000004</v>
      </c>
      <c r="CV86" s="14">
        <f t="shared" si="95"/>
        <v>74.681642981668006</v>
      </c>
      <c r="CW86" s="22">
        <f t="shared" si="67"/>
        <v>681.78454819307183</v>
      </c>
      <c r="CX86" s="62">
        <f t="shared" si="68"/>
        <v>975.1178815264052</v>
      </c>
      <c r="CY86" s="62">
        <f ca="1">AVERAGE(OFFSET($CX$3,0,0,'Données projet'!$E$13+1,1))-AVERAGE(OFFSET($H$3,0,0,'Données projet'!$E$13+1,1))</f>
        <v>486.63673936259465</v>
      </c>
      <c r="CZ86" s="62">
        <f t="shared" si="96"/>
        <v>306.61893266146666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-3.4106051316484809E-13</v>
      </c>
      <c r="O87" s="14">
        <f>N87*VLOOKUP('Données projet'!$B$9,Paramètres!$A$1:$I$89,3,0)*VLOOKUP('Données projet'!$B$9,Paramètres!$A$1:$I$89,5,0)</f>
        <v>-1.9065282685915009E-13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555.15881087162279</v>
      </c>
      <c r="T87" s="62">
        <f t="shared" si="88"/>
        <v>668.20427590250733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9.8354548904618184</v>
      </c>
      <c r="AA87" s="23">
        <f>EXP(-LN(2)/25)*AA86+(1-EXP(-LN(2)/25))/(LN(2)/25)*Calculateur!V87*Calculateur!X87*VLOOKUP('Données projet'!$B$9,Paramètres!$A$1:$I$89,3,0)*0.475*44/12</f>
        <v>5.0636006822437816</v>
      </c>
      <c r="AB87" s="23">
        <f>EXP(-LN(2)/2)*AB86+(1-EXP(-LN(2)/2))/(LN(2)/2)*V87*Y87*VLOOKUP('Données projet'!$B$9,Paramètres!$A$1:$I$89,3,0)*0.475*44/12</f>
        <v>1.0305416093266635E-7</v>
      </c>
      <c r="AC87" s="24">
        <f t="shared" si="57"/>
        <v>14.89905567575976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>
        <f>AI87*VLOOKUP('Données projet'!$B$10,Paramètres!$A$1:$I$89,3,0)*VLOOKUP('Données projet'!$B$10,Paramètres!$A$1:$I$89,5,0)</f>
        <v>0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195.80903373714432</v>
      </c>
      <c r="AO87" s="62">
        <f t="shared" si="90"/>
        <v>388.30721786668977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33.909471013210869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1.98174226277362E-6</v>
      </c>
      <c r="AX87" s="23">
        <f t="shared" si="60"/>
        <v>33.909472994953134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-5.6843418860808015E-14</v>
      </c>
      <c r="BE87" s="14">
        <f>BD87*VLOOKUP('Données projet'!$B$11,Paramètres!$A$1:$I$89,3,0)*VLOOKUP('Données projet'!$B$11,Paramètres!$A$1:$I$89,5,0)</f>
        <v>-5.1431925385259088E-14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366.86025470473652</v>
      </c>
      <c r="BJ87" s="62">
        <f t="shared" si="92"/>
        <v>513.80016421153414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3.6327730398268039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3.6327730398268039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6.8</v>
      </c>
      <c r="BY87" s="13">
        <f>IF('Données projet'!$A$114&gt;35,BY86+BX87-CG86,IF(A87&lt;'Données projet'!$A$114,$BV$205^A87,IF(A87='Données projet'!$A$114,'Données projet'!$B$114,BY86+BX87-CG86)))</f>
        <v>319.20000000000005</v>
      </c>
      <c r="BZ87" s="14">
        <f>BY87*VLOOKUP('Données projet'!$B$12,Paramètres!$A$1:$I$89,3,0)*VLOOKUP('Données projet'!$B$12,Paramètres!$A$1:$I$89,5,0)</f>
        <v>288.81216000000006</v>
      </c>
      <c r="CA87" s="14">
        <f t="shared" si="93"/>
        <v>68.825899854238159</v>
      </c>
      <c r="CB87" s="22">
        <f t="shared" si="64"/>
        <v>622.88628757946492</v>
      </c>
      <c r="CC87" s="62">
        <f t="shared" si="65"/>
        <v>916.21962091279829</v>
      </c>
      <c r="CD87" s="62">
        <f ca="1">AVERAGE(OFFSET($CC$3,0,0,'Données projet'!$E$12+1,1))-AVERAGE(OFFSET($H$3,0,0,'Données projet'!$E$12+1,1))</f>
        <v>438.70522838726322</v>
      </c>
      <c r="CE87" s="62">
        <f t="shared" si="94"/>
        <v>278.21741231699929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6.8</v>
      </c>
      <c r="CT87" s="13">
        <f>IF('Données projet'!$A$140&gt;35,CT86+CS87-DB86,IF(A87&lt;'Données projet'!$A$140,$CQ$205^A87,IF(A87='Données projet'!$A$140,'Données projet'!$B$140,CT86+CS87-DB86)))</f>
        <v>319.20000000000005</v>
      </c>
      <c r="CU87" s="18">
        <f>CT87*VLOOKUP('Données projet'!$B$13,Paramètres!$A$1:$I$89,3,0)*VLOOKUP('Données projet'!$B$13,Paramètres!$A$1:$I$89,5,0)</f>
        <v>323.66880000000009</v>
      </c>
      <c r="CV87" s="14">
        <f t="shared" si="95"/>
        <v>76.11621164769852</v>
      </c>
      <c r="CW87" s="22">
        <f t="shared" si="67"/>
        <v>696.29222861974176</v>
      </c>
      <c r="CX87" s="62">
        <f t="shared" si="68"/>
        <v>989.62556195307502</v>
      </c>
      <c r="CY87" s="62">
        <f ca="1">AVERAGE(OFFSET($CX$3,0,0,'Données projet'!$E$13+1,1))-AVERAGE(OFFSET($H$3,0,0,'Données projet'!$E$13+1,1))</f>
        <v>486.63673936259465</v>
      </c>
      <c r="CZ87" s="62">
        <f t="shared" si="96"/>
        <v>306.61893266146666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-3.4106051316484809E-13</v>
      </c>
      <c r="O88" s="14">
        <f>N88*VLOOKUP('Données projet'!$B$9,Paramètres!$A$1:$I$89,3,0)*VLOOKUP('Données projet'!$B$9,Paramètres!$A$1:$I$89,5,0)</f>
        <v>-1.9065282685915009E-13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555.15881087162279</v>
      </c>
      <c r="T88" s="62">
        <f t="shared" si="88"/>
        <v>668.20427590250733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9.6425876190949893</v>
      </c>
      <c r="AA88" s="23">
        <f>EXP(-LN(2)/25)*AA87+(1-EXP(-LN(2)/25))/(LN(2)/25)*Calculateur!V88*Calculateur!X88*VLOOKUP('Données projet'!$B$9,Paramètres!$A$1:$I$89,3,0)*0.475*44/12</f>
        <v>4.9251362553046389</v>
      </c>
      <c r="AB88" s="23">
        <f>EXP(-LN(2)/2)*AB87+(1-EXP(-LN(2)/2))/(LN(2)/2)*V88*Y88*VLOOKUP('Données projet'!$B$9,Paramètres!$A$1:$I$89,3,0)*0.475*44/12</f>
        <v>7.287029602497816E-8</v>
      </c>
      <c r="AC88" s="24">
        <f t="shared" si="57"/>
        <v>14.567723947269926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>
        <f>AI88*VLOOKUP('Données projet'!$B$10,Paramètres!$A$1:$I$89,3,0)*VLOOKUP('Données projet'!$B$10,Paramètres!$A$1:$I$89,5,0)</f>
        <v>0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195.80903373714432</v>
      </c>
      <c r="AO88" s="62">
        <f t="shared" si="90"/>
        <v>388.30721786668977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33.244526969376871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1.4013033925711997E-6</v>
      </c>
      <c r="AX88" s="23">
        <f t="shared" si="60"/>
        <v>33.244528370680264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-5.6843418860808015E-14</v>
      </c>
      <c r="BE88" s="14">
        <f>BD88*VLOOKUP('Données projet'!$B$11,Paramètres!$A$1:$I$89,3,0)*VLOOKUP('Données projet'!$B$11,Paramètres!$A$1:$I$89,5,0)</f>
        <v>-5.1431925385259088E-14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366.86025470473652</v>
      </c>
      <c r="BJ88" s="62">
        <f t="shared" si="92"/>
        <v>513.80016421153414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3.5615365762885651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3.5615365762885651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>
        <f>VLOOKUP(A88,'Données projet'!$A$113:$I$133,2,0)</f>
        <v>326</v>
      </c>
      <c r="BW88" s="13">
        <f>VLOOKUP(A88,'Données projet'!$A$113:$I$133,9,0)</f>
        <v>6.8</v>
      </c>
      <c r="BX88" s="13">
        <f t="array" ref="BX88">INDEX(BW:BW,MIN(IF(ISNUMBER(BW88:BW284),ROW(BW88:BW284),"")))</f>
        <v>6.8</v>
      </c>
      <c r="BY88" s="13">
        <f>IF('Données projet'!$A$114&gt;35,BY87+BX88-CG87,IF(A88&lt;'Données projet'!$A$114,$BV$205^A88,IF(A88='Données projet'!$A$114,'Données projet'!$B$114,BY87+BX88-CG87)))</f>
        <v>326.00000000000006</v>
      </c>
      <c r="BZ88" s="14">
        <f>BY88*VLOOKUP('Données projet'!$B$12,Paramètres!$A$1:$I$89,3,0)*VLOOKUP('Données projet'!$B$12,Paramètres!$A$1:$I$89,5,0)</f>
        <v>294.96480000000003</v>
      </c>
      <c r="CA88" s="14">
        <f t="shared" si="93"/>
        <v>70.119854541045001</v>
      </c>
      <c r="CB88" s="22">
        <f t="shared" si="64"/>
        <v>635.85577332565333</v>
      </c>
      <c r="CC88" s="62">
        <f t="shared" si="65"/>
        <v>929.1891066589867</v>
      </c>
      <c r="CD88" s="62">
        <f ca="1">AVERAGE(OFFSET($CC$3,0,0,'Données projet'!$E$12+1,1))-AVERAGE(OFFSET($H$3,0,0,'Données projet'!$E$12+1,1))</f>
        <v>438.70522838726322</v>
      </c>
      <c r="CE88" s="62">
        <f t="shared" si="94"/>
        <v>278.21741231699929</v>
      </c>
      <c r="CF88" s="16">
        <f>IF(ISNA(VLOOKUP(A88,'Données projet'!$A$113:$I$133,3,0)),0,VLOOKUP(A88,'Données projet'!$A$113:$I$133,3,0))</f>
        <v>14</v>
      </c>
      <c r="CG88" s="16">
        <f>IF(ISNA(VLOOKUP(A88,'Données projet'!$A$113:$I$133,4,0)),0,VLOOKUP(A88,'Données projet'!$A$113:$I$133,4,0))</f>
        <v>28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326</v>
      </c>
      <c r="CR88" s="13">
        <f>VLOOKUP(A88,'Données projet'!$A$139:$I$159,9,0)</f>
        <v>6.8</v>
      </c>
      <c r="CS88" s="13">
        <f t="array" ref="CS88">INDEX(CR:CR,MIN(IF(ISNUMBER(CR88:CR284),ROW(CR88:CR284),"")))</f>
        <v>6.8</v>
      </c>
      <c r="CT88" s="13">
        <f>IF('Données projet'!$A$140&gt;35,CT87+CS88-DB87,IF(A88&lt;'Données projet'!$A$140,$CQ$205^A88,IF(A88='Données projet'!$A$140,'Données projet'!$B$140,CT87+CS88-DB87)))</f>
        <v>326.00000000000006</v>
      </c>
      <c r="CU88" s="18">
        <f>CT88*VLOOKUP('Données projet'!$B$13,Paramètres!$A$1:$I$89,3,0)*VLOOKUP('Données projet'!$B$13,Paramètres!$A$1:$I$89,5,0)</f>
        <v>330.56400000000008</v>
      </c>
      <c r="CV88" s="14">
        <f t="shared" si="95"/>
        <v>77.547227137682853</v>
      </c>
      <c r="CW88" s="22">
        <f t="shared" si="67"/>
        <v>710.79372059813113</v>
      </c>
      <c r="CX88" s="62">
        <f t="shared" si="68"/>
        <v>1004.1270539314644</v>
      </c>
      <c r="CY88" s="62">
        <f ca="1">AVERAGE(OFFSET($CX$3,0,0,'Données projet'!$E$13+1,1))-AVERAGE(OFFSET($H$3,0,0,'Données projet'!$E$13+1,1))</f>
        <v>486.63673936259465</v>
      </c>
      <c r="CZ88" s="62">
        <f t="shared" si="96"/>
        <v>306.61893266146666</v>
      </c>
      <c r="DA88" s="16">
        <f>IF(ISNA(VLOOKUP(A88,'Données projet'!$A$139:$I$159,3,0)),0,VLOOKUP(A88,'Données projet'!$A$139:$I$159,3,0))</f>
        <v>14</v>
      </c>
      <c r="DB88" s="16">
        <f>IF(ISNA(VLOOKUP(A88,'Données projet'!$A$139:$I$159,4,0)),0,VLOOKUP(A88,'Données projet'!$A$139:$I$159,4,0))</f>
        <v>28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-3.4106051316484809E-13</v>
      </c>
      <c r="O89" s="14">
        <f>N89*VLOOKUP('Données projet'!$B$9,Paramètres!$A$1:$I$89,3,0)*VLOOKUP('Données projet'!$B$9,Paramètres!$A$1:$I$89,5,0)</f>
        <v>-1.9065282685915009E-13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555.15881087162279</v>
      </c>
      <c r="T89" s="62">
        <f t="shared" si="88"/>
        <v>668.20427590250733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9.453502357282245</v>
      </c>
      <c r="AA89" s="23">
        <f>EXP(-LN(2)/25)*AA88+(1-EXP(-LN(2)/25))/(LN(2)/25)*Calculateur!V89*Calculateur!X89*VLOOKUP('Données projet'!$B$9,Paramètres!$A$1:$I$89,3,0)*0.475*44/12</f>
        <v>4.7904581454016748</v>
      </c>
      <c r="AB89" s="23">
        <f>EXP(-LN(2)/2)*AB88+(1-EXP(-LN(2)/2))/(LN(2)/2)*V89*Y89*VLOOKUP('Données projet'!$B$9,Paramètres!$A$1:$I$89,3,0)*0.475*44/12</f>
        <v>5.1527080466333176E-8</v>
      </c>
      <c r="AC89" s="24">
        <f t="shared" si="57"/>
        <v>14.243960554211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>
        <f>AI89*VLOOKUP('Données projet'!$B$10,Paramètres!$A$1:$I$89,3,0)*VLOOKUP('Données projet'!$B$10,Paramètres!$A$1:$I$89,5,0)</f>
        <v>0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195.80903373714432</v>
      </c>
      <c r="AO89" s="62">
        <f t="shared" si="90"/>
        <v>388.30721786668977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32.592622072666636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9.9087113138680999E-7</v>
      </c>
      <c r="AX89" s="23">
        <f t="shared" si="60"/>
        <v>32.592623063537765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-5.6843418860808015E-14</v>
      </c>
      <c r="BE89" s="14">
        <f>BD89*VLOOKUP('Données projet'!$B$11,Paramètres!$A$1:$I$89,3,0)*VLOOKUP('Données projet'!$B$11,Paramètres!$A$1:$I$89,5,0)</f>
        <v>-5.1431925385259088E-14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366.86025470473652</v>
      </c>
      <c r="BJ89" s="62">
        <f t="shared" si="92"/>
        <v>513.80016421153414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3.4916970163503587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3.4916970163503587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6.4</v>
      </c>
      <c r="BY89" s="13">
        <f>IF('Données projet'!$A$114&gt;35,BY88+BX89-CG88,IF(A89&lt;'Données projet'!$A$114,$BV$205^A89,IF(A89='Données projet'!$A$114,'Données projet'!$B$114,BY88+BX89-CG88)))</f>
        <v>304.40000000000003</v>
      </c>
      <c r="BZ89" s="14">
        <f>BY89*VLOOKUP('Données projet'!$B$12,Paramètres!$A$1:$I$89,3,0)*VLOOKUP('Données projet'!$B$12,Paramètres!$A$1:$I$89,5,0)</f>
        <v>275.42112000000003</v>
      </c>
      <c r="CA89" s="14">
        <f t="shared" si="93"/>
        <v>65.998433293601067</v>
      </c>
      <c r="CB89" s="22">
        <f t="shared" si="64"/>
        <v>594.63905531968851</v>
      </c>
      <c r="CC89" s="62">
        <f t="shared" si="65"/>
        <v>887.97238865302188</v>
      </c>
      <c r="CD89" s="62">
        <f ca="1">AVERAGE(OFFSET($CC$3,0,0,'Données projet'!$E$12+1,1))-AVERAGE(OFFSET($H$3,0,0,'Données projet'!$E$12+1,1))</f>
        <v>438.70522838726322</v>
      </c>
      <c r="CE89" s="62">
        <f t="shared" si="94"/>
        <v>278.21741231699929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6.4</v>
      </c>
      <c r="CT89" s="13">
        <f>IF('Données projet'!$A$140&gt;35,CT88+CS89-DB88,IF(A89&lt;'Données projet'!$A$140,$CQ$205^A89,IF(A89='Données projet'!$A$140,'Données projet'!$B$140,CT88+CS89-DB88)))</f>
        <v>304.40000000000003</v>
      </c>
      <c r="CU89" s="18">
        <f>CT89*VLOOKUP('Données projet'!$B$13,Paramètres!$A$1:$I$89,3,0)*VLOOKUP('Données projet'!$B$13,Paramètres!$A$1:$I$89,5,0)</f>
        <v>308.66160000000008</v>
      </c>
      <c r="CV89" s="14">
        <f t="shared" si="95"/>
        <v>72.98924863505313</v>
      </c>
      <c r="CW89" s="22">
        <f t="shared" si="67"/>
        <v>664.70856137271755</v>
      </c>
      <c r="CX89" s="62">
        <f t="shared" si="68"/>
        <v>958.04189470605093</v>
      </c>
      <c r="CY89" s="62">
        <f ca="1">AVERAGE(OFFSET($CX$3,0,0,'Données projet'!$E$13+1,1))-AVERAGE(OFFSET($H$3,0,0,'Données projet'!$E$13+1,1))</f>
        <v>486.63673936259465</v>
      </c>
      <c r="CZ89" s="62">
        <f t="shared" si="96"/>
        <v>306.61893266146666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-3.4106051316484809E-13</v>
      </c>
      <c r="O90" s="14">
        <f>N90*VLOOKUP('Données projet'!$B$9,Paramètres!$A$1:$I$89,3,0)*VLOOKUP('Données projet'!$B$9,Paramètres!$A$1:$I$89,5,0)</f>
        <v>-1.9065282685915009E-13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555.15881087162279</v>
      </c>
      <c r="T90" s="62">
        <f t="shared" si="88"/>
        <v>668.20427590250733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9.268124942123027</v>
      </c>
      <c r="AA90" s="23">
        <f>EXP(-LN(2)/25)*AA89+(1-EXP(-LN(2)/25))/(LN(2)/25)*Calculateur!V90*Calculateur!X90*VLOOKUP('Données projet'!$B$9,Paramètres!$A$1:$I$89,3,0)*0.475*44/12</f>
        <v>4.6594628154964211</v>
      </c>
      <c r="AB90" s="23">
        <f>EXP(-LN(2)/2)*AB89+(1-EXP(-LN(2)/2))/(LN(2)/2)*V90*Y90*VLOOKUP('Données projet'!$B$9,Paramètres!$A$1:$I$89,3,0)*0.475*44/12</f>
        <v>3.643514801248908E-8</v>
      </c>
      <c r="AC90" s="24">
        <f t="shared" si="57"/>
        <v>13.927587794054597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>
        <f>AI90*VLOOKUP('Données projet'!$B$10,Paramètres!$A$1:$I$89,3,0)*VLOOKUP('Données projet'!$B$10,Paramètres!$A$1:$I$89,5,0)</f>
        <v>0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195.80903373714432</v>
      </c>
      <c r="AO90" s="62">
        <f t="shared" si="90"/>
        <v>388.30721786668977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31.953500633358168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7.0065169628559984E-7</v>
      </c>
      <c r="AX90" s="23">
        <f t="shared" si="60"/>
        <v>31.953501334009864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-5.6843418860808015E-14</v>
      </c>
      <c r="BE90" s="14">
        <f>BD90*VLOOKUP('Données projet'!$B$11,Paramètres!$A$1:$I$89,3,0)*VLOOKUP('Données projet'!$B$11,Paramètres!$A$1:$I$89,5,0)</f>
        <v>-5.1431925385259088E-14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366.86025470473652</v>
      </c>
      <c r="BJ90" s="62">
        <f t="shared" si="92"/>
        <v>513.80016421153414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3.4232269675846152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3.4232269675846152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6.4</v>
      </c>
      <c r="BY90" s="13">
        <f>IF('Données projet'!$A$114&gt;35,BY89+BX90-CG89,IF(A90&lt;'Données projet'!$A$114,$BV$205^A90,IF(A90='Données projet'!$A$114,'Données projet'!$B$114,BY89+BX90-CG89)))</f>
        <v>310.8</v>
      </c>
      <c r="BZ90" s="14">
        <f>BY90*VLOOKUP('Données projet'!$B$12,Paramètres!$A$1:$I$89,3,0)*VLOOKUP('Données projet'!$B$12,Paramètres!$A$1:$I$89,5,0)</f>
        <v>281.21184</v>
      </c>
      <c r="CA90" s="14">
        <f t="shared" si="93"/>
        <v>67.22304110496664</v>
      </c>
      <c r="CB90" s="22">
        <f t="shared" si="64"/>
        <v>606.85741792448357</v>
      </c>
      <c r="CC90" s="62">
        <f t="shared" si="65"/>
        <v>900.19075125781683</v>
      </c>
      <c r="CD90" s="62">
        <f ca="1">AVERAGE(OFFSET($CC$3,0,0,'Données projet'!$E$12+1,1))-AVERAGE(OFFSET($H$3,0,0,'Données projet'!$E$12+1,1))</f>
        <v>438.70522838726322</v>
      </c>
      <c r="CE90" s="62">
        <f t="shared" si="94"/>
        <v>278.21741231699929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6.4</v>
      </c>
      <c r="CT90" s="13">
        <f>IF('Données projet'!$A$140&gt;35,CT89+CS90-DB89,IF(A90&lt;'Données projet'!$A$140,$CQ$205^A90,IF(A90='Données projet'!$A$140,'Données projet'!$B$140,CT89+CS90-DB89)))</f>
        <v>310.8</v>
      </c>
      <c r="CU90" s="18">
        <f>CT90*VLOOKUP('Données projet'!$B$13,Paramètres!$A$1:$I$89,3,0)*VLOOKUP('Données projet'!$B$13,Paramètres!$A$1:$I$89,5,0)</f>
        <v>315.15120000000002</v>
      </c>
      <c r="CV90" s="14">
        <f t="shared" si="95"/>
        <v>74.343571754005879</v>
      </c>
      <c r="CW90" s="22">
        <f t="shared" si="67"/>
        <v>678.37006080489357</v>
      </c>
      <c r="CX90" s="62">
        <f t="shared" si="68"/>
        <v>971.70339413822694</v>
      </c>
      <c r="CY90" s="62">
        <f ca="1">AVERAGE(OFFSET($CX$3,0,0,'Données projet'!$E$13+1,1))-AVERAGE(OFFSET($H$3,0,0,'Données projet'!$E$13+1,1))</f>
        <v>486.63673936259465</v>
      </c>
      <c r="CZ90" s="62">
        <f t="shared" si="96"/>
        <v>306.61893266146666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-3.4106051316484809E-13</v>
      </c>
      <c r="O91" s="14">
        <f>N91*VLOOKUP('Données projet'!$B$9,Paramètres!$A$1:$I$89,3,0)*VLOOKUP('Données projet'!$B$9,Paramètres!$A$1:$I$89,5,0)</f>
        <v>-1.9065282685915009E-13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555.15881087162279</v>
      </c>
      <c r="T91" s="62">
        <f t="shared" si="88"/>
        <v>668.20427590250733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9.0863826650060222</v>
      </c>
      <c r="AA91" s="23">
        <f>EXP(-LN(2)/25)*AA90+(1-EXP(-LN(2)/25))/(LN(2)/25)*Calculateur!V91*Calculateur!X91*VLOOKUP('Données projet'!$B$9,Paramètres!$A$1:$I$89,3,0)*0.475*44/12</f>
        <v>4.532049559776171</v>
      </c>
      <c r="AB91" s="23">
        <f>EXP(-LN(2)/2)*AB90+(1-EXP(-LN(2)/2))/(LN(2)/2)*V91*Y91*VLOOKUP('Données projet'!$B$9,Paramètres!$A$1:$I$89,3,0)*0.475*44/12</f>
        <v>2.5763540233166588E-8</v>
      </c>
      <c r="AC91" s="24">
        <f t="shared" si="57"/>
        <v>13.618432250545734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>
        <f>AI91*VLOOKUP('Données projet'!$B$10,Paramètres!$A$1:$I$89,3,0)*VLOOKUP('Données projet'!$B$10,Paramètres!$A$1:$I$89,5,0)</f>
        <v>0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195.80903373714432</v>
      </c>
      <c r="AO91" s="62">
        <f t="shared" si="90"/>
        <v>388.30721786668977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31.326911975648951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4.9543556569340499E-7</v>
      </c>
      <c r="AX91" s="23">
        <f t="shared" si="60"/>
        <v>31.326912471084515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-5.6843418860808015E-14</v>
      </c>
      <c r="BE91" s="14">
        <f>BD91*VLOOKUP('Données projet'!$B$11,Paramètres!$A$1:$I$89,3,0)*VLOOKUP('Données projet'!$B$11,Paramètres!$A$1:$I$89,5,0)</f>
        <v>-5.1431925385259088E-14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366.86025470473652</v>
      </c>
      <c r="BJ91" s="62">
        <f t="shared" si="92"/>
        <v>513.80016421153414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3.3560995747125619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3.3560995747125619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6.4</v>
      </c>
      <c r="BY91" s="13">
        <f>IF('Données projet'!$A$114&gt;35,BY90+BX91-CG90,IF(A91&lt;'Données projet'!$A$114,$BV$205^A91,IF(A91='Données projet'!$A$114,'Données projet'!$B$114,BY90+BX91-CG90)))</f>
        <v>317.2</v>
      </c>
      <c r="BZ91" s="14">
        <f>BY91*VLOOKUP('Données projet'!$B$12,Paramètres!$A$1:$I$89,3,0)*VLOOKUP('Données projet'!$B$12,Paramètres!$A$1:$I$89,5,0)</f>
        <v>287.00255999999996</v>
      </c>
      <c r="CA91" s="14">
        <f t="shared" si="93"/>
        <v>68.444716936118553</v>
      </c>
      <c r="CB91" s="22">
        <f t="shared" si="64"/>
        <v>619.07067399707296</v>
      </c>
      <c r="CC91" s="62">
        <f t="shared" si="65"/>
        <v>912.40400733040633</v>
      </c>
      <c r="CD91" s="62">
        <f ca="1">AVERAGE(OFFSET($CC$3,0,0,'Données projet'!$E$12+1,1))-AVERAGE(OFFSET($H$3,0,0,'Données projet'!$E$12+1,1))</f>
        <v>438.70522838726322</v>
      </c>
      <c r="CE91" s="62">
        <f t="shared" si="94"/>
        <v>278.21741231699929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6.4</v>
      </c>
      <c r="CT91" s="13">
        <f>IF('Données projet'!$A$140&gt;35,CT90+CS91-DB90,IF(A91&lt;'Données projet'!$A$140,$CQ$205^A91,IF(A91='Données projet'!$A$140,'Données projet'!$B$140,CT90+CS91-DB90)))</f>
        <v>317.2</v>
      </c>
      <c r="CU91" s="18">
        <f>CT91*VLOOKUP('Données projet'!$B$13,Paramètres!$A$1:$I$89,3,0)*VLOOKUP('Données projet'!$B$13,Paramètres!$A$1:$I$89,5,0)</f>
        <v>321.64080000000001</v>
      </c>
      <c r="CV91" s="14">
        <f t="shared" si="95"/>
        <v>75.694652325793228</v>
      </c>
      <c r="CW91" s="22">
        <f t="shared" si="67"/>
        <v>692.0259128007566</v>
      </c>
      <c r="CX91" s="62">
        <f t="shared" si="68"/>
        <v>985.35924613408997</v>
      </c>
      <c r="CY91" s="62">
        <f ca="1">AVERAGE(OFFSET($CX$3,0,0,'Données projet'!$E$13+1,1))-AVERAGE(OFFSET($H$3,0,0,'Données projet'!$E$13+1,1))</f>
        <v>486.63673936259465</v>
      </c>
      <c r="CZ91" s="62">
        <f t="shared" si="96"/>
        <v>306.61893266146666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-3.4106051316484809E-13</v>
      </c>
      <c r="O92" s="14">
        <f>N92*VLOOKUP('Données projet'!$B$9,Paramètres!$A$1:$I$89,3,0)*VLOOKUP('Données projet'!$B$9,Paramètres!$A$1:$I$89,5,0)</f>
        <v>-1.9065282685915009E-13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555.15881087162279</v>
      </c>
      <c r="T92" s="62">
        <f t="shared" si="88"/>
        <v>668.20427590250733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8.9082042430914381</v>
      </c>
      <c r="AA92" s="23">
        <f>EXP(-LN(2)/25)*AA91+(1-EXP(-LN(2)/25))/(LN(2)/25)*Calculateur!V92*Calculateur!X92*VLOOKUP('Données projet'!$B$9,Paramètres!$A$1:$I$89,3,0)*0.475*44/12</f>
        <v>4.4081204262339631</v>
      </c>
      <c r="AB92" s="23">
        <f>EXP(-LN(2)/2)*AB91+(1-EXP(-LN(2)/2))/(LN(2)/2)*V92*Y92*VLOOKUP('Données projet'!$B$9,Paramètres!$A$1:$I$89,3,0)*0.475*44/12</f>
        <v>1.821757400624454E-8</v>
      </c>
      <c r="AC92" s="24">
        <f t="shared" si="57"/>
        <v>13.316324687542973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>
        <f>AI92*VLOOKUP('Données projet'!$B$10,Paramètres!$A$1:$I$89,3,0)*VLOOKUP('Données projet'!$B$10,Paramètres!$A$1:$I$89,5,0)</f>
        <v>0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195.80903373714432</v>
      </c>
      <c r="AO92" s="62">
        <f t="shared" si="90"/>
        <v>388.30721786668977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30.712610339336067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3.5032584814279992E-7</v>
      </c>
      <c r="AX92" s="23">
        <f t="shared" si="60"/>
        <v>30.712610689661915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-5.6843418860808015E-14</v>
      </c>
      <c r="BE92" s="14">
        <f>BD92*VLOOKUP('Données projet'!$B$11,Paramètres!$A$1:$I$89,3,0)*VLOOKUP('Données projet'!$B$11,Paramètres!$A$1:$I$89,5,0)</f>
        <v>-5.1431925385259088E-14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366.86025470473652</v>
      </c>
      <c r="BJ92" s="62">
        <f t="shared" si="92"/>
        <v>513.80016421153414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3.290288509071063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3.290288509071063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6.4</v>
      </c>
      <c r="BY92" s="13">
        <f>IF('Données projet'!$A$114&gt;35,BY91+BX92-CG91,IF(A92&lt;'Données projet'!$A$114,$BV$205^A92,IF(A92='Données projet'!$A$114,'Données projet'!$B$114,BY91+BX92-CG91)))</f>
        <v>323.59999999999997</v>
      </c>
      <c r="BZ92" s="14">
        <f>BY92*VLOOKUP('Données projet'!$B$12,Paramètres!$A$1:$I$89,3,0)*VLOOKUP('Données projet'!$B$12,Paramètres!$A$1:$I$89,5,0)</f>
        <v>292.79327999999992</v>
      </c>
      <c r="CA92" s="14">
        <f t="shared" si="93"/>
        <v>69.663526761731433</v>
      </c>
      <c r="CB92" s="22">
        <f t="shared" si="64"/>
        <v>631.27893844334869</v>
      </c>
      <c r="CC92" s="62">
        <f t="shared" si="65"/>
        <v>924.61227177668206</v>
      </c>
      <c r="CD92" s="62">
        <f ca="1">AVERAGE(OFFSET($CC$3,0,0,'Données projet'!$E$12+1,1))-AVERAGE(OFFSET($H$3,0,0,'Données projet'!$E$12+1,1))</f>
        <v>438.70522838726322</v>
      </c>
      <c r="CE92" s="62">
        <f t="shared" si="94"/>
        <v>278.21741231699929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6.4</v>
      </c>
      <c r="CT92" s="13">
        <f>IF('Données projet'!$A$140&gt;35,CT91+CS92-DB91,IF(A92&lt;'Données projet'!$A$140,$CQ$205^A92,IF(A92='Données projet'!$A$140,'Données projet'!$B$140,CT91+CS92-DB91)))</f>
        <v>323.59999999999997</v>
      </c>
      <c r="CU92" s="18">
        <f>CT92*VLOOKUP('Données projet'!$B$13,Paramètres!$A$1:$I$89,3,0)*VLOOKUP('Données projet'!$B$13,Paramètres!$A$1:$I$89,5,0)</f>
        <v>328.13039999999995</v>
      </c>
      <c r="CV92" s="14">
        <f t="shared" si="95"/>
        <v>77.042563313388285</v>
      </c>
      <c r="CW92" s="22">
        <f t="shared" si="67"/>
        <v>705.67624443748446</v>
      </c>
      <c r="CX92" s="62">
        <f t="shared" si="68"/>
        <v>999.00957777081771</v>
      </c>
      <c r="CY92" s="62">
        <f ca="1">AVERAGE(OFFSET($CX$3,0,0,'Données projet'!$E$13+1,1))-AVERAGE(OFFSET($H$3,0,0,'Données projet'!$E$13+1,1))</f>
        <v>486.63673936259465</v>
      </c>
      <c r="CZ92" s="62">
        <f t="shared" si="96"/>
        <v>306.61893266146666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-3.4106051316484809E-13</v>
      </c>
      <c r="O93" s="14">
        <f>N93*VLOOKUP('Données projet'!$B$9,Paramètres!$A$1:$I$89,3,0)*VLOOKUP('Données projet'!$B$9,Paramètres!$A$1:$I$89,5,0)</f>
        <v>-1.9065282685915009E-13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555.15881087162279</v>
      </c>
      <c r="T93" s="62">
        <f t="shared" si="88"/>
        <v>668.20427590250733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8.7335197913524922</v>
      </c>
      <c r="AA93" s="23">
        <f>EXP(-LN(2)/25)*AA92+(1-EXP(-LN(2)/25))/(LN(2)/25)*Calculateur!V93*Calculateur!X93*VLOOKUP('Données projet'!$B$9,Paramètres!$A$1:$I$89,3,0)*0.475*44/12</f>
        <v>4.2875801413656172</v>
      </c>
      <c r="AB93" s="23">
        <f>EXP(-LN(2)/2)*AB92+(1-EXP(-LN(2)/2))/(LN(2)/2)*V93*Y93*VLOOKUP('Données projet'!$B$9,Paramètres!$A$1:$I$89,3,0)*0.475*44/12</f>
        <v>1.2881770116583294E-8</v>
      </c>
      <c r="AC93" s="24">
        <f t="shared" si="57"/>
        <v>13.021099945599879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>
        <f>AI93*VLOOKUP('Données projet'!$B$10,Paramètres!$A$1:$I$89,3,0)*VLOOKUP('Données projet'!$B$10,Paramètres!$A$1:$I$89,5,0)</f>
        <v>0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195.80903373714432</v>
      </c>
      <c r="AO93" s="62">
        <f t="shared" si="90"/>
        <v>388.30721786668977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30.110354783424278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2.477177828467025E-7</v>
      </c>
      <c r="AX93" s="23">
        <f t="shared" si="60"/>
        <v>30.11035503114206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-5.6843418860808015E-14</v>
      </c>
      <c r="BE93" s="14">
        <f>BD93*VLOOKUP('Données projet'!$B$11,Paramètres!$A$1:$I$89,3,0)*VLOOKUP('Données projet'!$B$11,Paramètres!$A$1:$I$89,5,0)</f>
        <v>-5.1431925385259088E-14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366.86025470473652</v>
      </c>
      <c r="BJ93" s="62">
        <f t="shared" si="92"/>
        <v>513.80016421153414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3.2257679582860073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3.2257679582860073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330</v>
      </c>
      <c r="BW93" s="13">
        <f>VLOOKUP(A93,'Données projet'!$A$113:$I$133,9,0)</f>
        <v>6.4</v>
      </c>
      <c r="BX93" s="13">
        <f t="array" ref="BX93">INDEX(BW:BW,MIN(IF(ISNUMBER(BW93:BW289),ROW(BW93:BW289),"")))</f>
        <v>6.4</v>
      </c>
      <c r="BY93" s="13">
        <f>IF('Données projet'!$A$114&gt;35,BY92+BX93-CG92,IF(A93&lt;'Données projet'!$A$114,$BV$205^A93,IF(A93='Données projet'!$A$114,'Données projet'!$B$114,BY92+BX93-CG92)))</f>
        <v>329.99999999999994</v>
      </c>
      <c r="BZ93" s="14">
        <f>BY93*VLOOKUP('Données projet'!$B$12,Paramètres!$A$1:$I$89,3,0)*VLOOKUP('Données projet'!$B$12,Paramètres!$A$1:$I$89,5,0)</f>
        <v>298.58399999999995</v>
      </c>
      <c r="CA93" s="14">
        <f t="shared" si="93"/>
        <v>70.879533797607607</v>
      </c>
      <c r="CB93" s="22">
        <f t="shared" si="64"/>
        <v>643.48232136416652</v>
      </c>
      <c r="CC93" s="62">
        <f t="shared" si="65"/>
        <v>936.81565469749989</v>
      </c>
      <c r="CD93" s="62">
        <f ca="1">AVERAGE(OFFSET($CC$3,0,0,'Données projet'!$E$12+1,1))-AVERAGE(OFFSET($H$3,0,0,'Données projet'!$E$12+1,1))</f>
        <v>438.70522838726322</v>
      </c>
      <c r="CE93" s="62">
        <f t="shared" si="94"/>
        <v>278.21741231699929</v>
      </c>
      <c r="CF93" s="16">
        <f>IF(ISNA(VLOOKUP(A93,'Données projet'!$A$113:$I$133,3,0)),0,VLOOKUP(A93,'Données projet'!$A$113:$I$133,3,0))</f>
        <v>15</v>
      </c>
      <c r="CG93" s="16">
        <f>IF(ISNA(VLOOKUP(A93,'Données projet'!$A$113:$I$133,4,0)),0,VLOOKUP(A93,'Données projet'!$A$113:$I$133,4,0))</f>
        <v>28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330</v>
      </c>
      <c r="CR93" s="13">
        <f>VLOOKUP(A93,'Données projet'!$A$139:$I$159,9,0)</f>
        <v>6.4</v>
      </c>
      <c r="CS93" s="13">
        <f t="array" ref="CS93">INDEX(CR:CR,MIN(IF(ISNUMBER(CR93:CR289),ROW(CR93:CR289),"")))</f>
        <v>6.4</v>
      </c>
      <c r="CT93" s="13">
        <f>IF('Données projet'!$A$140&gt;35,CT92+CS93-DB92,IF(A93&lt;'Données projet'!$A$140,$CQ$205^A93,IF(A93='Données projet'!$A$140,'Données projet'!$B$140,CT92+CS93-DB92)))</f>
        <v>329.99999999999994</v>
      </c>
      <c r="CU93" s="18">
        <f>CT93*VLOOKUP('Données projet'!$B$13,Paramètres!$A$1:$I$89,3,0)*VLOOKUP('Données projet'!$B$13,Paramètres!$A$1:$I$89,5,0)</f>
        <v>334.61999999999995</v>
      </c>
      <c r="CV93" s="14">
        <f t="shared" si="95"/>
        <v>78.387374628661505</v>
      </c>
      <c r="CW93" s="22">
        <f t="shared" si="67"/>
        <v>719.32117747825203</v>
      </c>
      <c r="CX93" s="62">
        <f t="shared" si="68"/>
        <v>1012.6545108115854</v>
      </c>
      <c r="CY93" s="62">
        <f ca="1">AVERAGE(OFFSET($CX$3,0,0,'Données projet'!$E$13+1,1))-AVERAGE(OFFSET($H$3,0,0,'Données projet'!$E$13+1,1))</f>
        <v>486.63673936259465</v>
      </c>
      <c r="CZ93" s="62">
        <f t="shared" si="96"/>
        <v>306.61893266146666</v>
      </c>
      <c r="DA93" s="16">
        <f>IF(ISNA(VLOOKUP(A93,'Données projet'!$A$139:$I$159,3,0)),0,VLOOKUP(A93,'Données projet'!$A$139:$I$159,3,0))</f>
        <v>15</v>
      </c>
      <c r="DB93" s="16">
        <f>IF(ISNA(VLOOKUP(A93,'Données projet'!$A$139:$I$159,4,0)),0,VLOOKUP(A93,'Données projet'!$A$139:$I$159,4,0))</f>
        <v>28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-3.4106051316484809E-13</v>
      </c>
      <c r="O94" s="14">
        <f>N94*VLOOKUP('Données projet'!$B$9,Paramètres!$A$1:$I$89,3,0)*VLOOKUP('Données projet'!$B$9,Paramètres!$A$1:$I$89,5,0)</f>
        <v>-1.9065282685915009E-13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555.15881087162279</v>
      </c>
      <c r="T94" s="62">
        <f t="shared" si="88"/>
        <v>668.20427590250733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8.5622607951651535</v>
      </c>
      <c r="AA94" s="23">
        <f>EXP(-LN(2)/25)*AA93+(1-EXP(-LN(2)/25))/(LN(2)/25)*Calculateur!V94*Calculateur!X94*VLOOKUP('Données projet'!$B$9,Paramètres!$A$1:$I$89,3,0)*0.475*44/12</f>
        <v>4.1703360369259341</v>
      </c>
      <c r="AB94" s="23">
        <f>EXP(-LN(2)/2)*AB93+(1-EXP(-LN(2)/2))/(LN(2)/2)*V94*Y94*VLOOKUP('Données projet'!$B$9,Paramètres!$A$1:$I$89,3,0)*0.475*44/12</f>
        <v>9.10878700312227E-9</v>
      </c>
      <c r="AC94" s="24">
        <f t="shared" si="57"/>
        <v>12.732596841199873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>
        <f>AI94*VLOOKUP('Données projet'!$B$10,Paramètres!$A$1:$I$89,3,0)*VLOOKUP('Données projet'!$B$10,Paramètres!$A$1:$I$89,5,0)</f>
        <v>0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195.80903373714432</v>
      </c>
      <c r="AO94" s="62">
        <f t="shared" si="90"/>
        <v>388.30721786668977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29.519909091624303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1.7516292407139996E-7</v>
      </c>
      <c r="AX94" s="23">
        <f t="shared" si="60"/>
        <v>29.519909266787227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-5.6843418860808015E-14</v>
      </c>
      <c r="BE94" s="14">
        <f>BD94*VLOOKUP('Données projet'!$B$11,Paramètres!$A$1:$I$89,3,0)*VLOOKUP('Données projet'!$B$11,Paramètres!$A$1:$I$89,5,0)</f>
        <v>-5.1431925385259088E-14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366.86025470473652</v>
      </c>
      <c r="BJ94" s="62">
        <f t="shared" si="92"/>
        <v>513.80016421153414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3.1625126161481965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3.1625126161481965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6.2</v>
      </c>
      <c r="BY94" s="13">
        <f>IF('Données projet'!$A$114&gt;35,BY93+BX94-CG93,IF(A94&lt;'Données projet'!$A$114,$BV$205^A94,IF(A94='Données projet'!$A$114,'Données projet'!$B$114,BY93+BX94-CG93)))</f>
        <v>308.19999999999993</v>
      </c>
      <c r="BZ94" s="14">
        <f>BY94*VLOOKUP('Données projet'!$B$12,Paramètres!$A$1:$I$89,3,0)*VLOOKUP('Données projet'!$B$12,Paramètres!$A$1:$I$89,5,0)</f>
        <v>278.85935999999992</v>
      </c>
      <c r="CA94" s="14">
        <f t="shared" si="93"/>
        <v>66.725901622172387</v>
      </c>
      <c r="CB94" s="22">
        <f t="shared" si="64"/>
        <v>601.8943306586167</v>
      </c>
      <c r="CC94" s="62">
        <f t="shared" si="65"/>
        <v>895.22766399195007</v>
      </c>
      <c r="CD94" s="62">
        <f ca="1">AVERAGE(OFFSET($CC$3,0,0,'Données projet'!$E$12+1,1))-AVERAGE(OFFSET($H$3,0,0,'Données projet'!$E$12+1,1))</f>
        <v>438.70522838726322</v>
      </c>
      <c r="CE94" s="62">
        <f t="shared" si="94"/>
        <v>278.21741231699929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6.2</v>
      </c>
      <c r="CT94" s="13">
        <f>IF('Données projet'!$A$140&gt;35,CT93+CS94-DB93,IF(A94&lt;'Données projet'!$A$140,$CQ$205^A94,IF(A94='Données projet'!$A$140,'Données projet'!$B$140,CT93+CS94-DB93)))</f>
        <v>308.19999999999993</v>
      </c>
      <c r="CU94" s="18">
        <f>CT94*VLOOKUP('Données projet'!$B$13,Paramètres!$A$1:$I$89,3,0)*VLOOKUP('Données projet'!$B$13,Paramètres!$A$1:$I$89,5,0)</f>
        <v>312.51479999999992</v>
      </c>
      <c r="CV94" s="14">
        <f t="shared" si="95"/>
        <v>73.793773289024969</v>
      </c>
      <c r="CW94" s="22">
        <f t="shared" si="67"/>
        <v>672.82076514505172</v>
      </c>
      <c r="CX94" s="62">
        <f t="shared" si="68"/>
        <v>966.15409847838509</v>
      </c>
      <c r="CY94" s="62">
        <f ca="1">AVERAGE(OFFSET($CX$3,0,0,'Données projet'!$E$13+1,1))-AVERAGE(OFFSET($H$3,0,0,'Données projet'!$E$13+1,1))</f>
        <v>486.63673936259465</v>
      </c>
      <c r="CZ94" s="62">
        <f t="shared" si="96"/>
        <v>306.61893266146666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-3.4106051316484809E-13</v>
      </c>
      <c r="O95" s="14">
        <f>N95*VLOOKUP('Données projet'!$B$9,Paramètres!$A$1:$I$89,3,0)*VLOOKUP('Données projet'!$B$9,Paramètres!$A$1:$I$89,5,0)</f>
        <v>-1.9065282685915009E-13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555.15881087162279</v>
      </c>
      <c r="T95" s="62">
        <f t="shared" si="88"/>
        <v>668.20427590250733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8.3943600834353749</v>
      </c>
      <c r="AA95" s="23">
        <f>EXP(-LN(2)/25)*AA94+(1-EXP(-LN(2)/25))/(LN(2)/25)*Calculateur!V95*Calculateur!X95*VLOOKUP('Données projet'!$B$9,Paramètres!$A$1:$I$89,3,0)*0.475*44/12</f>
        <v>4.0562979786877538</v>
      </c>
      <c r="AB95" s="23">
        <f>EXP(-LN(2)/2)*AB94+(1-EXP(-LN(2)/2))/(LN(2)/2)*V95*Y95*VLOOKUP('Données projet'!$B$9,Paramètres!$A$1:$I$89,3,0)*0.475*44/12</f>
        <v>6.440885058291647E-9</v>
      </c>
      <c r="AC95" s="24">
        <f t="shared" si="57"/>
        <v>12.450658068564014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>
        <f>AI95*VLOOKUP('Données projet'!$B$10,Paramètres!$A$1:$I$89,3,0)*VLOOKUP('Données projet'!$B$10,Paramètres!$A$1:$I$89,5,0)</f>
        <v>0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195.80903373714432</v>
      </c>
      <c r="AO95" s="62">
        <f t="shared" si="90"/>
        <v>388.30721786668977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28.941041679704213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1.2385889142335125E-7</v>
      </c>
      <c r="AX95" s="23">
        <f t="shared" si="60"/>
        <v>28.941041803563106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-5.6843418860808015E-14</v>
      </c>
      <c r="BE95" s="14">
        <f>BD95*VLOOKUP('Données projet'!$B$11,Paramètres!$A$1:$I$89,3,0)*VLOOKUP('Données projet'!$B$11,Paramètres!$A$1:$I$89,5,0)</f>
        <v>-5.1431925385259088E-14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366.86025470473652</v>
      </c>
      <c r="BJ95" s="62">
        <f t="shared" si="92"/>
        <v>513.80016421153414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3.1004976726877591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3.1004976726877591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6.2</v>
      </c>
      <c r="BY95" s="13">
        <f>IF('Données projet'!$A$114&gt;35,BY94+BX95-CG94,IF(A95&lt;'Données projet'!$A$114,$BV$205^A95,IF(A95='Données projet'!$A$114,'Données projet'!$B$114,BY94+BX95-CG94)))</f>
        <v>314.39999999999992</v>
      </c>
      <c r="BZ95" s="14">
        <f>BY95*VLOOKUP('Données projet'!$B$12,Paramètres!$A$1:$I$89,3,0)*VLOOKUP('Données projet'!$B$12,Paramètres!$A$1:$I$89,5,0)</f>
        <v>284.46911999999992</v>
      </c>
      <c r="CA95" s="14">
        <f t="shared" si="93"/>
        <v>67.91059023737904</v>
      </c>
      <c r="CB95" s="22">
        <f t="shared" si="64"/>
        <v>613.72799533010163</v>
      </c>
      <c r="CC95" s="62">
        <f t="shared" si="65"/>
        <v>907.06132866343501</v>
      </c>
      <c r="CD95" s="62">
        <f ca="1">AVERAGE(OFFSET($CC$3,0,0,'Données projet'!$E$12+1,1))-AVERAGE(OFFSET($H$3,0,0,'Données projet'!$E$12+1,1))</f>
        <v>438.70522838726322</v>
      </c>
      <c r="CE95" s="62">
        <f t="shared" si="94"/>
        <v>278.21741231699929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6.2</v>
      </c>
      <c r="CT95" s="13">
        <f>IF('Données projet'!$A$140&gt;35,CT94+CS95-DB94,IF(A95&lt;'Données projet'!$A$140,$CQ$205^A95,IF(A95='Données projet'!$A$140,'Données projet'!$B$140,CT94+CS95-DB94)))</f>
        <v>314.39999999999992</v>
      </c>
      <c r="CU95" s="18">
        <f>CT95*VLOOKUP('Données projet'!$B$13,Paramètres!$A$1:$I$89,3,0)*VLOOKUP('Données projet'!$B$13,Paramètres!$A$1:$I$89,5,0)</f>
        <v>318.80159999999995</v>
      </c>
      <c r="CV95" s="14">
        <f t="shared" si="95"/>
        <v>75.103948812522063</v>
      </c>
      <c r="CW95" s="22">
        <f t="shared" si="67"/>
        <v>686.05216418180908</v>
      </c>
      <c r="CX95" s="62">
        <f t="shared" si="68"/>
        <v>979.38549751514233</v>
      </c>
      <c r="CY95" s="62">
        <f ca="1">AVERAGE(OFFSET($CX$3,0,0,'Données projet'!$E$13+1,1))-AVERAGE(OFFSET($H$3,0,0,'Données projet'!$E$13+1,1))</f>
        <v>486.63673936259465</v>
      </c>
      <c r="CZ95" s="62">
        <f t="shared" si="96"/>
        <v>306.61893266146666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-3.4106051316484809E-13</v>
      </c>
      <c r="O96" s="14">
        <f>N96*VLOOKUP('Données projet'!$B$9,Paramètres!$A$1:$I$89,3,0)*VLOOKUP('Données projet'!$B$9,Paramètres!$A$1:$I$89,5,0)</f>
        <v>-1.9065282685915009E-13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555.15881087162279</v>
      </c>
      <c r="T96" s="62">
        <f t="shared" si="88"/>
        <v>668.20427590250733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8.2297518022532952</v>
      </c>
      <c r="AA96" s="23">
        <f>EXP(-LN(2)/25)*AA95+(1-EXP(-LN(2)/25))/(LN(2)/25)*Calculateur!V96*Calculateur!X96*VLOOKUP('Données projet'!$B$9,Paramètres!$A$1:$I$89,3,0)*0.475*44/12</f>
        <v>3.9453782971490972</v>
      </c>
      <c r="AB96" s="23">
        <f>EXP(-LN(2)/2)*AB95+(1-EXP(-LN(2)/2))/(LN(2)/2)*V96*Y96*VLOOKUP('Données projet'!$B$9,Paramètres!$A$1:$I$89,3,0)*0.475*44/12</f>
        <v>4.554393501561135E-9</v>
      </c>
      <c r="AC96" s="24">
        <f t="shared" si="57"/>
        <v>12.175130103956786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>
        <f>AI96*VLOOKUP('Données projet'!$B$10,Paramètres!$A$1:$I$89,3,0)*VLOOKUP('Données projet'!$B$10,Paramètres!$A$1:$I$89,5,0)</f>
        <v>0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195.80903373714432</v>
      </c>
      <c r="AO96" s="62">
        <f t="shared" si="90"/>
        <v>388.30721786668977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28.373525504657618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8.7581462035699981E-8</v>
      </c>
      <c r="AX96" s="23">
        <f t="shared" si="60"/>
        <v>28.37352559223908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-5.6843418860808015E-14</v>
      </c>
      <c r="BE96" s="14">
        <f>BD96*VLOOKUP('Données projet'!$B$11,Paramètres!$A$1:$I$89,3,0)*VLOOKUP('Données projet'!$B$11,Paramètres!$A$1:$I$89,5,0)</f>
        <v>-5.1431925385259088E-14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366.86025470473652</v>
      </c>
      <c r="BJ96" s="62">
        <f t="shared" si="92"/>
        <v>513.80016421153414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3.0396988044432001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3.0396988044432001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6.2</v>
      </c>
      <c r="BY96" s="13">
        <f>IF('Données projet'!$A$114&gt;35,BY95+BX96-CG95,IF(A96&lt;'Données projet'!$A$114,$BV$205^A96,IF(A96='Données projet'!$A$114,'Données projet'!$B$114,BY95+BX96-CG95)))</f>
        <v>320.59999999999991</v>
      </c>
      <c r="BZ96" s="14">
        <f>BY96*VLOOKUP('Données projet'!$B$12,Paramètres!$A$1:$I$89,3,0)*VLOOKUP('Données projet'!$B$12,Paramètres!$A$1:$I$89,5,0)</f>
        <v>290.07887999999991</v>
      </c>
      <c r="CA96" s="14">
        <f t="shared" si="93"/>
        <v>69.092562427360406</v>
      </c>
      <c r="CB96" s="22">
        <f t="shared" si="64"/>
        <v>625.55692889431919</v>
      </c>
      <c r="CC96" s="62">
        <f t="shared" si="65"/>
        <v>918.89026222765256</v>
      </c>
      <c r="CD96" s="62">
        <f ca="1">AVERAGE(OFFSET($CC$3,0,0,'Données projet'!$E$12+1,1))-AVERAGE(OFFSET($H$3,0,0,'Données projet'!$E$12+1,1))</f>
        <v>438.70522838726322</v>
      </c>
      <c r="CE96" s="62">
        <f t="shared" si="94"/>
        <v>278.21741231699929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6.2</v>
      </c>
      <c r="CT96" s="13">
        <f>IF('Données projet'!$A$140&gt;35,CT95+CS96-DB95,IF(A96&lt;'Données projet'!$A$140,$CQ$205^A96,IF(A96='Données projet'!$A$140,'Données projet'!$B$140,CT95+CS96-DB95)))</f>
        <v>320.59999999999991</v>
      </c>
      <c r="CU96" s="18">
        <f>CT96*VLOOKUP('Données projet'!$B$13,Paramètres!$A$1:$I$89,3,0)*VLOOKUP('Données projet'!$B$13,Paramètres!$A$1:$I$89,5,0)</f>
        <v>325.08839999999992</v>
      </c>
      <c r="CV96" s="14">
        <f t="shared" si="95"/>
        <v>76.411120176279823</v>
      </c>
      <c r="CW96" s="22">
        <f t="shared" si="67"/>
        <v>699.27833097368728</v>
      </c>
      <c r="CX96" s="62">
        <f t="shared" si="68"/>
        <v>992.61166430702065</v>
      </c>
      <c r="CY96" s="62">
        <f ca="1">AVERAGE(OFFSET($CX$3,0,0,'Données projet'!$E$13+1,1))-AVERAGE(OFFSET($H$3,0,0,'Données projet'!$E$13+1,1))</f>
        <v>486.63673936259465</v>
      </c>
      <c r="CZ96" s="62">
        <f t="shared" si="96"/>
        <v>306.61893266146666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-3.4106051316484809E-13</v>
      </c>
      <c r="O97" s="14">
        <f>N97*VLOOKUP('Données projet'!$B$9,Paramètres!$A$1:$I$89,3,0)*VLOOKUP('Données projet'!$B$9,Paramètres!$A$1:$I$89,5,0)</f>
        <v>-1.9065282685915009E-13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555.15881087162279</v>
      </c>
      <c r="T97" s="62">
        <f t="shared" si="88"/>
        <v>668.20427590250733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8.0683713890640583</v>
      </c>
      <c r="AA97" s="23">
        <f>EXP(-LN(2)/25)*AA96+(1-EXP(-LN(2)/25))/(LN(2)/25)*Calculateur!V97*Calculateur!X97*VLOOKUP('Données projet'!$B$9,Paramètres!$A$1:$I$89,3,0)*0.475*44/12</f>
        <v>3.8374917201351275</v>
      </c>
      <c r="AB97" s="23">
        <f>EXP(-LN(2)/2)*AB96+(1-EXP(-LN(2)/2))/(LN(2)/2)*V97*Y97*VLOOKUP('Données projet'!$B$9,Paramètres!$A$1:$I$89,3,0)*0.475*44/12</f>
        <v>3.2204425291458235E-9</v>
      </c>
      <c r="AC97" s="24">
        <f t="shared" si="57"/>
        <v>11.905863112419627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>
        <f>AI97*VLOOKUP('Données projet'!$B$10,Paramètres!$A$1:$I$89,3,0)*VLOOKUP('Données projet'!$B$10,Paramètres!$A$1:$I$89,5,0)</f>
        <v>0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195.80903373714432</v>
      </c>
      <c r="AO97" s="62">
        <f t="shared" si="90"/>
        <v>388.30721786668977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27.817137975653001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6.1929445711675624E-8</v>
      </c>
      <c r="AX97" s="23">
        <f t="shared" si="60"/>
        <v>27.817138037582446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-5.6843418860808015E-14</v>
      </c>
      <c r="BE97" s="14">
        <f>BD97*VLOOKUP('Données projet'!$B$11,Paramètres!$A$1:$I$89,3,0)*VLOOKUP('Données projet'!$B$11,Paramètres!$A$1:$I$89,5,0)</f>
        <v>-5.1431925385259088E-14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366.86025470473652</v>
      </c>
      <c r="BJ97" s="62">
        <f t="shared" si="92"/>
        <v>513.80016421153414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2.980092164921269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2.980092164921269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6.2</v>
      </c>
      <c r="BY97" s="13">
        <f>IF('Données projet'!$A$114&gt;35,BY96+BX97-CG96,IF(A97&lt;'Données projet'!$A$114,$BV$205^A97,IF(A97='Données projet'!$A$114,'Données projet'!$B$114,BY96+BX97-CG96)))</f>
        <v>326.7999999999999</v>
      </c>
      <c r="BZ97" s="14">
        <f>BY97*VLOOKUP('Données projet'!$B$12,Paramètres!$A$1:$I$89,3,0)*VLOOKUP('Données projet'!$B$12,Paramètres!$A$1:$I$89,5,0)</f>
        <v>295.68863999999991</v>
      </c>
      <c r="CA97" s="14">
        <f t="shared" si="93"/>
        <v>70.271876780519747</v>
      </c>
      <c r="CB97" s="22">
        <f t="shared" si="64"/>
        <v>637.3812333927383</v>
      </c>
      <c r="CC97" s="62">
        <f t="shared" si="65"/>
        <v>930.71456672607155</v>
      </c>
      <c r="CD97" s="62">
        <f ca="1">AVERAGE(OFFSET($CC$3,0,0,'Données projet'!$E$12+1,1))-AVERAGE(OFFSET($H$3,0,0,'Données projet'!$E$12+1,1))</f>
        <v>438.70522838726322</v>
      </c>
      <c r="CE97" s="62">
        <f t="shared" si="94"/>
        <v>278.21741231699929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6.2</v>
      </c>
      <c r="CT97" s="13">
        <f>IF('Données projet'!$A$140&gt;35,CT96+CS97-DB96,IF(A97&lt;'Données projet'!$A$140,$CQ$205^A97,IF(A97='Données projet'!$A$140,'Données projet'!$B$140,CT96+CS97-DB96)))</f>
        <v>326.7999999999999</v>
      </c>
      <c r="CU97" s="18">
        <f>CT97*VLOOKUP('Données projet'!$B$13,Paramètres!$A$1:$I$89,3,0)*VLOOKUP('Données projet'!$B$13,Paramètres!$A$1:$I$89,5,0)</f>
        <v>331.37519999999989</v>
      </c>
      <c r="CV97" s="14">
        <f t="shared" si="95"/>
        <v>77.715352174616896</v>
      </c>
      <c r="CW97" s="22">
        <f t="shared" si="67"/>
        <v>712.49937837079085</v>
      </c>
      <c r="CX97" s="62">
        <f t="shared" si="68"/>
        <v>1005.8327117041242</v>
      </c>
      <c r="CY97" s="62">
        <f ca="1">AVERAGE(OFFSET($CX$3,0,0,'Données projet'!$E$13+1,1))-AVERAGE(OFFSET($H$3,0,0,'Données projet'!$E$13+1,1))</f>
        <v>486.63673936259465</v>
      </c>
      <c r="CZ97" s="62">
        <f t="shared" si="96"/>
        <v>306.61893266146666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-3.4106051316484809E-13</v>
      </c>
      <c r="O98" s="14">
        <f>N98*VLOOKUP('Données projet'!$B$9,Paramètres!$A$1:$I$89,3,0)*VLOOKUP('Données projet'!$B$9,Paramètres!$A$1:$I$89,5,0)</f>
        <v>-1.9065282685915009E-13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555.15881087162279</v>
      </c>
      <c r="T98" s="62">
        <f t="shared" si="88"/>
        <v>668.20427590250733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7.9101555473451288</v>
      </c>
      <c r="AA98" s="23">
        <f>EXP(-LN(2)/25)*AA97+(1-EXP(-LN(2)/25))/(LN(2)/25)*Calculateur!V98*Calculateur!X98*VLOOKUP('Données projet'!$B$9,Paramètres!$A$1:$I$89,3,0)*0.475*44/12</f>
        <v>3.7325553072431137</v>
      </c>
      <c r="AB98" s="23">
        <f>EXP(-LN(2)/2)*AB97+(1-EXP(-LN(2)/2))/(LN(2)/2)*V98*Y98*VLOOKUP('Données projet'!$B$9,Paramètres!$A$1:$I$89,3,0)*0.475*44/12</f>
        <v>2.2771967507805675E-9</v>
      </c>
      <c r="AC98" s="24">
        <f t="shared" si="57"/>
        <v>11.64271085686544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>
        <f>AI98*VLOOKUP('Données projet'!$B$10,Paramètres!$A$1:$I$89,3,0)*VLOOKUP('Données projet'!$B$10,Paramètres!$A$1:$I$89,5,0)</f>
        <v>0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195.80903373714432</v>
      </c>
      <c r="AO98" s="62">
        <f t="shared" si="90"/>
        <v>388.30721786668977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27.271660866729281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4.379073101784999E-8</v>
      </c>
      <c r="AX98" s="23">
        <f t="shared" si="60"/>
        <v>27.271660910520012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-5.6843418860808015E-14</v>
      </c>
      <c r="BE98" s="14">
        <f>BD98*VLOOKUP('Données projet'!$B$11,Paramètres!$A$1:$I$89,3,0)*VLOOKUP('Données projet'!$B$11,Paramètres!$A$1:$I$89,5,0)</f>
        <v>-5.1431925385259088E-14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366.86025470473652</v>
      </c>
      <c r="BJ98" s="62">
        <f t="shared" si="92"/>
        <v>513.80016421153414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2.9216543752439028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2.9216543752439028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>
        <f>VLOOKUP(A98,'Données projet'!$A$113:$I$133,2,0)</f>
        <v>333</v>
      </c>
      <c r="BW98" s="13">
        <f>VLOOKUP(A98,'Données projet'!$A$113:$I$133,9,0)</f>
        <v>6.2</v>
      </c>
      <c r="BX98" s="13">
        <f t="array" ref="BX98">INDEX(BW:BW,MIN(IF(ISNUMBER(BW98:BW294),ROW(BW98:BW294),"")))</f>
        <v>6.2</v>
      </c>
      <c r="BY98" s="13">
        <f>IF('Données projet'!$A$114&gt;35,BY97+BX98-CG97,IF(A98&lt;'Données projet'!$A$114,$BV$205^A98,IF(A98='Données projet'!$A$114,'Données projet'!$B$114,BY97+BX98-CG97)))</f>
        <v>332.99999999999989</v>
      </c>
      <c r="BZ98" s="14">
        <f>BY98*VLOOKUP('Données projet'!$B$12,Paramètres!$A$1:$I$89,3,0)*VLOOKUP('Données projet'!$B$12,Paramètres!$A$1:$I$89,5,0)</f>
        <v>301.2983999999999</v>
      </c>
      <c r="CA98" s="14">
        <f t="shared" si="93"/>
        <v>71.448589534990518</v>
      </c>
      <c r="CB98" s="22">
        <f t="shared" si="64"/>
        <v>649.20100677344158</v>
      </c>
      <c r="CC98" s="62">
        <f t="shared" si="65"/>
        <v>942.53434010677483</v>
      </c>
      <c r="CD98" s="62">
        <f ca="1">AVERAGE(OFFSET($CC$3,0,0,'Données projet'!$E$12+1,1))-AVERAGE(OFFSET($H$3,0,0,'Données projet'!$E$12+1,1))</f>
        <v>438.70522838726322</v>
      </c>
      <c r="CE98" s="62">
        <f t="shared" si="94"/>
        <v>278.21741231699929</v>
      </c>
      <c r="CF98" s="16">
        <f>IF(ISNA(VLOOKUP(A98,'Données projet'!$A$113:$I$133,3,0)),0,VLOOKUP(A98,'Données projet'!$A$113:$I$133,3,0))</f>
        <v>16</v>
      </c>
      <c r="CG98" s="16">
        <f>IF(ISNA(VLOOKUP(A98,'Données projet'!$A$113:$I$133,4,0)),0,VLOOKUP(A98,'Données projet'!$A$113:$I$133,4,0))</f>
        <v>28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>
        <f>VLOOKUP(A98,'Données projet'!$A$139:$I$159,2,0)</f>
        <v>333</v>
      </c>
      <c r="CR98" s="13">
        <f>VLOOKUP(A98,'Données projet'!$A$139:$I$159,9,0)</f>
        <v>6.2</v>
      </c>
      <c r="CS98" s="13">
        <f t="array" ref="CS98">INDEX(CR:CR,MIN(IF(ISNUMBER(CR98:CR294),ROW(CR98:CR294),"")))</f>
        <v>6.2</v>
      </c>
      <c r="CT98" s="13">
        <f>IF('Données projet'!$A$140&gt;35,CT97+CS98-DB97,IF(A98&lt;'Données projet'!$A$140,$CQ$205^A98,IF(A98='Données projet'!$A$140,'Données projet'!$B$140,CT97+CS98-DB97)))</f>
        <v>332.99999999999989</v>
      </c>
      <c r="CU98" s="18">
        <f>CT98*VLOOKUP('Données projet'!$B$13,Paramètres!$A$1:$I$89,3,0)*VLOOKUP('Données projet'!$B$13,Paramètres!$A$1:$I$89,5,0)</f>
        <v>337.66199999999992</v>
      </c>
      <c r="CV98" s="14">
        <f t="shared" si="95"/>
        <v>79.016707002632685</v>
      </c>
      <c r="CW98" s="22">
        <f t="shared" si="67"/>
        <v>725.71541469625174</v>
      </c>
      <c r="CX98" s="62">
        <f t="shared" si="68"/>
        <v>1019.0487480295851</v>
      </c>
      <c r="CY98" s="62">
        <f ca="1">AVERAGE(OFFSET($CX$3,0,0,'Données projet'!$E$13+1,1))-AVERAGE(OFFSET($H$3,0,0,'Données projet'!$E$13+1,1))</f>
        <v>486.63673936259465</v>
      </c>
      <c r="CZ98" s="62">
        <f t="shared" si="96"/>
        <v>306.61893266146666</v>
      </c>
      <c r="DA98" s="16">
        <f>IF(ISNA(VLOOKUP(A98,'Données projet'!$A$139:$I$159,3,0)),0,VLOOKUP(A98,'Données projet'!$A$139:$I$159,3,0))</f>
        <v>16</v>
      </c>
      <c r="DB98" s="16">
        <f>IF(ISNA(VLOOKUP(A98,'Données projet'!$A$139:$I$159,4,0)),0,VLOOKUP(A98,'Données projet'!$A$139:$I$159,4,0))</f>
        <v>28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-3.4106051316484809E-13</v>
      </c>
      <c r="O99" s="14">
        <f>N99*VLOOKUP('Données projet'!$B$9,Paramètres!$A$1:$I$89,3,0)*VLOOKUP('Données projet'!$B$9,Paramètres!$A$1:$I$89,5,0)</f>
        <v>-1.9065282685915009E-13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555.15881087162279</v>
      </c>
      <c r="T99" s="62">
        <f t="shared" si="88"/>
        <v>668.20427590250733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7.7550422217801733</v>
      </c>
      <c r="AA99" s="23">
        <f>EXP(-LN(2)/25)*AA98+(1-EXP(-LN(2)/25))/(LN(2)/25)*Calculateur!V99*Calculateur!X99*VLOOKUP('Données projet'!$B$9,Paramètres!$A$1:$I$89,3,0)*0.475*44/12</f>
        <v>3.6304883860799979</v>
      </c>
      <c r="AB99" s="23">
        <f>EXP(-LN(2)/2)*AB98+(1-EXP(-LN(2)/2))/(LN(2)/2)*V99*Y99*VLOOKUP('Données projet'!$B$9,Paramètres!$A$1:$I$89,3,0)*0.475*44/12</f>
        <v>1.6102212645729118E-9</v>
      </c>
      <c r="AC99" s="24">
        <f t="shared" si="57"/>
        <v>11.385530609470393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>
        <f>AI99*VLOOKUP('Données projet'!$B$10,Paramètres!$A$1:$I$89,3,0)*VLOOKUP('Données projet'!$B$10,Paramètres!$A$1:$I$89,5,0)</f>
        <v>0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195.80903373714432</v>
      </c>
      <c r="AO99" s="62">
        <f t="shared" si="90"/>
        <v>388.30721786668977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26.736880231203372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3.0964722855837812E-8</v>
      </c>
      <c r="AX99" s="23">
        <f t="shared" si="60"/>
        <v>26.736880262168096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-5.6843418860808015E-14</v>
      </c>
      <c r="BE99" s="14">
        <f>BD99*VLOOKUP('Données projet'!$B$11,Paramètres!$A$1:$I$89,3,0)*VLOOKUP('Données projet'!$B$11,Paramètres!$A$1:$I$89,5,0)</f>
        <v>-5.1431925385259088E-14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366.86025470473652</v>
      </c>
      <c r="BJ99" s="62">
        <f t="shared" si="92"/>
        <v>513.80016421153414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2.8643625149785774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2.8643625149785774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5.6</v>
      </c>
      <c r="BY99" s="13">
        <f>IF('Données projet'!$A$114&gt;35,BY98+BX99-CG98,IF(A99&lt;'Données projet'!$A$114,$BV$205^A99,IF(A99='Données projet'!$A$114,'Données projet'!$B$114,BY98+BX99-CG98)))</f>
        <v>310.59999999999991</v>
      </c>
      <c r="BZ99" s="14">
        <f>BY99*VLOOKUP('Données projet'!$B$12,Paramètres!$A$1:$I$89,3,0)*VLOOKUP('Données projet'!$B$12,Paramètres!$A$1:$I$89,5,0)</f>
        <v>281.03087999999991</v>
      </c>
      <c r="CA99" s="14">
        <f t="shared" si="93"/>
        <v>67.184816842275467</v>
      </c>
      <c r="CB99" s="22">
        <f t="shared" si="64"/>
        <v>606.4756720002963</v>
      </c>
      <c r="CC99" s="62">
        <f t="shared" si="65"/>
        <v>899.80900533362956</v>
      </c>
      <c r="CD99" s="62">
        <f ca="1">AVERAGE(OFFSET($CC$3,0,0,'Données projet'!$E$12+1,1))-AVERAGE(OFFSET($H$3,0,0,'Données projet'!$E$12+1,1))</f>
        <v>438.70522838726322</v>
      </c>
      <c r="CE99" s="62">
        <f t="shared" si="94"/>
        <v>278.21741231699929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5.6</v>
      </c>
      <c r="CT99" s="13">
        <f>IF('Données projet'!$A$140&gt;35,CT98+CS99-DB98,IF(A99&lt;'Données projet'!$A$140,$CQ$205^A99,IF(A99='Données projet'!$A$140,'Données projet'!$B$140,CT98+CS99-DB98)))</f>
        <v>310.59999999999991</v>
      </c>
      <c r="CU99" s="18">
        <f>CT99*VLOOKUP('Données projet'!$B$13,Paramètres!$A$1:$I$89,3,0)*VLOOKUP('Données projet'!$B$13,Paramètres!$A$1:$I$89,5,0)</f>
        <v>314.94839999999994</v>
      </c>
      <c r="CV99" s="14">
        <f t="shared" si="95"/>
        <v>74.301298626081149</v>
      </c>
      <c r="CW99" s="22">
        <f t="shared" si="67"/>
        <v>677.94322510709128</v>
      </c>
      <c r="CX99" s="62">
        <f t="shared" si="68"/>
        <v>971.27655844042465</v>
      </c>
      <c r="CY99" s="62">
        <f ca="1">AVERAGE(OFFSET($CX$3,0,0,'Données projet'!$E$13+1,1))-AVERAGE(OFFSET($H$3,0,0,'Données projet'!$E$13+1,1))</f>
        <v>486.63673936259465</v>
      </c>
      <c r="CZ99" s="62">
        <f t="shared" si="96"/>
        <v>306.61893266146666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-3.4106051316484809E-13</v>
      </c>
      <c r="O100" s="14">
        <f>N100*VLOOKUP('Données projet'!$B$9,Paramètres!$A$1:$I$89,3,0)*VLOOKUP('Données projet'!$B$9,Paramètres!$A$1:$I$89,5,0)</f>
        <v>-1.9065282685915009E-13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555.15881087162279</v>
      </c>
      <c r="T100" s="62">
        <f t="shared" si="88"/>
        <v>668.20427590250733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7.6029705739197597</v>
      </c>
      <c r="AA100" s="23">
        <f>EXP(-LN(2)/25)*AA99+(1-EXP(-LN(2)/25))/(LN(2)/25)*Calculateur!V100*Calculateur!X100*VLOOKUP('Données projet'!$B$9,Paramètres!$A$1:$I$89,3,0)*0.475*44/12</f>
        <v>3.5312124902435538</v>
      </c>
      <c r="AB100" s="23">
        <f>EXP(-LN(2)/2)*AB99+(1-EXP(-LN(2)/2))/(LN(2)/2)*V100*Y100*VLOOKUP('Données projet'!$B$9,Paramètres!$A$1:$I$89,3,0)*0.475*44/12</f>
        <v>1.1385983753902837E-9</v>
      </c>
      <c r="AC100" s="24">
        <f t="shared" si="57"/>
        <v>11.134183065301912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>
        <f>AI100*VLOOKUP('Données projet'!$B$10,Paramètres!$A$1:$I$89,3,0)*VLOOKUP('Données projet'!$B$10,Paramètres!$A$1:$I$89,5,0)</f>
        <v>0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195.80903373714432</v>
      </c>
      <c r="AO100" s="62">
        <f t="shared" si="90"/>
        <v>388.30721786668977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26.212586317756145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2.1895365508924995E-8</v>
      </c>
      <c r="AX100" s="23">
        <f t="shared" si="60"/>
        <v>26.212586339651509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-5.6843418860808015E-14</v>
      </c>
      <c r="BE100" s="14">
        <f>BD100*VLOOKUP('Données projet'!$B$11,Paramètres!$A$1:$I$89,3,0)*VLOOKUP('Données projet'!$B$11,Paramètres!$A$1:$I$89,5,0)</f>
        <v>-5.1431925385259088E-14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366.86025470473652</v>
      </c>
      <c r="BJ100" s="62">
        <f t="shared" si="92"/>
        <v>513.80016421153414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2.8081941131484709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2.8081941131484709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5.6</v>
      </c>
      <c r="BY100" s="13">
        <f>IF('Données projet'!$A$114&gt;35,BY99+BX100-CG99,IF(A100&lt;'Données projet'!$A$114,$BV$205^A100,IF(A100='Données projet'!$A$114,'Données projet'!$B$114,BY99+BX100-CG99)))</f>
        <v>316.19999999999993</v>
      </c>
      <c r="BZ100" s="14">
        <f>BY100*VLOOKUP('Données projet'!$B$12,Paramètres!$A$1:$I$89,3,0)*VLOOKUP('Données projet'!$B$12,Paramètres!$A$1:$I$89,5,0)</f>
        <v>286.09775999999994</v>
      </c>
      <c r="CA100" s="14">
        <f t="shared" si="93"/>
        <v>68.254020651723678</v>
      </c>
      <c r="CB100" s="22">
        <f t="shared" si="64"/>
        <v>617.16268463508527</v>
      </c>
      <c r="CC100" s="62">
        <f t="shared" si="65"/>
        <v>910.49601796841853</v>
      </c>
      <c r="CD100" s="62">
        <f ca="1">AVERAGE(OFFSET($CC$3,0,0,'Données projet'!$E$12+1,1))-AVERAGE(OFFSET($H$3,0,0,'Données projet'!$E$12+1,1))</f>
        <v>438.70522838726322</v>
      </c>
      <c r="CE100" s="62">
        <f t="shared" si="94"/>
        <v>278.21741231699929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5.6</v>
      </c>
      <c r="CT100" s="13">
        <f>IF('Données projet'!$A$140&gt;35,CT99+CS100-DB99,IF(A100&lt;'Données projet'!$A$140,$CQ$205^A100,IF(A100='Données projet'!$A$140,'Données projet'!$B$140,CT99+CS100-DB99)))</f>
        <v>316.19999999999993</v>
      </c>
      <c r="CU100" s="18">
        <f>CT100*VLOOKUP('Données projet'!$B$13,Paramètres!$A$1:$I$89,3,0)*VLOOKUP('Données projet'!$B$13,Paramètres!$A$1:$I$89,5,0)</f>
        <v>320.62679999999995</v>
      </c>
      <c r="CV100" s="14">
        <f t="shared" si="95"/>
        <v>75.483756735990909</v>
      </c>
      <c r="CW100" s="22">
        <f t="shared" si="67"/>
        <v>689.89255298185071</v>
      </c>
      <c r="CX100" s="62">
        <f t="shared" si="68"/>
        <v>983.22588631518397</v>
      </c>
      <c r="CY100" s="62">
        <f ca="1">AVERAGE(OFFSET($CX$3,0,0,'Données projet'!$E$13+1,1))-AVERAGE(OFFSET($H$3,0,0,'Données projet'!$E$13+1,1))</f>
        <v>486.63673936259465</v>
      </c>
      <c r="CZ100" s="62">
        <f t="shared" si="96"/>
        <v>306.61893266146666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-3.4106051316484809E-13</v>
      </c>
      <c r="O101" s="14">
        <f>N101*VLOOKUP('Données projet'!$B$9,Paramètres!$A$1:$I$89,3,0)*VLOOKUP('Données projet'!$B$9,Paramètres!$A$1:$I$89,5,0)</f>
        <v>-1.9065282685915009E-13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555.15881087162279</v>
      </c>
      <c r="T101" s="62">
        <f t="shared" si="88"/>
        <v>668.20427590250733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7.4538809583193428</v>
      </c>
      <c r="AA101" s="23">
        <f>EXP(-LN(2)/25)*AA100+(1-EXP(-LN(2)/25))/(LN(2)/25)*Calculateur!V101*Calculateur!X101*VLOOKUP('Données projet'!$B$9,Paramètres!$A$1:$I$89,3,0)*0.475*44/12</f>
        <v>3.4346512989994498</v>
      </c>
      <c r="AB101" s="23">
        <f>EXP(-LN(2)/2)*AB100+(1-EXP(-LN(2)/2))/(LN(2)/2)*V101*Y101*VLOOKUP('Données projet'!$B$9,Paramètres!$A$1:$I$89,3,0)*0.475*44/12</f>
        <v>8.0511063228645588E-10</v>
      </c>
      <c r="AC101" s="24">
        <f t="shared" si="57"/>
        <v>10.888532258123904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>
        <f>AI101*VLOOKUP('Données projet'!$B$10,Paramètres!$A$1:$I$89,3,0)*VLOOKUP('Données projet'!$B$10,Paramètres!$A$1:$I$89,5,0)</f>
        <v>0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195.80903373714432</v>
      </c>
      <c r="AO101" s="62">
        <f t="shared" si="90"/>
        <v>388.30721786668977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25.698573488163905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1.5482361427918906E-8</v>
      </c>
      <c r="AX101" s="23">
        <f t="shared" si="60"/>
        <v>25.698573503646266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-5.6843418860808015E-14</v>
      </c>
      <c r="BE101" s="14">
        <f>BD101*VLOOKUP('Données projet'!$B$11,Paramètres!$A$1:$I$89,3,0)*VLOOKUP('Données projet'!$B$11,Paramètres!$A$1:$I$89,5,0)</f>
        <v>-5.1431925385259088E-14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366.86025470473652</v>
      </c>
      <c r="BJ101" s="62">
        <f t="shared" si="92"/>
        <v>513.80016421153414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2.7531271394189107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2.7531271394189107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5.6</v>
      </c>
      <c r="BY101" s="13">
        <f>IF('Données projet'!$A$114&gt;35,BY100+BX101-CG100,IF(A101&lt;'Données projet'!$A$114,$BV$205^A101,IF(A101='Données projet'!$A$114,'Données projet'!$B$114,BY100+BX101-CG100)))</f>
        <v>321.79999999999995</v>
      </c>
      <c r="BZ101" s="14">
        <f>BY101*VLOOKUP('Données projet'!$B$12,Paramètres!$A$1:$I$89,3,0)*VLOOKUP('Données projet'!$B$12,Paramètres!$A$1:$I$89,5,0)</f>
        <v>291.16463999999991</v>
      </c>
      <c r="CA101" s="14">
        <f t="shared" si="93"/>
        <v>69.321022467464644</v>
      </c>
      <c r="CB101" s="22">
        <f t="shared" si="64"/>
        <v>627.84586213083401</v>
      </c>
      <c r="CC101" s="62">
        <f t="shared" si="65"/>
        <v>921.17919546416738</v>
      </c>
      <c r="CD101" s="62">
        <f ca="1">AVERAGE(OFFSET($CC$3,0,0,'Données projet'!$E$12+1,1))-AVERAGE(OFFSET($H$3,0,0,'Données projet'!$E$12+1,1))</f>
        <v>438.70522838726322</v>
      </c>
      <c r="CE101" s="62">
        <f t="shared" si="94"/>
        <v>278.21741231699929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5.6</v>
      </c>
      <c r="CT101" s="13">
        <f>IF('Données projet'!$A$140&gt;35,CT100+CS101-DB100,IF(A101&lt;'Données projet'!$A$140,$CQ$205^A101,IF(A101='Données projet'!$A$140,'Données projet'!$B$140,CT100+CS101-DB100)))</f>
        <v>321.79999999999995</v>
      </c>
      <c r="CU101" s="18">
        <f>CT101*VLOOKUP('Données projet'!$B$13,Paramètres!$A$1:$I$89,3,0)*VLOOKUP('Données projet'!$B$13,Paramètres!$A$1:$I$89,5,0)</f>
        <v>326.30520000000001</v>
      </c>
      <c r="CV101" s="14">
        <f t="shared" si="95"/>
        <v>76.663779608302349</v>
      </c>
      <c r="CW101" s="22">
        <f t="shared" si="67"/>
        <v>701.83763948445983</v>
      </c>
      <c r="CX101" s="62">
        <f t="shared" si="68"/>
        <v>995.1709728177932</v>
      </c>
      <c r="CY101" s="62">
        <f ca="1">AVERAGE(OFFSET($CX$3,0,0,'Données projet'!$E$13+1,1))-AVERAGE(OFFSET($H$3,0,0,'Données projet'!$E$13+1,1))</f>
        <v>486.63673936259465</v>
      </c>
      <c r="CZ101" s="62">
        <f t="shared" si="96"/>
        <v>306.61893266146666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-3.4106051316484809E-13</v>
      </c>
      <c r="O102" s="14">
        <f>N102*VLOOKUP('Données projet'!$B$9,Paramètres!$A$1:$I$89,3,0)*VLOOKUP('Données projet'!$B$9,Paramètres!$A$1:$I$89,5,0)</f>
        <v>-1.9065282685915009E-13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555.15881087162279</v>
      </c>
      <c r="T102" s="62">
        <f t="shared" si="88"/>
        <v>668.20427590250733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7.3077148991451635</v>
      </c>
      <c r="AA102" s="23">
        <f>EXP(-LN(2)/25)*AA101+(1-EXP(-LN(2)/25))/(LN(2)/25)*Calculateur!V102*Calculateur!X102*VLOOKUP('Données projet'!$B$9,Paramètres!$A$1:$I$89,3,0)*0.475*44/12</f>
        <v>3.3407305786078481</v>
      </c>
      <c r="AB102" s="23">
        <f>EXP(-LN(2)/2)*AB101+(1-EXP(-LN(2)/2))/(LN(2)/2)*V102*Y102*VLOOKUP('Données projet'!$B$9,Paramètres!$A$1:$I$89,3,0)*0.475*44/12</f>
        <v>5.6929918769514187E-10</v>
      </c>
      <c r="AC102" s="24">
        <f t="shared" si="57"/>
        <v>10.64844547832231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>
        <f>AI102*VLOOKUP('Données projet'!$B$10,Paramètres!$A$1:$I$89,3,0)*VLOOKUP('Données projet'!$B$10,Paramètres!$A$1:$I$89,5,0)</f>
        <v>0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195.80903373714432</v>
      </c>
      <c r="AO102" s="62">
        <f t="shared" si="90"/>
        <v>388.30721786668977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25.194640136643102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1.0947682754462498E-8</v>
      </c>
      <c r="AX102" s="23">
        <f t="shared" si="60"/>
        <v>25.194640147590786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-5.6843418860808015E-14</v>
      </c>
      <c r="BE102" s="14">
        <f>BD102*VLOOKUP('Données projet'!$B$11,Paramètres!$A$1:$I$89,3,0)*VLOOKUP('Données projet'!$B$11,Paramètres!$A$1:$I$89,5,0)</f>
        <v>-5.1431925385259088E-14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366.86025470473652</v>
      </c>
      <c r="BJ102" s="62">
        <f t="shared" si="92"/>
        <v>513.80016421153414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2.6991399954566497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2.6991399954566497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5.6</v>
      </c>
      <c r="BY102" s="13">
        <f>IF('Données projet'!$A$114&gt;35,BY101+BX102-CG101,IF(A102&lt;'Données projet'!$A$114,$BV$205^A102,IF(A102='Données projet'!$A$114,'Données projet'!$B$114,BY101+BX102-CG101)))</f>
        <v>327.39999999999998</v>
      </c>
      <c r="BZ102" s="14">
        <f>BY102*VLOOKUP('Données projet'!$B$12,Paramètres!$A$1:$I$89,3,0)*VLOOKUP('Données projet'!$B$12,Paramètres!$A$1:$I$89,5,0)</f>
        <v>296.23151999999993</v>
      </c>
      <c r="CA102" s="14">
        <f t="shared" si="93"/>
        <v>70.385865030263986</v>
      </c>
      <c r="CB102" s="22">
        <f t="shared" si="64"/>
        <v>638.52527892770956</v>
      </c>
      <c r="CC102" s="62">
        <f t="shared" si="65"/>
        <v>931.85861226104294</v>
      </c>
      <c r="CD102" s="62">
        <f ca="1">AVERAGE(OFFSET($CC$3,0,0,'Données projet'!$E$12+1,1))-AVERAGE(OFFSET($H$3,0,0,'Données projet'!$E$12+1,1))</f>
        <v>438.70522838726322</v>
      </c>
      <c r="CE102" s="62">
        <f t="shared" si="94"/>
        <v>278.21741231699929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5.6</v>
      </c>
      <c r="CT102" s="13">
        <f>IF('Données projet'!$A$140&gt;35,CT101+CS102-DB101,IF(A102&lt;'Données projet'!$A$140,$CQ$205^A102,IF(A102='Données projet'!$A$140,'Données projet'!$B$140,CT101+CS102-DB101)))</f>
        <v>327.39999999999998</v>
      </c>
      <c r="CU102" s="18">
        <f>CT102*VLOOKUP('Données projet'!$B$13,Paramètres!$A$1:$I$89,3,0)*VLOOKUP('Données projet'!$B$13,Paramètres!$A$1:$I$89,5,0)</f>
        <v>331.98360000000002</v>
      </c>
      <c r="CV102" s="14">
        <f t="shared" si="95"/>
        <v>77.841414511052207</v>
      </c>
      <c r="CW102" s="22">
        <f t="shared" si="67"/>
        <v>713.77856694008267</v>
      </c>
      <c r="CX102" s="62">
        <f t="shared" si="68"/>
        <v>1007.111900273416</v>
      </c>
      <c r="CY102" s="62">
        <f ca="1">AVERAGE(OFFSET($CX$3,0,0,'Données projet'!$E$13+1,1))-AVERAGE(OFFSET($H$3,0,0,'Données projet'!$E$13+1,1))</f>
        <v>486.63673936259465</v>
      </c>
      <c r="CZ102" s="62">
        <f t="shared" si="96"/>
        <v>306.61893266146666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-3.4106051316484809E-13</v>
      </c>
      <c r="O103" s="14">
        <f>N103*VLOOKUP('Données projet'!$B$9,Paramètres!$A$1:$I$89,3,0)*VLOOKUP('Données projet'!$B$9,Paramètres!$A$1:$I$89,5,0)</f>
        <v>-1.9065282685915009E-13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555.15881087162279</v>
      </c>
      <c r="T103" s="62">
        <f t="shared" si="88"/>
        <v>668.20427590250733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7.1644150672388971</v>
      </c>
      <c r="AA103" s="23">
        <f>EXP(-LN(2)/25)*AA102+(1-EXP(-LN(2)/25))/(LN(2)/25)*Calculateur!V103*Calculateur!X103*VLOOKUP('Données projet'!$B$9,Paramètres!$A$1:$I$89,3,0)*0.475*44/12</f>
        <v>3.2493781252544305</v>
      </c>
      <c r="AB103" s="23">
        <f>EXP(-LN(2)/2)*AB102+(1-EXP(-LN(2)/2))/(LN(2)/2)*V103*Y103*VLOOKUP('Données projet'!$B$9,Paramètres!$A$1:$I$89,3,0)*0.475*44/12</f>
        <v>4.0255531614322794E-10</v>
      </c>
      <c r="AC103" s="24">
        <f t="shared" si="57"/>
        <v>10.413793192895882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>
        <f>AI103*VLOOKUP('Données projet'!$B$10,Paramètres!$A$1:$I$89,3,0)*VLOOKUP('Données projet'!$B$10,Paramètres!$A$1:$I$89,5,0)</f>
        <v>0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195.80903373714432</v>
      </c>
      <c r="AO103" s="62">
        <f t="shared" si="90"/>
        <v>388.30721786668977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24.700588610776627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7.741180713959453E-9</v>
      </c>
      <c r="AX103" s="23">
        <f t="shared" si="60"/>
        <v>24.700588618517809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-5.6843418860808015E-14</v>
      </c>
      <c r="BE103" s="14">
        <f>BD103*VLOOKUP('Données projet'!$B$11,Paramètres!$A$1:$I$89,3,0)*VLOOKUP('Données projet'!$B$11,Paramètres!$A$1:$I$89,5,0)</f>
        <v>-5.1431925385259088E-14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366.86025470473652</v>
      </c>
      <c r="BJ103" s="62">
        <f t="shared" si="92"/>
        <v>513.80016421153414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2.6462115064585823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2.6462115064585823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333</v>
      </c>
      <c r="BW103" s="13">
        <f>VLOOKUP(A103,'Données projet'!$A$113:$I$133,9,0)</f>
        <v>5.6</v>
      </c>
      <c r="BX103" s="13">
        <f t="array" ref="BX103">INDEX(BW:BW,MIN(IF(ISNUMBER(BW103:BW299),ROW(BW103:BW299),"")))</f>
        <v>5.6</v>
      </c>
      <c r="BY103" s="13">
        <f>IF('Données projet'!$A$114&gt;35,BY102+BX103-CG102,IF(A103&lt;'Données projet'!$A$114,$BV$205^A103,IF(A103='Données projet'!$A$114,'Données projet'!$B$114,BY102+BX103-CG102)))</f>
        <v>333</v>
      </c>
      <c r="BZ103" s="14">
        <f>BY103*VLOOKUP('Données projet'!$B$12,Paramètres!$A$1:$I$89,3,0)*VLOOKUP('Données projet'!$B$12,Paramètres!$A$1:$I$89,5,0)</f>
        <v>301.29840000000002</v>
      </c>
      <c r="CA103" s="14">
        <f t="shared" si="93"/>
        <v>71.448589534990518</v>
      </c>
      <c r="CB103" s="22">
        <f t="shared" si="64"/>
        <v>649.2010067734418</v>
      </c>
      <c r="CC103" s="62">
        <f t="shared" si="65"/>
        <v>942.53434010677506</v>
      </c>
      <c r="CD103" s="62">
        <f ca="1">AVERAGE(OFFSET($CC$3,0,0,'Données projet'!$E$12+1,1))-AVERAGE(OFFSET($H$3,0,0,'Données projet'!$E$12+1,1))</f>
        <v>438.70522838726322</v>
      </c>
      <c r="CE103" s="62">
        <f t="shared" si="94"/>
        <v>278.21741231699929</v>
      </c>
      <c r="CF103" s="16">
        <f>IF(ISNA(VLOOKUP(A103,'Données projet'!$A$113:$I$133,3,0)),0,VLOOKUP(A103,'Données projet'!$A$113:$I$133,3,0))</f>
        <v>17</v>
      </c>
      <c r="CG103" s="16">
        <f>IF(ISNA(VLOOKUP(A103,'Données projet'!$A$113:$I$133,4,0)),0,VLOOKUP(A103,'Données projet'!$A$113:$I$133,4,0))</f>
        <v>27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333</v>
      </c>
      <c r="CR103" s="13">
        <f>VLOOKUP(A103,'Données projet'!$A$139:$I$159,9,0)</f>
        <v>5.6</v>
      </c>
      <c r="CS103" s="13">
        <f t="array" ref="CS103">INDEX(CR:CR,MIN(IF(ISNUMBER(CR103:CR299),ROW(CR103:CR299),"")))</f>
        <v>5.6</v>
      </c>
      <c r="CT103" s="13">
        <f>IF('Données projet'!$A$140&gt;35,CT102+CS103-DB102,IF(A103&lt;'Données projet'!$A$140,$CQ$205^A103,IF(A103='Données projet'!$A$140,'Données projet'!$B$140,CT102+CS103-DB102)))</f>
        <v>333</v>
      </c>
      <c r="CU103" s="18">
        <f>CT103*VLOOKUP('Données projet'!$B$13,Paramètres!$A$1:$I$89,3,0)*VLOOKUP('Données projet'!$B$13,Paramètres!$A$1:$I$89,5,0)</f>
        <v>337.66200000000003</v>
      </c>
      <c r="CV103" s="14">
        <f t="shared" si="95"/>
        <v>79.016707002632685</v>
      </c>
      <c r="CW103" s="22">
        <f t="shared" si="67"/>
        <v>725.71541469625208</v>
      </c>
      <c r="CX103" s="62">
        <f t="shared" si="68"/>
        <v>1019.0487480295853</v>
      </c>
      <c r="CY103" s="62">
        <f ca="1">AVERAGE(OFFSET($CX$3,0,0,'Données projet'!$E$13+1,1))-AVERAGE(OFFSET($H$3,0,0,'Données projet'!$E$13+1,1))</f>
        <v>486.63673936259465</v>
      </c>
      <c r="CZ103" s="62">
        <f t="shared" si="96"/>
        <v>306.61893266146666</v>
      </c>
      <c r="DA103" s="16">
        <f>IF(ISNA(VLOOKUP(A103,'Données projet'!$A$139:$I$159,3,0)),0,VLOOKUP(A103,'Données projet'!$A$139:$I$159,3,0))</f>
        <v>17</v>
      </c>
      <c r="DB103" s="16">
        <f>IF(ISNA(VLOOKUP(A103,'Données projet'!$A$139:$I$159,4,0)),0,VLOOKUP(A103,'Données projet'!$A$139:$I$159,4,0))</f>
        <v>27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-3.4106051316484809E-13</v>
      </c>
      <c r="O104" s="14">
        <f>N104*VLOOKUP('Données projet'!$B$9,Paramètres!$A$1:$I$89,3,0)*VLOOKUP('Données projet'!$B$9,Paramètres!$A$1:$I$89,5,0)</f>
        <v>-1.9065282685915009E-13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555.15881087162279</v>
      </c>
      <c r="T104" s="62">
        <f t="shared" si="88"/>
        <v>668.20427590250733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7.0239252576320457</v>
      </c>
      <c r="AA104" s="23">
        <f>EXP(-LN(2)/25)*AA103+(1-EXP(-LN(2)/25))/(LN(2)/25)*Calculateur!V104*Calculateur!X104*VLOOKUP('Données projet'!$B$9,Paramètres!$A$1:$I$89,3,0)*0.475*44/12</f>
        <v>3.1605237095419789</v>
      </c>
      <c r="AB104" s="23">
        <f>EXP(-LN(2)/2)*AB103+(1-EXP(-LN(2)/2))/(LN(2)/2)*V104*Y104*VLOOKUP('Données projet'!$B$9,Paramètres!$A$1:$I$89,3,0)*0.475*44/12</f>
        <v>2.8464959384757094E-10</v>
      </c>
      <c r="AC104" s="24">
        <f t="shared" si="57"/>
        <v>10.184448967458673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>
        <f>AI104*VLOOKUP('Données projet'!$B$10,Paramètres!$A$1:$I$89,3,0)*VLOOKUP('Données projet'!$B$10,Paramètres!$A$1:$I$89,5,0)</f>
        <v>0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195.80903373714432</v>
      </c>
      <c r="AO104" s="62">
        <f t="shared" si="90"/>
        <v>388.30721786668977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24.216225133990719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5.4738413772312488E-9</v>
      </c>
      <c r="AX104" s="23">
        <f t="shared" si="60"/>
        <v>24.216225139464559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-5.6843418860808015E-14</v>
      </c>
      <c r="BE104" s="14">
        <f>BD104*VLOOKUP('Données projet'!$B$11,Paramètres!$A$1:$I$89,3,0)*VLOOKUP('Données projet'!$B$11,Paramètres!$A$1:$I$89,5,0)</f>
        <v>-5.1431925385259088E-14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366.86025470473652</v>
      </c>
      <c r="BJ104" s="62">
        <f t="shared" si="92"/>
        <v>513.80016421153414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2.5943209128465763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2.5943209128465763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5.4</v>
      </c>
      <c r="BY104" s="13">
        <f>IF('Données projet'!$A$114&gt;35,BY103+BX104-CG103,IF(A104&lt;'Données projet'!$A$114,$BV$205^A104,IF(A104='Données projet'!$A$114,'Données projet'!$B$114,BY103+BX104-CG103)))</f>
        <v>311.39999999999998</v>
      </c>
      <c r="BZ104" s="14">
        <f>BY104*VLOOKUP('Données projet'!$B$12,Paramètres!$A$1:$I$89,3,0)*VLOOKUP('Données projet'!$B$12,Paramètres!$A$1:$I$89,5,0)</f>
        <v>281.75471999999996</v>
      </c>
      <c r="CA104" s="14">
        <f t="shared" si="93"/>
        <v>67.337696723120317</v>
      </c>
      <c r="CB104" s="22">
        <f t="shared" si="64"/>
        <v>608.00262579276773</v>
      </c>
      <c r="CC104" s="62">
        <f t="shared" si="65"/>
        <v>901.33595912610099</v>
      </c>
      <c r="CD104" s="62">
        <f ca="1">AVERAGE(OFFSET($CC$3,0,0,'Données projet'!$E$12+1,1))-AVERAGE(OFFSET($H$3,0,0,'Données projet'!$E$12+1,1))</f>
        <v>438.70522838726322</v>
      </c>
      <c r="CE104" s="62">
        <f t="shared" si="94"/>
        <v>278.21741231699929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5.4</v>
      </c>
      <c r="CT104" s="13">
        <f>IF('Données projet'!$A$140&gt;35,CT103+CS104-DB103,IF(A104&lt;'Données projet'!$A$140,$CQ$205^A104,IF(A104='Données projet'!$A$140,'Données projet'!$B$140,CT103+CS104-DB103)))</f>
        <v>311.39999999999998</v>
      </c>
      <c r="CU104" s="18">
        <f>CT104*VLOOKUP('Données projet'!$B$13,Paramètres!$A$1:$I$89,3,0)*VLOOKUP('Données projet'!$B$13,Paramètres!$A$1:$I$89,5,0)</f>
        <v>315.75959999999998</v>
      </c>
      <c r="CV104" s="14">
        <f t="shared" si="95"/>
        <v>74.470372149154613</v>
      </c>
      <c r="CW104" s="22">
        <f t="shared" si="67"/>
        <v>679.6505348264443</v>
      </c>
      <c r="CX104" s="62">
        <f t="shared" si="68"/>
        <v>972.98386815977756</v>
      </c>
      <c r="CY104" s="62">
        <f ca="1">AVERAGE(OFFSET($CX$3,0,0,'Données projet'!$E$13+1,1))-AVERAGE(OFFSET($H$3,0,0,'Données projet'!$E$13+1,1))</f>
        <v>486.63673936259465</v>
      </c>
      <c r="CZ104" s="62">
        <f t="shared" si="96"/>
        <v>306.61893266146666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-3.4106051316484809E-13</v>
      </c>
      <c r="O105" s="14">
        <f>N105*VLOOKUP('Données projet'!$B$9,Paramètres!$A$1:$I$89,3,0)*VLOOKUP('Données projet'!$B$9,Paramètres!$A$1:$I$89,5,0)</f>
        <v>-1.9065282685915009E-13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555.15881087162279</v>
      </c>
      <c r="T105" s="62">
        <f t="shared" si="88"/>
        <v>668.20427590250733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6.8861903675012615</v>
      </c>
      <c r="AA105" s="23">
        <f>EXP(-LN(2)/25)*AA104+(1-EXP(-LN(2)/25))/(LN(2)/25)*Calculateur!V105*Calculateur!X105*VLOOKUP('Données projet'!$B$9,Paramètres!$A$1:$I$89,3,0)*0.475*44/12</f>
        <v>3.0740990224998352</v>
      </c>
      <c r="AB105" s="23">
        <f>EXP(-LN(2)/2)*AB104+(1-EXP(-LN(2)/2))/(LN(2)/2)*V105*Y105*VLOOKUP('Données projet'!$B$9,Paramètres!$A$1:$I$89,3,0)*0.475*44/12</f>
        <v>2.0127765807161397E-10</v>
      </c>
      <c r="AC105" s="24">
        <f t="shared" si="57"/>
        <v>9.9602893902023748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>
        <f>AI105*VLOOKUP('Données projet'!$B$10,Paramètres!$A$1:$I$89,3,0)*VLOOKUP('Données projet'!$B$10,Paramètres!$A$1:$I$89,5,0)</f>
        <v>0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195.80903373714432</v>
      </c>
      <c r="AO105" s="62">
        <f t="shared" si="90"/>
        <v>388.30721786668977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23.741359729552034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3.8705903569797265E-9</v>
      </c>
      <c r="AX105" s="23">
        <f t="shared" si="60"/>
        <v>23.741359733422623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-5.6843418860808015E-14</v>
      </c>
      <c r="BE105" s="14">
        <f>BD105*VLOOKUP('Données projet'!$B$11,Paramètres!$A$1:$I$89,3,0)*VLOOKUP('Données projet'!$B$11,Paramètres!$A$1:$I$89,5,0)</f>
        <v>-5.1431925385259088E-14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366.86025470473652</v>
      </c>
      <c r="BJ105" s="62">
        <f t="shared" si="92"/>
        <v>513.80016421153414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2.5434478621251646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2.5434478621251646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5.4</v>
      </c>
      <c r="BY105" s="13">
        <f>IF('Données projet'!$A$114&gt;35,BY104+BX105-CG104,IF(A105&lt;'Données projet'!$A$114,$BV$205^A105,IF(A105='Données projet'!$A$114,'Données projet'!$B$114,BY104+BX105-CG104)))</f>
        <v>316.79999999999995</v>
      </c>
      <c r="BZ105" s="14">
        <f>BY105*VLOOKUP('Données projet'!$B$12,Paramètres!$A$1:$I$89,3,0)*VLOOKUP('Données projet'!$B$12,Paramètres!$A$1:$I$89,5,0)</f>
        <v>286.64063999999996</v>
      </c>
      <c r="CA105" s="14">
        <f t="shared" si="93"/>
        <v>68.368446832003599</v>
      </c>
      <c r="CB105" s="22">
        <f t="shared" si="64"/>
        <v>618.30749289907283</v>
      </c>
      <c r="CC105" s="62">
        <f t="shared" si="65"/>
        <v>911.6408262324062</v>
      </c>
      <c r="CD105" s="62">
        <f ca="1">AVERAGE(OFFSET($CC$3,0,0,'Données projet'!$E$12+1,1))-AVERAGE(OFFSET($H$3,0,0,'Données projet'!$E$12+1,1))</f>
        <v>438.70522838726322</v>
      </c>
      <c r="CE105" s="62">
        <f t="shared" si="94"/>
        <v>278.21741231699929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5.4</v>
      </c>
      <c r="CT105" s="13">
        <f>IF('Données projet'!$A$140&gt;35,CT104+CS105-DB104,IF(A105&lt;'Données projet'!$A$140,$CQ$205^A105,IF(A105='Données projet'!$A$140,'Données projet'!$B$140,CT104+CS105-DB104)))</f>
        <v>316.79999999999995</v>
      </c>
      <c r="CU105" s="18">
        <f>CT105*VLOOKUP('Données projet'!$B$13,Paramètres!$A$1:$I$89,3,0)*VLOOKUP('Données projet'!$B$13,Paramètres!$A$1:$I$89,5,0)</f>
        <v>321.23519999999996</v>
      </c>
      <c r="CV105" s="14">
        <f t="shared" si="95"/>
        <v>75.610303390297929</v>
      </c>
      <c r="CW105" s="22">
        <f t="shared" si="67"/>
        <v>691.17258507143549</v>
      </c>
      <c r="CX105" s="62">
        <f t="shared" si="68"/>
        <v>984.50591840476886</v>
      </c>
      <c r="CY105" s="62">
        <f ca="1">AVERAGE(OFFSET($CX$3,0,0,'Données projet'!$E$13+1,1))-AVERAGE(OFFSET($H$3,0,0,'Données projet'!$E$13+1,1))</f>
        <v>486.63673936259465</v>
      </c>
      <c r="CZ105" s="62">
        <f t="shared" si="96"/>
        <v>306.61893266146666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-3.4106051316484809E-13</v>
      </c>
      <c r="O106" s="14">
        <f>N106*VLOOKUP('Données projet'!$B$9,Paramètres!$A$1:$I$89,3,0)*VLOOKUP('Données projet'!$B$9,Paramètres!$A$1:$I$89,5,0)</f>
        <v>-1.9065282685915009E-13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555.15881087162279</v>
      </c>
      <c r="T106" s="62">
        <f t="shared" si="88"/>
        <v>668.20427590250733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6.7511563745559542</v>
      </c>
      <c r="AA106" s="23">
        <f>EXP(-LN(2)/25)*AA105+(1-EXP(-LN(2)/25))/(LN(2)/25)*Calculateur!V106*Calculateur!X106*VLOOKUP('Données projet'!$B$9,Paramètres!$A$1:$I$89,3,0)*0.475*44/12</f>
        <v>2.9900376230697354</v>
      </c>
      <c r="AB106" s="23">
        <f>EXP(-LN(2)/2)*AB105+(1-EXP(-LN(2)/2))/(LN(2)/2)*V106*Y106*VLOOKUP('Données projet'!$B$9,Paramètres!$A$1:$I$89,3,0)*0.475*44/12</f>
        <v>1.4232479692378547E-10</v>
      </c>
      <c r="AC106" s="24">
        <f t="shared" si="57"/>
        <v>9.7411939977680149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>
        <f>AI106*VLOOKUP('Données projet'!$B$10,Paramètres!$A$1:$I$89,3,0)*VLOOKUP('Données projet'!$B$10,Paramètres!$A$1:$I$89,5,0)</f>
        <v>0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195.80903373714432</v>
      </c>
      <c r="AO106" s="62">
        <f t="shared" si="90"/>
        <v>388.30721786668977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23.275806146055093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2.7369206886156244E-9</v>
      </c>
      <c r="AX106" s="23">
        <f t="shared" si="60"/>
        <v>23.275806148792014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-5.6843418860808015E-14</v>
      </c>
      <c r="BE106" s="14">
        <f>BD106*VLOOKUP('Données projet'!$B$11,Paramètres!$A$1:$I$89,3,0)*VLOOKUP('Données projet'!$B$11,Paramètres!$A$1:$I$89,5,0)</f>
        <v>-5.1431925385259088E-14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366.86025470473652</v>
      </c>
      <c r="BJ106" s="62">
        <f t="shared" si="92"/>
        <v>513.80016421153414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2.4935724008989029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2.4935724008989029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5.4</v>
      </c>
      <c r="BY106" s="13">
        <f>IF('Données projet'!$A$114&gt;35,BY105+BX106-CG105,IF(A106&lt;'Données projet'!$A$114,$BV$205^A106,IF(A106='Données projet'!$A$114,'Données projet'!$B$114,BY105+BX106-CG105)))</f>
        <v>322.19999999999993</v>
      </c>
      <c r="BZ106" s="14">
        <f>BY106*VLOOKUP('Données projet'!$B$12,Paramètres!$A$1:$I$89,3,0)*VLOOKUP('Données projet'!$B$12,Paramètres!$A$1:$I$89,5,0)</f>
        <v>291.5265599999999</v>
      </c>
      <c r="CA106" s="14">
        <f t="shared" si="93"/>
        <v>69.397153761857183</v>
      </c>
      <c r="CB106" s="22">
        <f t="shared" si="64"/>
        <v>628.60880146856778</v>
      </c>
      <c r="CC106" s="62">
        <f t="shared" si="65"/>
        <v>921.94213480190115</v>
      </c>
      <c r="CD106" s="62">
        <f ca="1">AVERAGE(OFFSET($CC$3,0,0,'Données projet'!$E$12+1,1))-AVERAGE(OFFSET($H$3,0,0,'Données projet'!$E$12+1,1))</f>
        <v>438.70522838726322</v>
      </c>
      <c r="CE106" s="62">
        <f t="shared" si="94"/>
        <v>278.21741231699929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5.4</v>
      </c>
      <c r="CT106" s="13">
        <f>IF('Données projet'!$A$140&gt;35,CT105+CS106-DB105,IF(A106&lt;'Données projet'!$A$140,$CQ$205^A106,IF(A106='Données projet'!$A$140,'Données projet'!$B$140,CT105+CS106-DB105)))</f>
        <v>322.19999999999993</v>
      </c>
      <c r="CU106" s="18">
        <f>CT106*VLOOKUP('Données projet'!$B$13,Paramètres!$A$1:$I$89,3,0)*VLOOKUP('Données projet'!$B$13,Paramètres!$A$1:$I$89,5,0)</f>
        <v>326.71079999999995</v>
      </c>
      <c r="CV106" s="14">
        <f t="shared" si="95"/>
        <v>76.747975030799893</v>
      </c>
      <c r="CW106" s="22">
        <f t="shared" si="67"/>
        <v>702.69069984530972</v>
      </c>
      <c r="CX106" s="62">
        <f t="shared" si="68"/>
        <v>996.02403317864309</v>
      </c>
      <c r="CY106" s="62">
        <f ca="1">AVERAGE(OFFSET($CX$3,0,0,'Données projet'!$E$13+1,1))-AVERAGE(OFFSET($H$3,0,0,'Données projet'!$E$13+1,1))</f>
        <v>486.63673936259465</v>
      </c>
      <c r="CZ106" s="62">
        <f t="shared" si="96"/>
        <v>306.61893266146666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-3.4106051316484809E-13</v>
      </c>
      <c r="O107" s="14">
        <f>N107*VLOOKUP('Données projet'!$B$9,Paramètres!$A$1:$I$89,3,0)*VLOOKUP('Données projet'!$B$9,Paramètres!$A$1:$I$89,5,0)</f>
        <v>-1.9065282685915009E-13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555.15881087162279</v>
      </c>
      <c r="T107" s="62">
        <f t="shared" si="88"/>
        <v>668.20427590250733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6.6187703158497015</v>
      </c>
      <c r="AA107" s="23">
        <f>EXP(-LN(2)/25)*AA106+(1-EXP(-LN(2)/25))/(LN(2)/25)*Calculateur!V107*Calculateur!X107*VLOOKUP('Données projet'!$B$9,Paramètres!$A$1:$I$89,3,0)*0.475*44/12</f>
        <v>2.9082748870276487</v>
      </c>
      <c r="AB107" s="23">
        <f>EXP(-LN(2)/2)*AB106+(1-EXP(-LN(2)/2))/(LN(2)/2)*V107*Y107*VLOOKUP('Données projet'!$B$9,Paramètres!$A$1:$I$89,3,0)*0.475*44/12</f>
        <v>1.0063882903580698E-10</v>
      </c>
      <c r="AC107" s="24">
        <f t="shared" si="57"/>
        <v>9.5270452029779893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>
        <f>AI107*VLOOKUP('Données projet'!$B$10,Paramètres!$A$1:$I$89,3,0)*VLOOKUP('Données projet'!$B$10,Paramètres!$A$1:$I$89,5,0)</f>
        <v>0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195.80903373714432</v>
      </c>
      <c r="AO107" s="62">
        <f t="shared" si="90"/>
        <v>388.30721786668977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22.819381784370879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1.9352951784898633E-9</v>
      </c>
      <c r="AX107" s="23">
        <f t="shared" si="60"/>
        <v>22.819381786306174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-5.6843418860808015E-14</v>
      </c>
      <c r="BE107" s="14">
        <f>BD107*VLOOKUP('Données projet'!$B$11,Paramètres!$A$1:$I$89,3,0)*VLOOKUP('Données projet'!$B$11,Paramètres!$A$1:$I$89,5,0)</f>
        <v>-5.1431925385259088E-14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366.86025470473652</v>
      </c>
      <c r="BJ107" s="62">
        <f t="shared" si="92"/>
        <v>513.80016421153414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2.4446749670462609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2.4446749670462609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5.4</v>
      </c>
      <c r="BY107" s="13">
        <f>IF('Données projet'!$A$114&gt;35,BY106+BX107-CG106,IF(A107&lt;'Données projet'!$A$114,$BV$205^A107,IF(A107='Données projet'!$A$114,'Données projet'!$B$114,BY106+BX107-CG106)))</f>
        <v>327.59999999999991</v>
      </c>
      <c r="BZ107" s="14">
        <f>BY107*VLOOKUP('Données projet'!$B$12,Paramètres!$A$1:$I$89,3,0)*VLOOKUP('Données projet'!$B$12,Paramètres!$A$1:$I$89,5,0)</f>
        <v>296.4124799999999</v>
      </c>
      <c r="CA107" s="14">
        <f t="shared" si="93"/>
        <v>70.423855708154704</v>
      </c>
      <c r="CB107" s="22">
        <f t="shared" si="64"/>
        <v>638.90661802503598</v>
      </c>
      <c r="CC107" s="62">
        <f t="shared" si="65"/>
        <v>932.23995135836935</v>
      </c>
      <c r="CD107" s="62">
        <f ca="1">AVERAGE(OFFSET($CC$3,0,0,'Données projet'!$E$12+1,1))-AVERAGE(OFFSET($H$3,0,0,'Données projet'!$E$12+1,1))</f>
        <v>438.70522838726322</v>
      </c>
      <c r="CE107" s="62">
        <f t="shared" si="94"/>
        <v>278.21741231699929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5.4</v>
      </c>
      <c r="CT107" s="13">
        <f>IF('Données projet'!$A$140&gt;35,CT106+CS107-DB106,IF(A107&lt;'Données projet'!$A$140,$CQ$205^A107,IF(A107='Données projet'!$A$140,'Données projet'!$B$140,CT106+CS107-DB106)))</f>
        <v>327.59999999999991</v>
      </c>
      <c r="CU107" s="18">
        <f>CT107*VLOOKUP('Données projet'!$B$13,Paramètres!$A$1:$I$89,3,0)*VLOOKUP('Données projet'!$B$13,Paramètres!$A$1:$I$89,5,0)</f>
        <v>332.18639999999994</v>
      </c>
      <c r="CV107" s="14">
        <f t="shared" si="95"/>
        <v>77.88342931194974</v>
      </c>
      <c r="CW107" s="22">
        <f t="shared" si="67"/>
        <v>714.20495271831226</v>
      </c>
      <c r="CX107" s="62">
        <f t="shared" si="68"/>
        <v>1007.5382860516456</v>
      </c>
      <c r="CY107" s="62">
        <f ca="1">AVERAGE(OFFSET($CX$3,0,0,'Données projet'!$E$13+1,1))-AVERAGE(OFFSET($H$3,0,0,'Données projet'!$E$13+1,1))</f>
        <v>486.63673936259465</v>
      </c>
      <c r="CZ107" s="62">
        <f t="shared" si="96"/>
        <v>306.61893266146666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-3.4106051316484809E-13</v>
      </c>
      <c r="O108" s="14">
        <f>N108*VLOOKUP('Données projet'!$B$9,Paramètres!$A$1:$I$89,3,0)*VLOOKUP('Données projet'!$B$9,Paramètres!$A$1:$I$89,5,0)</f>
        <v>-1.9065282685915009E-13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555.15881087162279</v>
      </c>
      <c r="T108" s="62">
        <f t="shared" si="88"/>
        <v>668.20427590250733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6.4889802670071557</v>
      </c>
      <c r="AA108" s="23">
        <f>EXP(-LN(2)/25)*AA107+(1-EXP(-LN(2)/25))/(LN(2)/25)*Calculateur!V108*Calculateur!X108*VLOOKUP('Données projet'!$B$9,Paramètres!$A$1:$I$89,3,0)*0.475*44/12</f>
        <v>2.8287479573023484</v>
      </c>
      <c r="AB108" s="23">
        <f>EXP(-LN(2)/2)*AB107+(1-EXP(-LN(2)/2))/(LN(2)/2)*V108*Y108*VLOOKUP('Données projet'!$B$9,Paramètres!$A$1:$I$89,3,0)*0.475*44/12</f>
        <v>7.1162398461892734E-11</v>
      </c>
      <c r="AC108" s="24">
        <f t="shared" si="57"/>
        <v>9.3177282243806676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>
        <f>AI108*VLOOKUP('Données projet'!$B$10,Paramètres!$A$1:$I$89,3,0)*VLOOKUP('Données projet'!$B$10,Paramètres!$A$1:$I$89,5,0)</f>
        <v>0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195.80903373714432</v>
      </c>
      <c r="AO108" s="62">
        <f t="shared" si="90"/>
        <v>388.30721786668977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22.371907626027923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1.3684603443078122E-9</v>
      </c>
      <c r="AX108" s="23">
        <f t="shared" si="60"/>
        <v>22.371907627396382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-5.6843418860808015E-14</v>
      </c>
      <c r="BE108" s="14">
        <f>BD108*VLOOKUP('Données projet'!$B$11,Paramètres!$A$1:$I$89,3,0)*VLOOKUP('Données projet'!$B$11,Paramètres!$A$1:$I$89,5,0)</f>
        <v>-5.1431925385259088E-14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366.86025470473652</v>
      </c>
      <c r="BJ108" s="62">
        <f t="shared" si="92"/>
        <v>513.80016421153414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2.3967363820469791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2.3967363820469791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>
        <f>VLOOKUP(A108,'Données projet'!$A$113:$I$133,2,0)</f>
        <v>333</v>
      </c>
      <c r="BW108" s="13">
        <f>VLOOKUP(A108,'Données projet'!$A$113:$I$133,9,0)</f>
        <v>5.4</v>
      </c>
      <c r="BX108" s="13">
        <f t="array" ref="BX108">INDEX(BW:BW,MIN(IF(ISNUMBER(BW108:BW304),ROW(BW108:BW304),"")))</f>
        <v>5.4</v>
      </c>
      <c r="BY108" s="13">
        <f>IF('Données projet'!$A$114&gt;35,BY107+BX108-CG107,IF(A108&lt;'Données projet'!$A$114,$BV$205^A108,IF(A108='Données projet'!$A$114,'Données projet'!$B$114,BY107+BX108-CG107)))</f>
        <v>332.99999999999989</v>
      </c>
      <c r="BZ108" s="14">
        <f>BY108*VLOOKUP('Données projet'!$B$12,Paramètres!$A$1:$I$89,3,0)*VLOOKUP('Données projet'!$B$12,Paramètres!$A$1:$I$89,5,0)</f>
        <v>301.2983999999999</v>
      </c>
      <c r="CA108" s="14">
        <f t="shared" si="93"/>
        <v>71.448589534990518</v>
      </c>
      <c r="CB108" s="22">
        <f t="shared" si="64"/>
        <v>649.20100677344158</v>
      </c>
      <c r="CC108" s="62">
        <f t="shared" si="65"/>
        <v>942.53434010677483</v>
      </c>
      <c r="CD108" s="62">
        <f ca="1">AVERAGE(OFFSET($CC$3,0,0,'Données projet'!$E$12+1,1))-AVERAGE(OFFSET($H$3,0,0,'Données projet'!$E$12+1,1))</f>
        <v>438.70522838726322</v>
      </c>
      <c r="CE108" s="62">
        <f t="shared" si="94"/>
        <v>278.21741231699929</v>
      </c>
      <c r="CF108" s="16">
        <f>IF(ISNA(VLOOKUP(A108,'Données projet'!$A$113:$I$133,3,0)),0,VLOOKUP(A108,'Données projet'!$A$113:$I$133,3,0))</f>
        <v>18</v>
      </c>
      <c r="CG108" s="16">
        <f>IF(ISNA(VLOOKUP(A108,'Données projet'!$A$113:$I$133,4,0)),0,VLOOKUP(A108,'Données projet'!$A$113:$I$133,4,0))</f>
        <v>26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>
        <f>VLOOKUP(A108,'Données projet'!$A$139:$I$159,2,0)</f>
        <v>333</v>
      </c>
      <c r="CR108" s="13">
        <f>VLOOKUP(A108,'Données projet'!$A$139:$I$159,9,0)</f>
        <v>5.4</v>
      </c>
      <c r="CS108" s="13">
        <f t="array" ref="CS108">INDEX(CR:CR,MIN(IF(ISNUMBER(CR108:CR304),ROW(CR108:CR304),"")))</f>
        <v>5.4</v>
      </c>
      <c r="CT108" s="13">
        <f>IF('Données projet'!$A$140&gt;35,CT107+CS108-DB107,IF(A108&lt;'Données projet'!$A$140,$CQ$205^A108,IF(A108='Données projet'!$A$140,'Données projet'!$B$140,CT107+CS108-DB107)))</f>
        <v>332.99999999999989</v>
      </c>
      <c r="CU108" s="18">
        <f>CT108*VLOOKUP('Données projet'!$B$13,Paramètres!$A$1:$I$89,3,0)*VLOOKUP('Données projet'!$B$13,Paramètres!$A$1:$I$89,5,0)</f>
        <v>337.66199999999992</v>
      </c>
      <c r="CV108" s="14">
        <f t="shared" si="95"/>
        <v>79.016707002632685</v>
      </c>
      <c r="CW108" s="22">
        <f t="shared" si="67"/>
        <v>725.71541469625174</v>
      </c>
      <c r="CX108" s="62">
        <f t="shared" si="68"/>
        <v>1019.0487480295851</v>
      </c>
      <c r="CY108" s="62">
        <f ca="1">AVERAGE(OFFSET($CX$3,0,0,'Données projet'!$E$13+1,1))-AVERAGE(OFFSET($H$3,0,0,'Données projet'!$E$13+1,1))</f>
        <v>486.63673936259465</v>
      </c>
      <c r="CZ108" s="62">
        <f t="shared" si="96"/>
        <v>306.61893266146666</v>
      </c>
      <c r="DA108" s="16">
        <f>IF(ISNA(VLOOKUP(A108,'Données projet'!$A$139:$I$159,3,0)),0,VLOOKUP(A108,'Données projet'!$A$139:$I$159,3,0))</f>
        <v>18</v>
      </c>
      <c r="DB108" s="16">
        <f>IF(ISNA(VLOOKUP(A108,'Données projet'!$A$139:$I$159,4,0)),0,VLOOKUP(A108,'Données projet'!$A$139:$I$159,4,0))</f>
        <v>26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-3.4106051316484809E-13</v>
      </c>
      <c r="O109" s="14">
        <f>N109*VLOOKUP('Données projet'!$B$9,Paramètres!$A$1:$I$89,3,0)*VLOOKUP('Données projet'!$B$9,Paramètres!$A$1:$I$89,5,0)</f>
        <v>-1.9065282685915009E-13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555.15881087162279</v>
      </c>
      <c r="T109" s="62">
        <f t="shared" si="88"/>
        <v>668.20427590250733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6.3617353218582995</v>
      </c>
      <c r="AA109" s="23">
        <f>EXP(-LN(2)/25)*AA108+(1-EXP(-LN(2)/25))/(LN(2)/25)*Calculateur!V109*Calculateur!X109*VLOOKUP('Données projet'!$B$9,Paramètres!$A$1:$I$89,3,0)*0.475*44/12</f>
        <v>2.7513956956525258</v>
      </c>
      <c r="AB109" s="23">
        <f>EXP(-LN(2)/2)*AB108+(1-EXP(-LN(2)/2))/(LN(2)/2)*V109*Y109*VLOOKUP('Données projet'!$B$9,Paramètres!$A$1:$I$89,3,0)*0.475*44/12</f>
        <v>5.0319414517903492E-11</v>
      </c>
      <c r="AC109" s="24">
        <f t="shared" si="57"/>
        <v>9.1131310175611446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>
        <f>AI109*VLOOKUP('Données projet'!$B$10,Paramètres!$A$1:$I$89,3,0)*VLOOKUP('Données projet'!$B$10,Paramètres!$A$1:$I$89,5,0)</f>
        <v>0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195.80903373714432</v>
      </c>
      <c r="AO109" s="62">
        <f t="shared" si="90"/>
        <v>388.30721786668977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21.933208162997783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9.6764758924493163E-10</v>
      </c>
      <c r="AX109" s="23">
        <f t="shared" si="60"/>
        <v>21.933208163965432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-5.6843418860808015E-14</v>
      </c>
      <c r="BE109" s="14">
        <f>BD109*VLOOKUP('Données projet'!$B$11,Paramètres!$A$1:$I$89,3,0)*VLOOKUP('Données projet'!$B$11,Paramètres!$A$1:$I$89,5,0)</f>
        <v>-5.1431925385259088E-14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366.86025470473652</v>
      </c>
      <c r="BJ109" s="62">
        <f t="shared" si="92"/>
        <v>513.80016421153414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2.3497378434598839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2.3497378434598839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5</v>
      </c>
      <c r="BY109" s="13">
        <f>IF('Données projet'!$A$114&gt;35,BY108+BX109-CG108,IF(A109&lt;'Données projet'!$A$114,$BV$205^A109,IF(A109='Données projet'!$A$114,'Données projet'!$B$114,BY108+BX109-CG108)))</f>
        <v>311.99999999999989</v>
      </c>
      <c r="BZ109" s="14">
        <f>BY109*VLOOKUP('Données projet'!$B$12,Paramètres!$A$1:$I$89,3,0)*VLOOKUP('Données projet'!$B$12,Paramètres!$A$1:$I$89,5,0)</f>
        <v>282.29759999999987</v>
      </c>
      <c r="CA109" s="14">
        <f t="shared" si="93"/>
        <v>67.452326629470178</v>
      </c>
      <c r="CB109" s="22">
        <f t="shared" si="64"/>
        <v>609.14778887966042</v>
      </c>
      <c r="CC109" s="62">
        <f t="shared" si="65"/>
        <v>902.4811222129938</v>
      </c>
      <c r="CD109" s="62">
        <f ca="1">AVERAGE(OFFSET($CC$3,0,0,'Données projet'!$E$12+1,1))-AVERAGE(OFFSET($H$3,0,0,'Données projet'!$E$12+1,1))</f>
        <v>438.70522838726322</v>
      </c>
      <c r="CE109" s="62">
        <f t="shared" si="94"/>
        <v>278.21741231699929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5</v>
      </c>
      <c r="CT109" s="13">
        <f>IF('Données projet'!$A$140&gt;35,CT108+CS109-DB108,IF(A109&lt;'Données projet'!$A$140,$CQ$205^A109,IF(A109='Données projet'!$A$140,'Données projet'!$B$140,CT108+CS109-DB108)))</f>
        <v>311.99999999999989</v>
      </c>
      <c r="CU109" s="18">
        <f>CT109*VLOOKUP('Données projet'!$B$13,Paramètres!$A$1:$I$89,3,0)*VLOOKUP('Données projet'!$B$13,Paramètres!$A$1:$I$89,5,0)</f>
        <v>316.36799999999988</v>
      </c>
      <c r="CV109" s="14">
        <f t="shared" si="95"/>
        <v>74.597144109003438</v>
      </c>
      <c r="CW109" s="22">
        <f t="shared" si="67"/>
        <v>680.93095932318067</v>
      </c>
      <c r="CX109" s="62">
        <f t="shared" si="68"/>
        <v>974.26429265651404</v>
      </c>
      <c r="CY109" s="62">
        <f ca="1">AVERAGE(OFFSET($CX$3,0,0,'Données projet'!$E$13+1,1))-AVERAGE(OFFSET($H$3,0,0,'Données projet'!$E$13+1,1))</f>
        <v>486.63673936259465</v>
      </c>
      <c r="CZ109" s="62">
        <f t="shared" si="96"/>
        <v>306.61893266146666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-3.4106051316484809E-13</v>
      </c>
      <c r="O110" s="14">
        <f>N110*VLOOKUP('Données projet'!$B$9,Paramètres!$A$1:$I$89,3,0)*VLOOKUP('Données projet'!$B$9,Paramètres!$A$1:$I$89,5,0)</f>
        <v>-1.9065282685915009E-13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555.15881087162279</v>
      </c>
      <c r="T110" s="62">
        <f t="shared" si="88"/>
        <v>668.20427590250733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6.2369855724720589</v>
      </c>
      <c r="AA110" s="23">
        <f>EXP(-LN(2)/25)*AA109+(1-EXP(-LN(2)/25))/(LN(2)/25)*Calculateur!V110*Calculateur!X110*VLOOKUP('Données projet'!$B$9,Paramètres!$A$1:$I$89,3,0)*0.475*44/12</f>
        <v>2.6761586356652964</v>
      </c>
      <c r="AB110" s="23">
        <f>EXP(-LN(2)/2)*AB109+(1-EXP(-LN(2)/2))/(LN(2)/2)*V110*Y110*VLOOKUP('Données projet'!$B$9,Paramètres!$A$1:$I$89,3,0)*0.475*44/12</f>
        <v>3.5581199230946367E-11</v>
      </c>
      <c r="AC110" s="24">
        <f t="shared" si="57"/>
        <v>8.9131442081729357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>
        <f>AI110*VLOOKUP('Données projet'!$B$10,Paramètres!$A$1:$I$89,3,0)*VLOOKUP('Données projet'!$B$10,Paramètres!$A$1:$I$89,5,0)</f>
        <v>0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195.80903373714432</v>
      </c>
      <c r="AO110" s="62">
        <f t="shared" si="90"/>
        <v>388.30721786668977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21.503111328857415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6.842301721539061E-10</v>
      </c>
      <c r="AX110" s="23">
        <f t="shared" si="60"/>
        <v>21.503111329541646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-5.6843418860808015E-14</v>
      </c>
      <c r="BE110" s="14">
        <f>BD110*VLOOKUP('Données projet'!$B$11,Paramètres!$A$1:$I$89,3,0)*VLOOKUP('Données projet'!$B$11,Paramètres!$A$1:$I$89,5,0)</f>
        <v>-5.1431925385259088E-14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366.86025470473652</v>
      </c>
      <c r="BJ110" s="62">
        <f t="shared" si="92"/>
        <v>513.80016421153414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2.3036609175482035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2.3036609175482035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5</v>
      </c>
      <c r="BY110" s="13">
        <f>IF('Données projet'!$A$114&gt;35,BY109+BX110-CG109,IF(A110&lt;'Données projet'!$A$114,$BV$205^A110,IF(A110='Données projet'!$A$114,'Données projet'!$B$114,BY109+BX110-CG109)))</f>
        <v>316.99999999999989</v>
      </c>
      <c r="BZ110" s="14">
        <f>BY110*VLOOKUP('Données projet'!$B$12,Paramètres!$A$1:$I$89,3,0)*VLOOKUP('Données projet'!$B$12,Paramètres!$A$1:$I$89,5,0)</f>
        <v>286.82159999999988</v>
      </c>
      <c r="CA110" s="14">
        <f t="shared" si="93"/>
        <v>68.406583284351413</v>
      </c>
      <c r="CB110" s="22">
        <f t="shared" si="64"/>
        <v>618.68908588691181</v>
      </c>
      <c r="CC110" s="62">
        <f t="shared" si="65"/>
        <v>912.02241922024518</v>
      </c>
      <c r="CD110" s="62">
        <f ca="1">AVERAGE(OFFSET($CC$3,0,0,'Données projet'!$E$12+1,1))-AVERAGE(OFFSET($H$3,0,0,'Données projet'!$E$12+1,1))</f>
        <v>438.70522838726322</v>
      </c>
      <c r="CE110" s="62">
        <f t="shared" si="94"/>
        <v>278.21741231699929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5</v>
      </c>
      <c r="CT110" s="13">
        <f>IF('Données projet'!$A$140&gt;35,CT109+CS110-DB109,IF(A110&lt;'Données projet'!$A$140,$CQ$205^A110,IF(A110='Données projet'!$A$140,'Données projet'!$B$140,CT109+CS110-DB109)))</f>
        <v>316.99999999999989</v>
      </c>
      <c r="CU110" s="18">
        <f>CT110*VLOOKUP('Données projet'!$B$13,Paramètres!$A$1:$I$89,3,0)*VLOOKUP('Données projet'!$B$13,Paramètres!$A$1:$I$89,5,0)</f>
        <v>321.43799999999987</v>
      </c>
      <c r="CV110" s="14">
        <f t="shared" si="95"/>
        <v>75.652479406660177</v>
      </c>
      <c r="CW110" s="22">
        <f t="shared" si="67"/>
        <v>691.59925163326625</v>
      </c>
      <c r="CX110" s="62">
        <f t="shared" si="68"/>
        <v>984.93258496659951</v>
      </c>
      <c r="CY110" s="62">
        <f ca="1">AVERAGE(OFFSET($CX$3,0,0,'Données projet'!$E$13+1,1))-AVERAGE(OFFSET($H$3,0,0,'Données projet'!$E$13+1,1))</f>
        <v>486.63673936259465</v>
      </c>
      <c r="CZ110" s="62">
        <f t="shared" si="96"/>
        <v>306.61893266146666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-3.4106051316484809E-13</v>
      </c>
      <c r="O111" s="14">
        <f>N111*VLOOKUP('Données projet'!$B$9,Paramètres!$A$1:$I$89,3,0)*VLOOKUP('Données projet'!$B$9,Paramètres!$A$1:$I$89,5,0)</f>
        <v>-1.9065282685915009E-13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555.15881087162279</v>
      </c>
      <c r="T111" s="62">
        <f t="shared" si="88"/>
        <v>668.20427590250733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6.1146820895814491</v>
      </c>
      <c r="AA111" s="23">
        <f>EXP(-LN(2)/25)*AA110+(1-EXP(-LN(2)/25))/(LN(2)/25)*Calculateur!V111*Calculateur!X111*VLOOKUP('Données projet'!$B$9,Paramètres!$A$1:$I$89,3,0)*0.475*44/12</f>
        <v>2.6029789370399627</v>
      </c>
      <c r="AB111" s="23">
        <f>EXP(-LN(2)/2)*AB110+(1-EXP(-LN(2)/2))/(LN(2)/2)*V111*Y111*VLOOKUP('Données projet'!$B$9,Paramètres!$A$1:$I$89,3,0)*0.475*44/12</f>
        <v>2.5159707258951746E-11</v>
      </c>
      <c r="AC111" s="24">
        <f t="shared" si="57"/>
        <v>8.7176610266465726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>
        <f>AI111*VLOOKUP('Données projet'!$B$10,Paramètres!$A$1:$I$89,3,0)*VLOOKUP('Données projet'!$B$10,Paramètres!$A$1:$I$89,5,0)</f>
        <v>0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195.80903373714432</v>
      </c>
      <c r="AO111" s="62">
        <f t="shared" si="90"/>
        <v>388.30721786668977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21.081448431301371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4.8382379462246581E-10</v>
      </c>
      <c r="AX111" s="23">
        <f t="shared" si="60"/>
        <v>21.081448431785194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-5.6843418860808015E-14</v>
      </c>
      <c r="BE111" s="14">
        <f>BD111*VLOOKUP('Données projet'!$B$11,Paramètres!$A$1:$I$89,3,0)*VLOOKUP('Données projet'!$B$11,Paramètres!$A$1:$I$89,5,0)</f>
        <v>-5.1431925385259088E-14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366.86025470473652</v>
      </c>
      <c r="BJ111" s="62">
        <f t="shared" si="92"/>
        <v>513.80016421153414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2.2584875320495015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2.2584875320495015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5</v>
      </c>
      <c r="BY111" s="13">
        <f>IF('Données projet'!$A$114&gt;35,BY110+BX111-CG110,IF(A111&lt;'Données projet'!$A$114,$BV$205^A111,IF(A111='Données projet'!$A$114,'Données projet'!$B$114,BY110+BX111-CG110)))</f>
        <v>321.99999999999989</v>
      </c>
      <c r="BZ111" s="14">
        <f>BY111*VLOOKUP('Données projet'!$B$12,Paramètres!$A$1:$I$89,3,0)*VLOOKUP('Données projet'!$B$12,Paramètres!$A$1:$I$89,5,0)</f>
        <v>291.34559999999993</v>
      </c>
      <c r="CA111" s="14">
        <f t="shared" si="93"/>
        <v>69.359089490698707</v>
      </c>
      <c r="CB111" s="22">
        <f t="shared" si="64"/>
        <v>628.22733419630015</v>
      </c>
      <c r="CC111" s="62">
        <f t="shared" si="65"/>
        <v>921.56066752963352</v>
      </c>
      <c r="CD111" s="62">
        <f ca="1">AVERAGE(OFFSET($CC$3,0,0,'Données projet'!$E$12+1,1))-AVERAGE(OFFSET($H$3,0,0,'Données projet'!$E$12+1,1))</f>
        <v>438.70522838726322</v>
      </c>
      <c r="CE111" s="62">
        <f t="shared" si="94"/>
        <v>278.21741231699929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5</v>
      </c>
      <c r="CT111" s="13">
        <f>IF('Données projet'!$A$140&gt;35,CT110+CS111-DB110,IF(A111&lt;'Données projet'!$A$140,$CQ$205^A111,IF(A111='Données projet'!$A$140,'Données projet'!$B$140,CT110+CS111-DB110)))</f>
        <v>321.99999999999989</v>
      </c>
      <c r="CU111" s="18">
        <f>CT111*VLOOKUP('Données projet'!$B$13,Paramètres!$A$1:$I$89,3,0)*VLOOKUP('Données projet'!$B$13,Paramètres!$A$1:$I$89,5,0)</f>
        <v>326.50799999999987</v>
      </c>
      <c r="CV111" s="14">
        <f t="shared" si="95"/>
        <v>76.705878841344258</v>
      </c>
      <c r="CW111" s="22">
        <f t="shared" si="67"/>
        <v>702.26417231534106</v>
      </c>
      <c r="CX111" s="62">
        <f t="shared" si="68"/>
        <v>995.59750564867431</v>
      </c>
      <c r="CY111" s="62">
        <f ca="1">AVERAGE(OFFSET($CX$3,0,0,'Données projet'!$E$13+1,1))-AVERAGE(OFFSET($H$3,0,0,'Données projet'!$E$13+1,1))</f>
        <v>486.63673936259465</v>
      </c>
      <c r="CZ111" s="62">
        <f t="shared" si="96"/>
        <v>306.61893266146666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-3.4106051316484809E-13</v>
      </c>
      <c r="O112" s="14">
        <f>N112*VLOOKUP('Données projet'!$B$9,Paramètres!$A$1:$I$89,3,0)*VLOOKUP('Données projet'!$B$9,Paramètres!$A$1:$I$89,5,0)</f>
        <v>-1.9065282685915009E-13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555.15881087162279</v>
      </c>
      <c r="T112" s="62">
        <f t="shared" si="88"/>
        <v>668.20427590250733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5.9947769033925651</v>
      </c>
      <c r="AA112" s="23">
        <f>EXP(-LN(2)/25)*AA111+(1-EXP(-LN(2)/25))/(LN(2)/25)*Calculateur!V112*Calculateur!X112*VLOOKUP('Données projet'!$B$9,Paramètres!$A$1:$I$89,3,0)*0.475*44/12</f>
        <v>2.5318003411218917</v>
      </c>
      <c r="AB112" s="23">
        <f>EXP(-LN(2)/2)*AB111+(1-EXP(-LN(2)/2))/(LN(2)/2)*V112*Y112*VLOOKUP('Données projet'!$B$9,Paramètres!$A$1:$I$89,3,0)*0.475*44/12</f>
        <v>1.7790599615473184E-11</v>
      </c>
      <c r="AC112" s="24">
        <f t="shared" si="57"/>
        <v>8.5265772445322465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>
        <f>AI112*VLOOKUP('Données projet'!$B$10,Paramètres!$A$1:$I$89,3,0)*VLOOKUP('Données projet'!$B$10,Paramètres!$A$1:$I$89,5,0)</f>
        <v>0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195.80903373714432</v>
      </c>
      <c r="AO112" s="62">
        <f t="shared" si="90"/>
        <v>388.30721786668977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20.668054085977431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3.4211508607695305E-10</v>
      </c>
      <c r="AX112" s="23">
        <f t="shared" si="60"/>
        <v>20.668054086319547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-5.6843418860808015E-14</v>
      </c>
      <c r="BE112" s="14">
        <f>BD112*VLOOKUP('Données projet'!$B$11,Paramètres!$A$1:$I$89,3,0)*VLOOKUP('Données projet'!$B$11,Paramètres!$A$1:$I$89,5,0)</f>
        <v>-5.1431925385259088E-14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366.86025470473652</v>
      </c>
      <c r="BJ112" s="62">
        <f t="shared" si="92"/>
        <v>513.80016421153414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2.2141999690873844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2.2141999690873844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5</v>
      </c>
      <c r="BY112" s="13">
        <f>IF('Données projet'!$A$114&gt;35,BY111+BX112-CG111,IF(A112&lt;'Données projet'!$A$114,$BV$205^A112,IF(A112='Données projet'!$A$114,'Données projet'!$B$114,BY111+BX112-CG111)))</f>
        <v>326.99999999999989</v>
      </c>
      <c r="BZ112" s="14">
        <f>BY112*VLOOKUP('Données projet'!$B$12,Paramètres!$A$1:$I$89,3,0)*VLOOKUP('Données projet'!$B$12,Paramètres!$A$1:$I$89,5,0)</f>
        <v>295.86959999999988</v>
      </c>
      <c r="CA112" s="14">
        <f t="shared" si="93"/>
        <v>70.309875568291218</v>
      </c>
      <c r="CB112" s="22">
        <f t="shared" si="64"/>
        <v>637.76258661477357</v>
      </c>
      <c r="CC112" s="62">
        <f t="shared" si="65"/>
        <v>931.09591994810694</v>
      </c>
      <c r="CD112" s="62">
        <f ca="1">AVERAGE(OFFSET($CC$3,0,0,'Données projet'!$E$12+1,1))-AVERAGE(OFFSET($H$3,0,0,'Données projet'!$E$12+1,1))</f>
        <v>438.70522838726322</v>
      </c>
      <c r="CE112" s="62">
        <f t="shared" si="94"/>
        <v>278.21741231699929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5</v>
      </c>
      <c r="CT112" s="13">
        <f>IF('Données projet'!$A$140&gt;35,CT111+CS112-DB111,IF(A112&lt;'Données projet'!$A$140,$CQ$205^A112,IF(A112='Données projet'!$A$140,'Données projet'!$B$140,CT111+CS112-DB111)))</f>
        <v>326.99999999999989</v>
      </c>
      <c r="CU112" s="18">
        <f>CT112*VLOOKUP('Données projet'!$B$13,Paramètres!$A$1:$I$89,3,0)*VLOOKUP('Données projet'!$B$13,Paramètres!$A$1:$I$89,5,0)</f>
        <v>331.57799999999992</v>
      </c>
      <c r="CV112" s="14">
        <f t="shared" si="95"/>
        <v>77.75737594442586</v>
      </c>
      <c r="CW112" s="22">
        <f t="shared" si="67"/>
        <v>712.92577976987479</v>
      </c>
      <c r="CX112" s="62">
        <f t="shared" si="68"/>
        <v>1006.2591131032082</v>
      </c>
      <c r="CY112" s="62">
        <f ca="1">AVERAGE(OFFSET($CX$3,0,0,'Données projet'!$E$13+1,1))-AVERAGE(OFFSET($H$3,0,0,'Données projet'!$E$13+1,1))</f>
        <v>486.63673936259465</v>
      </c>
      <c r="CZ112" s="62">
        <f t="shared" si="96"/>
        <v>306.61893266146666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-3.4106051316484809E-13</v>
      </c>
      <c r="O113" s="14">
        <f>N113*VLOOKUP('Données projet'!$B$9,Paramètres!$A$1:$I$89,3,0)*VLOOKUP('Données projet'!$B$9,Paramètres!$A$1:$I$89,5,0)</f>
        <v>-1.9065282685915009E-13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555.15881087162279</v>
      </c>
      <c r="T113" s="62">
        <f t="shared" si="88"/>
        <v>668.20427590250733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5.8772229847699036</v>
      </c>
      <c r="AA113" s="23">
        <f>EXP(-LN(2)/25)*AA112+(1-EXP(-LN(2)/25))/(LN(2)/25)*Calculateur!V113*Calculateur!X113*VLOOKUP('Données projet'!$B$9,Paramètres!$A$1:$I$89,3,0)*0.475*44/12</f>
        <v>2.4625681276523199</v>
      </c>
      <c r="AB113" s="23">
        <f>EXP(-LN(2)/2)*AB112+(1-EXP(-LN(2)/2))/(LN(2)/2)*V113*Y113*VLOOKUP('Données projet'!$B$9,Paramètres!$A$1:$I$89,3,0)*0.475*44/12</f>
        <v>1.2579853629475873E-11</v>
      </c>
      <c r="AC113" s="24">
        <f t="shared" si="57"/>
        <v>8.3397911124348028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>
        <f>AI113*VLOOKUP('Données projet'!$B$10,Paramètres!$A$1:$I$89,3,0)*VLOOKUP('Données projet'!$B$10,Paramètres!$A$1:$I$89,5,0)</f>
        <v>0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195.80903373714432</v>
      </c>
      <c r="AO113" s="62">
        <f t="shared" si="90"/>
        <v>388.30721786668977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20.26276615161964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2.4191189731123291E-10</v>
      </c>
      <c r="AX113" s="23">
        <f t="shared" si="60"/>
        <v>20.262766151861552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-5.6843418860808015E-14</v>
      </c>
      <c r="BE113" s="14">
        <f>BD113*VLOOKUP('Données projet'!$B$11,Paramètres!$A$1:$I$89,3,0)*VLOOKUP('Données projet'!$B$11,Paramètres!$A$1:$I$89,5,0)</f>
        <v>-5.1431925385259088E-14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366.86025470473652</v>
      </c>
      <c r="BJ113" s="62">
        <f t="shared" si="92"/>
        <v>513.80016421153414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2.1707808582222081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2.1707808582222081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>
        <f>VLOOKUP(A113,'Données projet'!$A$113:$I$133,2,0)</f>
        <v>332</v>
      </c>
      <c r="BW113" s="13">
        <f>VLOOKUP(A113,'Données projet'!$A$113:$I$133,9,0)</f>
        <v>5</v>
      </c>
      <c r="BX113" s="13">
        <f t="array" ref="BX113">INDEX(BW:BW,MIN(IF(ISNUMBER(BW113:BW309),ROW(BW113:BW309),"")))</f>
        <v>5</v>
      </c>
      <c r="BY113" s="13">
        <f>IF('Données projet'!$A$114&gt;35,BY112+BX113-CG112,IF(A113&lt;'Données projet'!$A$114,$BV$205^A113,IF(A113='Données projet'!$A$114,'Données projet'!$B$114,BY112+BX113-CG112)))</f>
        <v>331.99999999999989</v>
      </c>
      <c r="BZ113" s="14">
        <f>BY113*VLOOKUP('Données projet'!$B$12,Paramètres!$A$1:$I$89,3,0)*VLOOKUP('Données projet'!$B$12,Paramètres!$A$1:$I$89,5,0)</f>
        <v>300.39359999999988</v>
      </c>
      <c r="CA113" s="14">
        <f t="shared" si="93"/>
        <v>71.258970856492667</v>
      </c>
      <c r="CB113" s="22">
        <f t="shared" si="64"/>
        <v>647.29489424172459</v>
      </c>
      <c r="CC113" s="62">
        <f t="shared" si="65"/>
        <v>940.62822757505796</v>
      </c>
      <c r="CD113" s="62">
        <f ca="1">AVERAGE(OFFSET($CC$3,0,0,'Données projet'!$E$12+1,1))-AVERAGE(OFFSET($H$3,0,0,'Données projet'!$E$12+1,1))</f>
        <v>438.70522838726322</v>
      </c>
      <c r="CE113" s="62">
        <f t="shared" si="94"/>
        <v>278.21741231699929</v>
      </c>
      <c r="CF113" s="16">
        <f>IF(ISNA(VLOOKUP(A113,'Données projet'!$A$113:$I$133,3,0)),0,VLOOKUP(A113,'Données projet'!$A$113:$I$133,3,0))</f>
        <v>19</v>
      </c>
      <c r="CG113" s="16">
        <f>IF(ISNA(VLOOKUP(A113,'Données projet'!$A$113:$I$133,4,0)),0,VLOOKUP(A113,'Données projet'!$A$113:$I$133,4,0))</f>
        <v>25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332</v>
      </c>
      <c r="CR113" s="13">
        <f>VLOOKUP(A113,'Données projet'!$A$139:$I$159,9,0)</f>
        <v>5</v>
      </c>
      <c r="CS113" s="13">
        <f t="array" ref="CS113">INDEX(CR:CR,MIN(IF(ISNUMBER(CR113:CR309),ROW(CR113:CR309),"")))</f>
        <v>5</v>
      </c>
      <c r="CT113" s="13">
        <f>IF('Données projet'!$A$140&gt;35,CT112+CS113-DB112,IF(A113&lt;'Données projet'!$A$140,$CQ$205^A113,IF(A113='Données projet'!$A$140,'Données projet'!$B$140,CT112+CS113-DB112)))</f>
        <v>331.99999999999989</v>
      </c>
      <c r="CU113" s="18">
        <f>CT113*VLOOKUP('Données projet'!$B$13,Paramètres!$A$1:$I$89,3,0)*VLOOKUP('Données projet'!$B$13,Paramètres!$A$1:$I$89,5,0)</f>
        <v>336.64799999999991</v>
      </c>
      <c r="CV113" s="14">
        <f t="shared" si="95"/>
        <v>78.807003163010307</v>
      </c>
      <c r="CW113" s="22">
        <f t="shared" si="67"/>
        <v>723.58413050890942</v>
      </c>
      <c r="CX113" s="62">
        <f t="shared" si="68"/>
        <v>1016.9174638422428</v>
      </c>
      <c r="CY113" s="62">
        <f ca="1">AVERAGE(OFFSET($CX$3,0,0,'Données projet'!$E$13+1,1))-AVERAGE(OFFSET($H$3,0,0,'Données projet'!$E$13+1,1))</f>
        <v>486.63673936259465</v>
      </c>
      <c r="CZ113" s="62">
        <f t="shared" si="96"/>
        <v>306.61893266146666</v>
      </c>
      <c r="DA113" s="16">
        <f>IF(ISNA(VLOOKUP(A113,'Données projet'!$A$139:$I$159,3,0)),0,VLOOKUP(A113,'Données projet'!$A$139:$I$159,3,0))</f>
        <v>19</v>
      </c>
      <c r="DB113" s="16">
        <f>IF(ISNA(VLOOKUP(A113,'Données projet'!$A$139:$I$159,4,0)),0,VLOOKUP(A113,'Données projet'!$A$139:$I$159,4,0))</f>
        <v>25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-3.4106051316484809E-13</v>
      </c>
      <c r="O114" s="14">
        <f>N114*VLOOKUP('Données projet'!$B$9,Paramètres!$A$1:$I$89,3,0)*VLOOKUP('Données projet'!$B$9,Paramètres!$A$1:$I$89,5,0)</f>
        <v>-1.9065282685915009E-13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555.15881087162279</v>
      </c>
      <c r="T114" s="62">
        <f t="shared" si="88"/>
        <v>668.20427590250733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5.7619742267906213</v>
      </c>
      <c r="AA114" s="23">
        <f>EXP(-LN(2)/25)*AA113+(1-EXP(-LN(2)/25))/(LN(2)/25)*Calculateur!V114*Calculateur!X114*VLOOKUP('Données projet'!$B$9,Paramètres!$A$1:$I$89,3,0)*0.475*44/12</f>
        <v>2.3952290727008378</v>
      </c>
      <c r="AB114" s="23">
        <f>EXP(-LN(2)/2)*AB113+(1-EXP(-LN(2)/2))/(LN(2)/2)*V114*Y114*VLOOKUP('Données projet'!$B$9,Paramètres!$A$1:$I$89,3,0)*0.475*44/12</f>
        <v>8.8952998077365918E-12</v>
      </c>
      <c r="AC114" s="24">
        <f t="shared" si="57"/>
        <v>8.1572032995003561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>
        <f>AI114*VLOOKUP('Données projet'!$B$10,Paramètres!$A$1:$I$89,3,0)*VLOOKUP('Données projet'!$B$10,Paramètres!$A$1:$I$89,5,0)</f>
        <v>0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195.80903373714432</v>
      </c>
      <c r="AO114" s="62">
        <f t="shared" si="90"/>
        <v>388.30721786668977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19.865425666453376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1.7105754303847652E-10</v>
      </c>
      <c r="AX114" s="23">
        <f t="shared" si="60"/>
        <v>19.865425666624432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-5.6843418860808015E-14</v>
      </c>
      <c r="BE114" s="14">
        <f>BD114*VLOOKUP('Données projet'!$B$11,Paramètres!$A$1:$I$89,3,0)*VLOOKUP('Données projet'!$B$11,Paramètres!$A$1:$I$89,5,0)</f>
        <v>-5.1431925385259088E-14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366.86025470473652</v>
      </c>
      <c r="BJ114" s="62">
        <f t="shared" si="92"/>
        <v>513.80016421153414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2.1282131696380553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2.1282131696380553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2.8</v>
      </c>
      <c r="BY114" s="13">
        <f>IF('Données projet'!$A$114&gt;35,BY113+BX114-CG113,IF(A114&lt;'Données projet'!$A$114,$BV$205^A114,IF(A114='Données projet'!$A$114,'Données projet'!$B$114,BY113+BX114-CG113)))</f>
        <v>309.7999999999999</v>
      </c>
      <c r="BZ114" s="14">
        <f>BY114*VLOOKUP('Données projet'!$B$12,Paramètres!$A$1:$I$89,3,0)*VLOOKUP('Données projet'!$B$12,Paramètres!$A$1:$I$89,5,0)</f>
        <v>280.30703999999992</v>
      </c>
      <c r="CA114" s="14">
        <f t="shared" si="93"/>
        <v>67.03189112007388</v>
      </c>
      <c r="CB114" s="22">
        <f t="shared" si="64"/>
        <v>604.94863836746174</v>
      </c>
      <c r="CC114" s="62">
        <f t="shared" si="65"/>
        <v>898.28197170079511</v>
      </c>
      <c r="CD114" s="62">
        <f ca="1">AVERAGE(OFFSET($CC$3,0,0,'Données projet'!$E$12+1,1))-AVERAGE(OFFSET($H$3,0,0,'Données projet'!$E$12+1,1))</f>
        <v>438.70522838726322</v>
      </c>
      <c r="CE114" s="62">
        <f t="shared" si="94"/>
        <v>278.21741231699929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2.8</v>
      </c>
      <c r="CT114" s="13">
        <f>IF('Données projet'!$A$140&gt;35,CT113+CS114-DB113,IF(A114&lt;'Données projet'!$A$140,$CQ$205^A114,IF(A114='Données projet'!$A$140,'Données projet'!$B$140,CT113+CS114-DB113)))</f>
        <v>309.7999999999999</v>
      </c>
      <c r="CU114" s="18">
        <f>CT114*VLOOKUP('Données projet'!$B$13,Paramètres!$A$1:$I$89,3,0)*VLOOKUP('Données projet'!$B$13,Paramètres!$A$1:$I$89,5,0)</f>
        <v>314.13719999999995</v>
      </c>
      <c r="CV114" s="14">
        <f t="shared" si="95"/>
        <v>74.132174405952824</v>
      </c>
      <c r="CW114" s="22">
        <f t="shared" si="67"/>
        <v>676.23582709036771</v>
      </c>
      <c r="CX114" s="62">
        <f t="shared" si="68"/>
        <v>969.56916042370108</v>
      </c>
      <c r="CY114" s="62">
        <f ca="1">AVERAGE(OFFSET($CX$3,0,0,'Données projet'!$E$13+1,1))-AVERAGE(OFFSET($H$3,0,0,'Données projet'!$E$13+1,1))</f>
        <v>486.63673936259465</v>
      </c>
      <c r="CZ114" s="62">
        <f t="shared" si="96"/>
        <v>306.61893266146666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-3.4106051316484809E-13</v>
      </c>
      <c r="O115" s="14">
        <f>N115*VLOOKUP('Données projet'!$B$9,Paramètres!$A$1:$I$89,3,0)*VLOOKUP('Données projet'!$B$9,Paramètres!$A$1:$I$89,5,0)</f>
        <v>-1.9065282685915009E-13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555.15881087162279</v>
      </c>
      <c r="T115" s="62">
        <f t="shared" si="88"/>
        <v>668.20427590250733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5.648985426660512</v>
      </c>
      <c r="AA115" s="23">
        <f>EXP(-LN(2)/25)*AA114+(1-EXP(-LN(2)/25))/(LN(2)/25)*Calculateur!V115*Calculateur!X115*VLOOKUP('Données projet'!$B$9,Paramètres!$A$1:$I$89,3,0)*0.475*44/12</f>
        <v>2.329731407748211</v>
      </c>
      <c r="AB115" s="23">
        <f>EXP(-LN(2)/2)*AB114+(1-EXP(-LN(2)/2))/(LN(2)/2)*V115*Y115*VLOOKUP('Données projet'!$B$9,Paramètres!$A$1:$I$89,3,0)*0.475*44/12</f>
        <v>6.2899268147379366E-12</v>
      </c>
      <c r="AC115" s="24">
        <f t="shared" si="57"/>
        <v>7.978716834415013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>
        <f>AI115*VLOOKUP('Données projet'!$B$10,Paramètres!$A$1:$I$89,3,0)*VLOOKUP('Données projet'!$B$10,Paramètres!$A$1:$I$89,5,0)</f>
        <v>0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195.80903373714432</v>
      </c>
      <c r="AO115" s="62">
        <f t="shared" si="90"/>
        <v>388.30721786668977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19.475876785847454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1.2095594865561645E-10</v>
      </c>
      <c r="AX115" s="23">
        <f t="shared" si="60"/>
        <v>19.47587678596841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-5.6843418860808015E-14</v>
      </c>
      <c r="BE115" s="14">
        <f>BD115*VLOOKUP('Données projet'!$B$11,Paramètres!$A$1:$I$89,3,0)*VLOOKUP('Données projet'!$B$11,Paramètres!$A$1:$I$89,5,0)</f>
        <v>-5.1431925385259088E-14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366.86025470473652</v>
      </c>
      <c r="BJ115" s="62">
        <f t="shared" si="92"/>
        <v>513.80016421153414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2.0864802074633118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2.0864802074633118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2.8</v>
      </c>
      <c r="BY115" s="13">
        <f>IF('Données projet'!$A$114&gt;35,BY114+BX115-CG114,IF(A115&lt;'Données projet'!$A$114,$BV$205^A115,IF(A115='Données projet'!$A$114,'Données projet'!$B$114,BY114+BX115-CG114)))</f>
        <v>312.59999999999991</v>
      </c>
      <c r="BZ115" s="14">
        <f>BY115*VLOOKUP('Données projet'!$B$12,Paramètres!$A$1:$I$89,3,0)*VLOOKUP('Données projet'!$B$12,Paramètres!$A$1:$I$89,5,0)</f>
        <v>282.8404799999999</v>
      </c>
      <c r="CA115" s="14">
        <f t="shared" si="93"/>
        <v>67.56693087921127</v>
      </c>
      <c r="CB115" s="22">
        <f t="shared" si="64"/>
        <v>610.29290728129274</v>
      </c>
      <c r="CC115" s="62">
        <f t="shared" si="65"/>
        <v>903.62624061462611</v>
      </c>
      <c r="CD115" s="62">
        <f ca="1">AVERAGE(OFFSET($CC$3,0,0,'Données projet'!$E$12+1,1))-AVERAGE(OFFSET($H$3,0,0,'Données projet'!$E$12+1,1))</f>
        <v>438.70522838726322</v>
      </c>
      <c r="CE115" s="62">
        <f t="shared" si="94"/>
        <v>278.21741231699929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2.8</v>
      </c>
      <c r="CT115" s="13">
        <f>IF('Données projet'!$A$140&gt;35,CT114+CS115-DB114,IF(A115&lt;'Données projet'!$A$140,$CQ$205^A115,IF(A115='Données projet'!$A$140,'Données projet'!$B$140,CT114+CS115-DB114)))</f>
        <v>312.59999999999991</v>
      </c>
      <c r="CU115" s="18">
        <f>CT115*VLOOKUP('Données projet'!$B$13,Paramètres!$A$1:$I$89,3,0)*VLOOKUP('Données projet'!$B$13,Paramètres!$A$1:$I$89,5,0)</f>
        <v>316.9763999999999</v>
      </c>
      <c r="CV115" s="14">
        <f t="shared" si="95"/>
        <v>74.723887694593941</v>
      </c>
      <c r="CW115" s="22">
        <f t="shared" si="67"/>
        <v>682.2113344014175</v>
      </c>
      <c r="CX115" s="62">
        <f t="shared" si="68"/>
        <v>975.54466773475087</v>
      </c>
      <c r="CY115" s="62">
        <f ca="1">AVERAGE(OFFSET($CX$3,0,0,'Données projet'!$E$13+1,1))-AVERAGE(OFFSET($H$3,0,0,'Données projet'!$E$13+1,1))</f>
        <v>486.63673936259465</v>
      </c>
      <c r="CZ115" s="62">
        <f t="shared" si="96"/>
        <v>306.61893266146666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-3.4106051316484809E-13</v>
      </c>
      <c r="O116" s="14">
        <f>N116*VLOOKUP('Données projet'!$B$9,Paramètres!$A$1:$I$89,3,0)*VLOOKUP('Données projet'!$B$9,Paramètres!$A$1:$I$89,5,0)</f>
        <v>-1.9065282685915009E-13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555.15881087162279</v>
      </c>
      <c r="T116" s="62">
        <f t="shared" si="88"/>
        <v>668.20427590250733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5.5382122679845907</v>
      </c>
      <c r="AA116" s="23">
        <f>EXP(-LN(2)/25)*AA115+(1-EXP(-LN(2)/25))/(LN(2)/25)*Calculateur!V116*Calculateur!X116*VLOOKUP('Données projet'!$B$9,Paramètres!$A$1:$I$89,3,0)*0.475*44/12</f>
        <v>2.2660247798880859</v>
      </c>
      <c r="AB116" s="23">
        <f>EXP(-LN(2)/2)*AB115+(1-EXP(-LN(2)/2))/(LN(2)/2)*V116*Y116*VLOOKUP('Données projet'!$B$9,Paramètres!$A$1:$I$89,3,0)*0.475*44/12</f>
        <v>4.4476499038682959E-12</v>
      </c>
      <c r="AC116" s="24">
        <f t="shared" si="57"/>
        <v>7.804237047877125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>
        <f>AI116*VLOOKUP('Données projet'!$B$10,Paramètres!$A$1:$I$89,3,0)*VLOOKUP('Données projet'!$B$10,Paramètres!$A$1:$I$89,5,0)</f>
        <v>0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195.80903373714432</v>
      </c>
      <c r="AO116" s="62">
        <f t="shared" si="90"/>
        <v>388.30721786668977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19.09396672118886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8.5528771519238262E-11</v>
      </c>
      <c r="AX116" s="23">
        <f t="shared" si="60"/>
        <v>19.093966721274388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-5.6843418860808015E-14</v>
      </c>
      <c r="BE116" s="14">
        <f>BD116*VLOOKUP('Données projet'!$B$11,Paramètres!$A$1:$I$89,3,0)*VLOOKUP('Données projet'!$B$11,Paramètres!$A$1:$I$89,5,0)</f>
        <v>-5.1431925385259088E-14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366.86025470473652</v>
      </c>
      <c r="BJ116" s="62">
        <f t="shared" si="92"/>
        <v>513.80016421153414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2.0455656032222214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2.0455656032222214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2.8</v>
      </c>
      <c r="BY116" s="13">
        <f>IF('Données projet'!$A$114&gt;35,BY115+BX116-CG115,IF(A116&lt;'Données projet'!$A$114,$BV$205^A116,IF(A116='Données projet'!$A$114,'Données projet'!$B$114,BY115+BX116-CG115)))</f>
        <v>315.39999999999992</v>
      </c>
      <c r="BZ116" s="14">
        <f>BY116*VLOOKUP('Données projet'!$B$12,Paramètres!$A$1:$I$89,3,0)*VLOOKUP('Données projet'!$B$12,Paramètres!$A$1:$I$89,5,0)</f>
        <v>285.37391999999988</v>
      </c>
      <c r="CA116" s="14">
        <f t="shared" si="93"/>
        <v>68.101413083167643</v>
      </c>
      <c r="CB116" s="22">
        <f t="shared" si="64"/>
        <v>615.63620511985016</v>
      </c>
      <c r="CC116" s="62">
        <f t="shared" si="65"/>
        <v>908.96953845318353</v>
      </c>
      <c r="CD116" s="62">
        <f ca="1">AVERAGE(OFFSET($CC$3,0,0,'Données projet'!$E$12+1,1))-AVERAGE(OFFSET($H$3,0,0,'Données projet'!$E$12+1,1))</f>
        <v>438.70522838726322</v>
      </c>
      <c r="CE116" s="62">
        <f t="shared" si="94"/>
        <v>278.21741231699929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2.8</v>
      </c>
      <c r="CT116" s="13">
        <f>IF('Données projet'!$A$140&gt;35,CT115+CS116-DB115,IF(A116&lt;'Données projet'!$A$140,$CQ$205^A116,IF(A116='Données projet'!$A$140,'Données projet'!$B$140,CT115+CS116-DB115)))</f>
        <v>315.39999999999992</v>
      </c>
      <c r="CU116" s="18">
        <f>CT116*VLOOKUP('Données projet'!$B$13,Paramètres!$A$1:$I$89,3,0)*VLOOKUP('Données projet'!$B$13,Paramètres!$A$1:$I$89,5,0)</f>
        <v>319.81559999999996</v>
      </c>
      <c r="CV116" s="14">
        <f t="shared" si="95"/>
        <v>75.314984369601916</v>
      </c>
      <c r="CW116" s="22">
        <f t="shared" si="67"/>
        <v>688.18576777705664</v>
      </c>
      <c r="CX116" s="62">
        <f t="shared" si="68"/>
        <v>981.51910111039001</v>
      </c>
      <c r="CY116" s="62">
        <f ca="1">AVERAGE(OFFSET($CX$3,0,0,'Données projet'!$E$13+1,1))-AVERAGE(OFFSET($H$3,0,0,'Données projet'!$E$13+1,1))</f>
        <v>486.63673936259465</v>
      </c>
      <c r="CZ116" s="62">
        <f t="shared" si="96"/>
        <v>306.61893266146666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-3.4106051316484809E-13</v>
      </c>
      <c r="O117" s="14">
        <f>N117*VLOOKUP('Données projet'!$B$9,Paramètres!$A$1:$I$89,3,0)*VLOOKUP('Données projet'!$B$9,Paramètres!$A$1:$I$89,5,0)</f>
        <v>-1.9065282685915009E-13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555.15881087162279</v>
      </c>
      <c r="T117" s="62">
        <f t="shared" si="88"/>
        <v>668.20427590250733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5.4296113033853493</v>
      </c>
      <c r="AA117" s="23">
        <f>EXP(-LN(2)/25)*AA116+(1-EXP(-LN(2)/25))/(LN(2)/25)*Calculateur!V117*Calculateur!X117*VLOOKUP('Données projet'!$B$9,Paramètres!$A$1:$I$89,3,0)*0.475*44/12</f>
        <v>2.204060213116982</v>
      </c>
      <c r="AB117" s="23">
        <f>EXP(-LN(2)/2)*AB116+(1-EXP(-LN(2)/2))/(LN(2)/2)*V117*Y117*VLOOKUP('Données projet'!$B$9,Paramètres!$A$1:$I$89,3,0)*0.475*44/12</f>
        <v>3.1449634073689683E-12</v>
      </c>
      <c r="AC117" s="24">
        <f t="shared" si="57"/>
        <v>7.6336715165054763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>
        <f>AI117*VLOOKUP('Données projet'!$B$10,Paramètres!$A$1:$I$89,3,0)*VLOOKUP('Données projet'!$B$10,Paramètres!$A$1:$I$89,5,0)</f>
        <v>0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195.80903373714432</v>
      </c>
      <c r="AO117" s="62">
        <f t="shared" si="90"/>
        <v>388.30721786668977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18.719545679956081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6.0477974327808227E-11</v>
      </c>
      <c r="AX117" s="23">
        <f t="shared" si="60"/>
        <v>18.719545680016559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-5.6843418860808015E-14</v>
      </c>
      <c r="BE117" s="14">
        <f>BD117*VLOOKUP('Données projet'!$B$11,Paramètres!$A$1:$I$89,3,0)*VLOOKUP('Données projet'!$B$11,Paramètres!$A$1:$I$89,5,0)</f>
        <v>-5.1431925385259088E-14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366.86025470473652</v>
      </c>
      <c r="BJ117" s="62">
        <f t="shared" si="92"/>
        <v>513.80016421153414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2.0054533094148543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2.0054533094148543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2.8</v>
      </c>
      <c r="BY117" s="13">
        <f>IF('Données projet'!$A$114&gt;35,BY116+BX117-CG116,IF(A117&lt;'Données projet'!$A$114,$BV$205^A117,IF(A117='Données projet'!$A$114,'Données projet'!$B$114,BY116+BX117-CG116)))</f>
        <v>318.19999999999993</v>
      </c>
      <c r="BZ117" s="14">
        <f>BY117*VLOOKUP('Données projet'!$B$12,Paramètres!$A$1:$I$89,3,0)*VLOOKUP('Données projet'!$B$12,Paramètres!$A$1:$I$89,5,0)</f>
        <v>287.90735999999993</v>
      </c>
      <c r="CA117" s="14">
        <f t="shared" si="93"/>
        <v>68.635343255147305</v>
      </c>
      <c r="CB117" s="22">
        <f t="shared" si="64"/>
        <v>620.97854150271473</v>
      </c>
      <c r="CC117" s="62">
        <f t="shared" si="65"/>
        <v>914.31187483604799</v>
      </c>
      <c r="CD117" s="62">
        <f ca="1">AVERAGE(OFFSET($CC$3,0,0,'Données projet'!$E$12+1,1))-AVERAGE(OFFSET($H$3,0,0,'Données projet'!$E$12+1,1))</f>
        <v>438.70522838726322</v>
      </c>
      <c r="CE117" s="62">
        <f t="shared" si="94"/>
        <v>278.21741231699929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2.8</v>
      </c>
      <c r="CT117" s="13">
        <f>IF('Données projet'!$A$140&gt;35,CT116+CS117-DB116,IF(A117&lt;'Données projet'!$A$140,$CQ$205^A117,IF(A117='Données projet'!$A$140,'Données projet'!$B$140,CT116+CS117-DB116)))</f>
        <v>318.19999999999993</v>
      </c>
      <c r="CU117" s="18">
        <f>CT117*VLOOKUP('Données projet'!$B$13,Paramètres!$A$1:$I$89,3,0)*VLOOKUP('Données projet'!$B$13,Paramètres!$A$1:$I$89,5,0)</f>
        <v>322.65479999999997</v>
      </c>
      <c r="CV117" s="14">
        <f t="shared" si="95"/>
        <v>75.905470539220715</v>
      </c>
      <c r="CW117" s="22">
        <f t="shared" si="67"/>
        <v>694.15913785580926</v>
      </c>
      <c r="CX117" s="62">
        <f t="shared" si="68"/>
        <v>987.49247118914263</v>
      </c>
      <c r="CY117" s="62">
        <f ca="1">AVERAGE(OFFSET($CX$3,0,0,'Données projet'!$E$13+1,1))-AVERAGE(OFFSET($H$3,0,0,'Données projet'!$E$13+1,1))</f>
        <v>486.63673936259465</v>
      </c>
      <c r="CZ117" s="62">
        <f t="shared" si="96"/>
        <v>306.61893266146666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-3.4106051316484809E-13</v>
      </c>
      <c r="O118" s="14">
        <f>N118*VLOOKUP('Données projet'!$B$9,Paramètres!$A$1:$I$89,3,0)*VLOOKUP('Données projet'!$B$9,Paramètres!$A$1:$I$89,5,0)</f>
        <v>-1.9065282685915009E-13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555.15881087162279</v>
      </c>
      <c r="T118" s="62">
        <f t="shared" si="88"/>
        <v>668.20427590250733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5.3231399374618507</v>
      </c>
      <c r="AA118" s="23">
        <f>EXP(-LN(2)/25)*AA117+(1-EXP(-LN(2)/25))/(LN(2)/25)*Calculateur!V118*Calculateur!X118*VLOOKUP('Données projet'!$B$9,Paramètres!$A$1:$I$89,3,0)*0.475*44/12</f>
        <v>2.143790070682809</v>
      </c>
      <c r="AB118" s="23">
        <f>EXP(-LN(2)/2)*AB117+(1-EXP(-LN(2)/2))/(LN(2)/2)*V118*Y118*VLOOKUP('Données projet'!$B$9,Paramètres!$A$1:$I$89,3,0)*0.475*44/12</f>
        <v>2.2238249519341479E-12</v>
      </c>
      <c r="AC118" s="24">
        <f t="shared" si="57"/>
        <v>7.4669300081468837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>
        <f>AI118*VLOOKUP('Données projet'!$B$10,Paramètres!$A$1:$I$89,3,0)*VLOOKUP('Données projet'!$B$10,Paramètres!$A$1:$I$89,5,0)</f>
        <v>0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195.80903373714432</v>
      </c>
      <c r="AO118" s="62">
        <f t="shared" si="90"/>
        <v>388.30721786668977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18.352466806967595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4.2764385759619131E-11</v>
      </c>
      <c r="AX118" s="23">
        <f t="shared" si="60"/>
        <v>18.352466807010359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-5.6843418860808015E-14</v>
      </c>
      <c r="BE118" s="14">
        <f>BD118*VLOOKUP('Données projet'!$B$11,Paramètres!$A$1:$I$89,3,0)*VLOOKUP('Données projet'!$B$11,Paramètres!$A$1:$I$89,5,0)</f>
        <v>-5.1431925385259088E-14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366.86025470473652</v>
      </c>
      <c r="BJ118" s="62">
        <f t="shared" si="92"/>
        <v>513.80016421153414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1.9661275932229663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1.9661275932229663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>
        <f>VLOOKUP(A118,'Données projet'!$A$113:$I$133,2,0)</f>
        <v>321</v>
      </c>
      <c r="BW118" s="13">
        <f>VLOOKUP(A118,'Données projet'!$A$113:$I$133,9,0)</f>
        <v>2.8</v>
      </c>
      <c r="BX118" s="13">
        <f t="array" ref="BX118">INDEX(BW:BW,MIN(IF(ISNUMBER(BW118:BW314),ROW(BW118:BW314),"")))</f>
        <v>2.8</v>
      </c>
      <c r="BY118" s="13">
        <f>IF('Données projet'!$A$114&gt;35,BY117+BX118-CG117,IF(A118&lt;'Données projet'!$A$114,$BV$205^A118,IF(A118='Données projet'!$A$114,'Données projet'!$B$114,BY117+BX118-CG117)))</f>
        <v>320.99999999999994</v>
      </c>
      <c r="BZ118" s="14">
        <f>BY118*VLOOKUP('Données projet'!$B$12,Paramètres!$A$1:$I$89,3,0)*VLOOKUP('Données projet'!$B$12,Paramètres!$A$1:$I$89,5,0)</f>
        <v>290.44079999999991</v>
      </c>
      <c r="CA118" s="14">
        <f t="shared" si="93"/>
        <v>69.168726815543309</v>
      </c>
      <c r="CB118" s="22">
        <f t="shared" si="64"/>
        <v>626.31992587040452</v>
      </c>
      <c r="CC118" s="62">
        <f t="shared" si="65"/>
        <v>919.65325920373789</v>
      </c>
      <c r="CD118" s="62">
        <f ca="1">AVERAGE(OFFSET($CC$3,0,0,'Données projet'!$E$12+1,1))-AVERAGE(OFFSET($H$3,0,0,'Données projet'!$E$12+1,1))</f>
        <v>438.70522838726322</v>
      </c>
      <c r="CE118" s="62">
        <f t="shared" si="94"/>
        <v>278.21741231699929</v>
      </c>
      <c r="CF118" s="16">
        <f>IF(ISNA(VLOOKUP(A118,'Données projet'!$A$113:$I$133,3,0)),0,VLOOKUP(A118,'Données projet'!$A$113:$I$133,3,0))</f>
        <v>20</v>
      </c>
      <c r="CG118" s="16">
        <f>IF(ISNA(VLOOKUP(A118,'Données projet'!$A$113:$I$133,4,0)),0,VLOOKUP(A118,'Données projet'!$A$113:$I$133,4,0))</f>
        <v>321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>
        <f>VLOOKUP(A118,'Données projet'!$A$139:$I$159,2,0)</f>
        <v>321</v>
      </c>
      <c r="CR118" s="13">
        <f>VLOOKUP(A118,'Données projet'!$A$139:$I$159,9,0)</f>
        <v>2.8</v>
      </c>
      <c r="CS118" s="13">
        <f t="array" ref="CS118">INDEX(CR:CR,MIN(IF(ISNUMBER(CR118:CR314),ROW(CR118:CR314),"")))</f>
        <v>2.8</v>
      </c>
      <c r="CT118" s="13">
        <f>IF('Données projet'!$A$140&gt;35,CT117+CS118-DB117,IF(A118&lt;'Données projet'!$A$140,$CQ$205^A118,IF(A118='Données projet'!$A$140,'Données projet'!$B$140,CT117+CS118-DB117)))</f>
        <v>320.99999999999994</v>
      </c>
      <c r="CU118" s="18">
        <f>CT118*VLOOKUP('Données projet'!$B$13,Paramètres!$A$1:$I$89,3,0)*VLOOKUP('Données projet'!$B$13,Paramètres!$A$1:$I$89,5,0)</f>
        <v>325.49399999999997</v>
      </c>
      <c r="CV118" s="14">
        <f t="shared" si="95"/>
        <v>76.495352197992872</v>
      </c>
      <c r="CW118" s="22">
        <f t="shared" si="67"/>
        <v>700.1314550781708</v>
      </c>
      <c r="CX118" s="62">
        <f t="shared" si="68"/>
        <v>993.46478841150406</v>
      </c>
      <c r="CY118" s="62">
        <f ca="1">AVERAGE(OFFSET($CX$3,0,0,'Données projet'!$E$13+1,1))-AVERAGE(OFFSET($H$3,0,0,'Données projet'!$E$13+1,1))</f>
        <v>486.63673936259465</v>
      </c>
      <c r="CZ118" s="62">
        <f t="shared" si="96"/>
        <v>306.61893266146666</v>
      </c>
      <c r="DA118" s="16">
        <f>IF(ISNA(VLOOKUP(A118,'Données projet'!$A$139:$I$159,3,0)),0,VLOOKUP(A118,'Données projet'!$A$139:$I$159,3,0))</f>
        <v>20</v>
      </c>
      <c r="DB118" s="16">
        <f>IF(ISNA(VLOOKUP(A118,'Données projet'!$A$139:$I$159,4,0)),0,VLOOKUP(A118,'Données projet'!$A$139:$I$159,4,0))</f>
        <v>321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-3.4106051316484809E-13</v>
      </c>
      <c r="O119" s="14">
        <f>N119*VLOOKUP('Données projet'!$B$9,Paramètres!$A$1:$I$89,3,0)*VLOOKUP('Données projet'!$B$9,Paramètres!$A$1:$I$89,5,0)</f>
        <v>-1.9065282685915009E-13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555.15881087162279</v>
      </c>
      <c r="T119" s="62">
        <f t="shared" si="88"/>
        <v>668.20427590250733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5.2187564100829915</v>
      </c>
      <c r="AA119" s="23">
        <f>EXP(-LN(2)/25)*AA118+(1-EXP(-LN(2)/25))/(LN(2)/25)*Calculateur!V119*Calculateur!X119*VLOOKUP('Données projet'!$B$9,Paramètres!$A$1:$I$89,3,0)*0.475*44/12</f>
        <v>2.0851680184629675</v>
      </c>
      <c r="AB119" s="23">
        <f>EXP(-LN(2)/2)*AB118+(1-EXP(-LN(2)/2))/(LN(2)/2)*V119*Y119*VLOOKUP('Données projet'!$B$9,Paramètres!$A$1:$I$89,3,0)*0.475*44/12</f>
        <v>1.5724817036844841E-12</v>
      </c>
      <c r="AC119" s="24">
        <f t="shared" si="57"/>
        <v>7.3039244285475311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>
        <f>AI119*VLOOKUP('Données projet'!$B$10,Paramètres!$A$1:$I$89,3,0)*VLOOKUP('Données projet'!$B$10,Paramètres!$A$1:$I$89,5,0)</f>
        <v>0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195.80903373714432</v>
      </c>
      <c r="AO119" s="62">
        <f t="shared" si="90"/>
        <v>388.30721786668977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17.992586126782406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3.0238987163904113E-11</v>
      </c>
      <c r="AX119" s="23">
        <f t="shared" si="60"/>
        <v>17.992586126812647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-5.6843418860808015E-14</v>
      </c>
      <c r="BE119" s="14">
        <f>BD119*VLOOKUP('Données projet'!$B$11,Paramètres!$A$1:$I$89,3,0)*VLOOKUP('Données projet'!$B$11,Paramètres!$A$1:$I$89,5,0)</f>
        <v>-5.1431925385259088E-14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366.86025470473652</v>
      </c>
      <c r="BJ119" s="62">
        <f t="shared" si="92"/>
        <v>513.80016421153414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1.9275730303392826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1.9275730303392826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-5.6843418860808015E-14</v>
      </c>
      <c r="BZ119" s="14">
        <f>BY119*VLOOKUP('Données projet'!$B$12,Paramètres!$A$1:$I$89,3,0)*VLOOKUP('Données projet'!$B$12,Paramètres!$A$1:$I$89,5,0)</f>
        <v>-5.1431925385259088E-14</v>
      </c>
      <c r="CA119" s="14" t="e">
        <f t="shared" si="93"/>
        <v>#NUM!</v>
      </c>
      <c r="CB119" s="22" t="e">
        <f t="shared" si="64"/>
        <v>#NUM!</v>
      </c>
      <c r="CC119" s="62" t="e">
        <f t="shared" si="65"/>
        <v>#NUM!</v>
      </c>
      <c r="CD119" s="62">
        <f ca="1">AVERAGE(OFFSET($CC$3,0,0,'Données projet'!$E$12+1,1))-AVERAGE(OFFSET($H$3,0,0,'Données projet'!$E$12+1,1))</f>
        <v>438.70522838726322</v>
      </c>
      <c r="CE119" s="62">
        <f t="shared" si="94"/>
        <v>278.21741231699929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-5.6843418860808015E-14</v>
      </c>
      <c r="CU119" s="18">
        <f>CT119*VLOOKUP('Données projet'!$B$13,Paramètres!$A$1:$I$89,3,0)*VLOOKUP('Données projet'!$B$13,Paramètres!$A$1:$I$89,5,0)</f>
        <v>-5.7639226724859328E-14</v>
      </c>
      <c r="CV119" s="14" t="e">
        <f t="shared" si="95"/>
        <v>#NUM!</v>
      </c>
      <c r="CW119" s="22" t="e">
        <f t="shared" si="67"/>
        <v>#NUM!</v>
      </c>
      <c r="CX119" s="62" t="e">
        <f t="shared" si="68"/>
        <v>#NUM!</v>
      </c>
      <c r="CY119" s="62">
        <f ca="1">AVERAGE(OFFSET($CX$3,0,0,'Données projet'!$E$13+1,1))-AVERAGE(OFFSET($H$3,0,0,'Données projet'!$E$13+1,1))</f>
        <v>486.63673936259465</v>
      </c>
      <c r="CZ119" s="62">
        <f t="shared" si="96"/>
        <v>306.61893266146666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-3.4106051316484809E-13</v>
      </c>
      <c r="O120" s="14">
        <f>N120*VLOOKUP('Données projet'!$B$9,Paramètres!$A$1:$I$89,3,0)*VLOOKUP('Données projet'!$B$9,Paramètres!$A$1:$I$89,5,0)</f>
        <v>-1.9065282685915009E-13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555.15881087162279</v>
      </c>
      <c r="T120" s="62">
        <f t="shared" si="88"/>
        <v>668.20427590250733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5.1164197800083668</v>
      </c>
      <c r="AA120" s="23">
        <f>EXP(-LN(2)/25)*AA119+(1-EXP(-LN(2)/25))/(LN(2)/25)*Calculateur!V120*Calculateur!X120*VLOOKUP('Données projet'!$B$9,Paramètres!$A$1:$I$89,3,0)*0.475*44/12</f>
        <v>2.0281489893438773</v>
      </c>
      <c r="AB120" s="23">
        <f>EXP(-LN(2)/2)*AB119+(1-EXP(-LN(2)/2))/(LN(2)/2)*V120*Y120*VLOOKUP('Données projet'!$B$9,Paramètres!$A$1:$I$89,3,0)*0.475*44/12</f>
        <v>1.111912475967074E-12</v>
      </c>
      <c r="AC120" s="24">
        <f t="shared" si="57"/>
        <v>7.1445687693533557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>
        <f>AI120*VLOOKUP('Données projet'!$B$10,Paramètres!$A$1:$I$89,3,0)*VLOOKUP('Données projet'!$B$10,Paramètres!$A$1:$I$89,5,0)</f>
        <v>0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195.80903373714432</v>
      </c>
      <c r="AO120" s="62">
        <f t="shared" si="90"/>
        <v>388.30721786668977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17.639762487230108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2.1382192879809566E-11</v>
      </c>
      <c r="AX120" s="23">
        <f t="shared" si="60"/>
        <v>17.639762487251492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-5.6843418860808015E-14</v>
      </c>
      <c r="BE120" s="14">
        <f>BD120*VLOOKUP('Données projet'!$B$11,Paramètres!$A$1:$I$89,3,0)*VLOOKUP('Données projet'!$B$11,Paramètres!$A$1:$I$89,5,0)</f>
        <v>-5.1431925385259088E-14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366.86025470473652</v>
      </c>
      <c r="BJ120" s="62">
        <f t="shared" si="92"/>
        <v>513.80016421153414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1.8897744989177867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1.8897744989177867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-5.6843418860808015E-14</v>
      </c>
      <c r="BZ120" s="14">
        <f>BY120*VLOOKUP('Données projet'!$B$12,Paramètres!$A$1:$I$89,3,0)*VLOOKUP('Données projet'!$B$12,Paramètres!$A$1:$I$89,5,0)</f>
        <v>-5.1431925385259088E-14</v>
      </c>
      <c r="CA120" s="14" t="e">
        <f t="shared" si="93"/>
        <v>#NUM!</v>
      </c>
      <c r="CB120" s="22" t="e">
        <f t="shared" si="64"/>
        <v>#NUM!</v>
      </c>
      <c r="CC120" s="62" t="e">
        <f t="shared" si="65"/>
        <v>#NUM!</v>
      </c>
      <c r="CD120" s="62">
        <f ca="1">AVERAGE(OFFSET($CC$3,0,0,'Données projet'!$E$12+1,1))-AVERAGE(OFFSET($H$3,0,0,'Données projet'!$E$12+1,1))</f>
        <v>438.70522838726322</v>
      </c>
      <c r="CE120" s="62">
        <f t="shared" si="94"/>
        <v>278.21741231699929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-5.6843418860808015E-14</v>
      </c>
      <c r="CU120" s="18">
        <f>CT120*VLOOKUP('Données projet'!$B$13,Paramètres!$A$1:$I$89,3,0)*VLOOKUP('Données projet'!$B$13,Paramètres!$A$1:$I$89,5,0)</f>
        <v>-5.7639226724859328E-14</v>
      </c>
      <c r="CV120" s="14" t="e">
        <f t="shared" si="95"/>
        <v>#NUM!</v>
      </c>
      <c r="CW120" s="22" t="e">
        <f t="shared" si="67"/>
        <v>#NUM!</v>
      </c>
      <c r="CX120" s="62" t="e">
        <f t="shared" si="68"/>
        <v>#NUM!</v>
      </c>
      <c r="CY120" s="62">
        <f ca="1">AVERAGE(OFFSET($CX$3,0,0,'Données projet'!$E$13+1,1))-AVERAGE(OFFSET($H$3,0,0,'Données projet'!$E$13+1,1))</f>
        <v>486.63673936259465</v>
      </c>
      <c r="CZ120" s="62">
        <f t="shared" si="96"/>
        <v>306.61893266146666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-3.4106051316484809E-13</v>
      </c>
      <c r="O121" s="14">
        <f>N121*VLOOKUP('Données projet'!$B$9,Paramètres!$A$1:$I$89,3,0)*VLOOKUP('Données projet'!$B$9,Paramètres!$A$1:$I$89,5,0)</f>
        <v>-1.9065282685915009E-13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555.15881087162279</v>
      </c>
      <c r="T121" s="62">
        <f t="shared" si="88"/>
        <v>668.20427590250733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5.0160899088303239</v>
      </c>
      <c r="AA121" s="23">
        <f>EXP(-LN(2)/25)*AA120+(1-EXP(-LN(2)/25))/(LN(2)/25)*Calculateur!V121*Calculateur!X121*VLOOKUP('Données projet'!$B$9,Paramètres!$A$1:$I$89,3,0)*0.475*44/12</f>
        <v>1.972689148574549</v>
      </c>
      <c r="AB121" s="23">
        <f>EXP(-LN(2)/2)*AB120+(1-EXP(-LN(2)/2))/(LN(2)/2)*V121*Y121*VLOOKUP('Données projet'!$B$9,Paramètres!$A$1:$I$89,3,0)*0.475*44/12</f>
        <v>7.8624085184224207E-13</v>
      </c>
      <c r="AC121" s="24">
        <f t="shared" si="57"/>
        <v>6.988779057405659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>
        <f>AI121*VLOOKUP('Données projet'!$B$10,Paramètres!$A$1:$I$89,3,0)*VLOOKUP('Données projet'!$B$10,Paramètres!$A$1:$I$89,5,0)</f>
        <v>0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195.80903373714432</v>
      </c>
      <c r="AO121" s="62">
        <f t="shared" si="90"/>
        <v>388.30721786668977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17.293857504048262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1.5119493581952057E-11</v>
      </c>
      <c r="AX121" s="23">
        <f t="shared" si="60"/>
        <v>17.293857504063382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-5.6843418860808015E-14</v>
      </c>
      <c r="BE121" s="14">
        <f>BD121*VLOOKUP('Données projet'!$B$11,Paramètres!$A$1:$I$89,3,0)*VLOOKUP('Données projet'!$B$11,Paramètres!$A$1:$I$89,5,0)</f>
        <v>-5.1431925385259088E-14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366.86025470473652</v>
      </c>
      <c r="BJ121" s="62">
        <f t="shared" si="92"/>
        <v>513.80016421153414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1.8527171736426387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1.8527171736426387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-5.6843418860808015E-14</v>
      </c>
      <c r="BZ121" s="14">
        <f>BY121*VLOOKUP('Données projet'!$B$12,Paramètres!$A$1:$I$89,3,0)*VLOOKUP('Données projet'!$B$12,Paramètres!$A$1:$I$89,5,0)</f>
        <v>-5.1431925385259088E-14</v>
      </c>
      <c r="CA121" s="14" t="e">
        <f t="shared" si="93"/>
        <v>#NUM!</v>
      </c>
      <c r="CB121" s="22" t="e">
        <f t="shared" si="64"/>
        <v>#NUM!</v>
      </c>
      <c r="CC121" s="62" t="e">
        <f t="shared" si="65"/>
        <v>#NUM!</v>
      </c>
      <c r="CD121" s="62">
        <f ca="1">AVERAGE(OFFSET($CC$3,0,0,'Données projet'!$E$12+1,1))-AVERAGE(OFFSET($H$3,0,0,'Données projet'!$E$12+1,1))</f>
        <v>438.70522838726322</v>
      </c>
      <c r="CE121" s="62">
        <f t="shared" si="94"/>
        <v>278.21741231699929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-5.6843418860808015E-14</v>
      </c>
      <c r="CU121" s="18">
        <f>CT121*VLOOKUP('Données projet'!$B$13,Paramètres!$A$1:$I$89,3,0)*VLOOKUP('Données projet'!$B$13,Paramètres!$A$1:$I$89,5,0)</f>
        <v>-5.7639226724859328E-14</v>
      </c>
      <c r="CV121" s="14" t="e">
        <f t="shared" si="95"/>
        <v>#NUM!</v>
      </c>
      <c r="CW121" s="22" t="e">
        <f t="shared" si="67"/>
        <v>#NUM!</v>
      </c>
      <c r="CX121" s="62" t="e">
        <f t="shared" si="68"/>
        <v>#NUM!</v>
      </c>
      <c r="CY121" s="62">
        <f ca="1">AVERAGE(OFFSET($CX$3,0,0,'Données projet'!$E$13+1,1))-AVERAGE(OFFSET($H$3,0,0,'Données projet'!$E$13+1,1))</f>
        <v>486.63673936259465</v>
      </c>
      <c r="CZ121" s="62">
        <f t="shared" si="96"/>
        <v>306.61893266146666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-3.4106051316484809E-13</v>
      </c>
      <c r="O122" s="14">
        <f>N122*VLOOKUP('Données projet'!$B$9,Paramètres!$A$1:$I$89,3,0)*VLOOKUP('Données projet'!$B$9,Paramètres!$A$1:$I$89,5,0)</f>
        <v>-1.9065282685915009E-13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555.15881087162279</v>
      </c>
      <c r="T122" s="62">
        <f t="shared" si="88"/>
        <v>668.20427590250733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4.9177274452309039</v>
      </c>
      <c r="AA122" s="23">
        <f>EXP(-LN(2)/25)*AA121+(1-EXP(-LN(2)/25))/(LN(2)/25)*Calculateur!V122*Calculateur!X122*VLOOKUP('Données projet'!$B$9,Paramètres!$A$1:$I$89,3,0)*0.475*44/12</f>
        <v>1.9187458600675642</v>
      </c>
      <c r="AB122" s="23">
        <f>EXP(-LN(2)/2)*AB121+(1-EXP(-LN(2)/2))/(LN(2)/2)*V122*Y122*VLOOKUP('Données projet'!$B$9,Paramètres!$A$1:$I$89,3,0)*0.475*44/12</f>
        <v>5.5595623798353698E-13</v>
      </c>
      <c r="AC122" s="24">
        <f t="shared" si="57"/>
        <v>6.8364733052990241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>
        <f>AI122*VLOOKUP('Données projet'!$B$10,Paramètres!$A$1:$I$89,3,0)*VLOOKUP('Données projet'!$B$10,Paramètres!$A$1:$I$89,5,0)</f>
        <v>0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195.80903373714432</v>
      </c>
      <c r="AO122" s="62">
        <f t="shared" si="90"/>
        <v>388.30721786668977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16.954735506605402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1.0691096439904783E-11</v>
      </c>
      <c r="AX122" s="23">
        <f t="shared" si="60"/>
        <v>16.954735506616093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-5.6843418860808015E-14</v>
      </c>
      <c r="BE122" s="14">
        <f>BD122*VLOOKUP('Données projet'!$B$11,Paramètres!$A$1:$I$89,3,0)*VLOOKUP('Données projet'!$B$11,Paramètres!$A$1:$I$89,5,0)</f>
        <v>-5.1431925385259088E-14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366.86025470473652</v>
      </c>
      <c r="BJ122" s="62">
        <f t="shared" si="92"/>
        <v>513.80016421153414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1.8163865199133997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1.8163865199133997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-5.6843418860808015E-14</v>
      </c>
      <c r="BZ122" s="14">
        <f>BY122*VLOOKUP('Données projet'!$B$12,Paramètres!$A$1:$I$89,3,0)*VLOOKUP('Données projet'!$B$12,Paramètres!$A$1:$I$89,5,0)</f>
        <v>-5.1431925385259088E-14</v>
      </c>
      <c r="CA122" s="14" t="e">
        <f t="shared" si="93"/>
        <v>#NUM!</v>
      </c>
      <c r="CB122" s="22" t="e">
        <f t="shared" si="64"/>
        <v>#NUM!</v>
      </c>
      <c r="CC122" s="62" t="e">
        <f t="shared" si="65"/>
        <v>#NUM!</v>
      </c>
      <c r="CD122" s="62">
        <f ca="1">AVERAGE(OFFSET($CC$3,0,0,'Données projet'!$E$12+1,1))-AVERAGE(OFFSET($H$3,0,0,'Données projet'!$E$12+1,1))</f>
        <v>438.70522838726322</v>
      </c>
      <c r="CE122" s="62">
        <f t="shared" si="94"/>
        <v>278.21741231699929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-5.6843418860808015E-14</v>
      </c>
      <c r="CU122" s="18">
        <f>CT122*VLOOKUP('Données projet'!$B$13,Paramètres!$A$1:$I$89,3,0)*VLOOKUP('Données projet'!$B$13,Paramètres!$A$1:$I$89,5,0)</f>
        <v>-5.7639226724859328E-14</v>
      </c>
      <c r="CV122" s="14" t="e">
        <f t="shared" si="95"/>
        <v>#NUM!</v>
      </c>
      <c r="CW122" s="22" t="e">
        <f t="shared" si="67"/>
        <v>#NUM!</v>
      </c>
      <c r="CX122" s="62" t="e">
        <f t="shared" si="68"/>
        <v>#NUM!</v>
      </c>
      <c r="CY122" s="62">
        <f ca="1">AVERAGE(OFFSET($CX$3,0,0,'Données projet'!$E$13+1,1))-AVERAGE(OFFSET($H$3,0,0,'Données projet'!$E$13+1,1))</f>
        <v>486.63673936259465</v>
      </c>
      <c r="CZ122" s="62">
        <f t="shared" si="96"/>
        <v>306.61893266146666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-3.4106051316484809E-13</v>
      </c>
      <c r="O123" s="14">
        <f>N123*VLOOKUP('Données projet'!$B$9,Paramètres!$A$1:$I$89,3,0)*VLOOKUP('Données projet'!$B$9,Paramètres!$A$1:$I$89,5,0)</f>
        <v>-1.9065282685915009E-13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555.15881087162279</v>
      </c>
      <c r="T123" s="62">
        <f t="shared" si="88"/>
        <v>668.20427590250733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4.8212938095474893</v>
      </c>
      <c r="AA123" s="23">
        <f>EXP(-LN(2)/25)*AA122+(1-EXP(-LN(2)/25))/(LN(2)/25)*Calculateur!V123*Calculateur!X123*VLOOKUP('Données projet'!$B$9,Paramètres!$A$1:$I$89,3,0)*0.475*44/12</f>
        <v>1.8662776536215573</v>
      </c>
      <c r="AB123" s="23">
        <f>EXP(-LN(2)/2)*AB122+(1-EXP(-LN(2)/2))/(LN(2)/2)*V123*Y123*VLOOKUP('Données projet'!$B$9,Paramètres!$A$1:$I$89,3,0)*0.475*44/12</f>
        <v>3.9312042592112103E-13</v>
      </c>
      <c r="AC123" s="24">
        <f t="shared" si="57"/>
        <v>6.6875714631694398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>
        <f>AI123*VLOOKUP('Données projet'!$B$10,Paramètres!$A$1:$I$89,3,0)*VLOOKUP('Données projet'!$B$10,Paramètres!$A$1:$I$89,5,0)</f>
        <v>0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195.80903373714432</v>
      </c>
      <c r="AO123" s="62">
        <f t="shared" si="90"/>
        <v>388.30721786668977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16.622263484688403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7.5597467909760283E-12</v>
      </c>
      <c r="AX123" s="23">
        <f t="shared" si="60"/>
        <v>16.622263484695964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-5.6843418860808015E-14</v>
      </c>
      <c r="BE123" s="14">
        <f>BD123*VLOOKUP('Données projet'!$B$11,Paramètres!$A$1:$I$89,3,0)*VLOOKUP('Données projet'!$B$11,Paramètres!$A$1:$I$89,5,0)</f>
        <v>-5.1431925385259088E-14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366.86025470473652</v>
      </c>
      <c r="BJ123" s="62">
        <f t="shared" si="92"/>
        <v>513.80016421153414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1.7807682881442803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1.7807682881442803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-5.6843418860808015E-14</v>
      </c>
      <c r="BZ123" s="14">
        <f>BY123*VLOOKUP('Données projet'!$B$12,Paramètres!$A$1:$I$89,3,0)*VLOOKUP('Données projet'!$B$12,Paramètres!$A$1:$I$89,5,0)</f>
        <v>-5.1431925385259088E-14</v>
      </c>
      <c r="CA123" s="14" t="e">
        <f t="shared" si="93"/>
        <v>#NUM!</v>
      </c>
      <c r="CB123" s="22" t="e">
        <f t="shared" si="64"/>
        <v>#NUM!</v>
      </c>
      <c r="CC123" s="62" t="e">
        <f t="shared" si="65"/>
        <v>#NUM!</v>
      </c>
      <c r="CD123" s="62">
        <f ca="1">AVERAGE(OFFSET($CC$3,0,0,'Données projet'!$E$12+1,1))-AVERAGE(OFFSET($H$3,0,0,'Données projet'!$E$12+1,1))</f>
        <v>438.70522838726322</v>
      </c>
      <c r="CE123" s="62">
        <f t="shared" si="94"/>
        <v>278.21741231699929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-5.6843418860808015E-14</v>
      </c>
      <c r="CU123" s="18">
        <f>CT123*VLOOKUP('Données projet'!$B$13,Paramètres!$A$1:$I$89,3,0)*VLOOKUP('Données projet'!$B$13,Paramètres!$A$1:$I$89,5,0)</f>
        <v>-5.7639226724859328E-14</v>
      </c>
      <c r="CV123" s="14" t="e">
        <f t="shared" si="95"/>
        <v>#NUM!</v>
      </c>
      <c r="CW123" s="22" t="e">
        <f t="shared" si="67"/>
        <v>#NUM!</v>
      </c>
      <c r="CX123" s="62" t="e">
        <f t="shared" si="68"/>
        <v>#NUM!</v>
      </c>
      <c r="CY123" s="62">
        <f ca="1">AVERAGE(OFFSET($CX$3,0,0,'Données projet'!$E$13+1,1))-AVERAGE(OFFSET($H$3,0,0,'Données projet'!$E$13+1,1))</f>
        <v>486.63673936259465</v>
      </c>
      <c r="CZ123" s="62">
        <f t="shared" si="96"/>
        <v>306.61893266146666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-3.4106051316484809E-13</v>
      </c>
      <c r="O124" s="14">
        <f>N124*VLOOKUP('Données projet'!$B$9,Paramètres!$A$1:$I$89,3,0)*VLOOKUP('Données projet'!$B$9,Paramètres!$A$1:$I$89,5,0)</f>
        <v>-1.9065282685915009E-13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555.15881087162279</v>
      </c>
      <c r="T124" s="62">
        <f t="shared" si="88"/>
        <v>668.20427590250733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4.7267511786411172</v>
      </c>
      <c r="AA124" s="23">
        <f>EXP(-LN(2)/25)*AA123+(1-EXP(-LN(2)/25))/(LN(2)/25)*Calculateur!V124*Calculateur!X124*VLOOKUP('Données projet'!$B$9,Paramètres!$A$1:$I$89,3,0)*0.475*44/12</f>
        <v>1.8152441930399994</v>
      </c>
      <c r="AB124" s="23">
        <f>EXP(-LN(2)/2)*AB123+(1-EXP(-LN(2)/2))/(LN(2)/2)*V124*Y124*VLOOKUP('Données projet'!$B$9,Paramètres!$A$1:$I$89,3,0)*0.475*44/12</f>
        <v>2.7797811899176849E-13</v>
      </c>
      <c r="AC124" s="24">
        <f t="shared" si="57"/>
        <v>6.5419953716813941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>
        <f>AI124*VLOOKUP('Données projet'!$B$10,Paramètres!$A$1:$I$89,3,0)*VLOOKUP('Données projet'!$B$10,Paramètres!$A$1:$I$89,5,0)</f>
        <v>0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195.80903373714432</v>
      </c>
      <c r="AO124" s="62">
        <f t="shared" si="90"/>
        <v>388.30721786668977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16.296311036333289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5.3455482199523914E-12</v>
      </c>
      <c r="AX124" s="23">
        <f t="shared" si="60"/>
        <v>16.296311036338636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-5.6843418860808015E-14</v>
      </c>
      <c r="BE124" s="14">
        <f>BD124*VLOOKUP('Données projet'!$B$11,Paramètres!$A$1:$I$89,3,0)*VLOOKUP('Données projet'!$B$11,Paramètres!$A$1:$I$89,5,0)</f>
        <v>-5.1431925385259088E-14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366.86025470473652</v>
      </c>
      <c r="BJ124" s="62">
        <f t="shared" si="92"/>
        <v>513.80016421153414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1.7458485081751773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1.7458485081751773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-5.6843418860808015E-14</v>
      </c>
      <c r="BZ124" s="14">
        <f>BY124*VLOOKUP('Données projet'!$B$12,Paramètres!$A$1:$I$89,3,0)*VLOOKUP('Données projet'!$B$12,Paramètres!$A$1:$I$89,5,0)</f>
        <v>-5.1431925385259088E-14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438.70522838726322</v>
      </c>
      <c r="CE124" s="62">
        <f t="shared" si="94"/>
        <v>278.21741231699929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-5.6843418860808015E-14</v>
      </c>
      <c r="CU124" s="18">
        <f>CT124*VLOOKUP('Données projet'!$B$13,Paramètres!$A$1:$I$89,3,0)*VLOOKUP('Données projet'!$B$13,Paramètres!$A$1:$I$89,5,0)</f>
        <v>-5.7639226724859328E-14</v>
      </c>
      <c r="CV124" s="14" t="e">
        <f t="shared" si="95"/>
        <v>#NUM!</v>
      </c>
      <c r="CW124" s="22" t="e">
        <f t="shared" si="67"/>
        <v>#NUM!</v>
      </c>
      <c r="CX124" s="62" t="e">
        <f t="shared" si="68"/>
        <v>#NUM!</v>
      </c>
      <c r="CY124" s="62">
        <f ca="1">AVERAGE(OFFSET($CX$3,0,0,'Données projet'!$E$13+1,1))-AVERAGE(OFFSET($H$3,0,0,'Données projet'!$E$13+1,1))</f>
        <v>486.63673936259465</v>
      </c>
      <c r="CZ124" s="62">
        <f t="shared" si="96"/>
        <v>306.61893266146666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-3.4106051316484809E-13</v>
      </c>
      <c r="O125" s="14">
        <f>N125*VLOOKUP('Données projet'!$B$9,Paramètres!$A$1:$I$89,3,0)*VLOOKUP('Données projet'!$B$9,Paramètres!$A$1:$I$89,5,0)</f>
        <v>-1.9065282685915009E-13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555.15881087162279</v>
      </c>
      <c r="T125" s="62">
        <f t="shared" si="88"/>
        <v>668.20427590250733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4.6340624710615081</v>
      </c>
      <c r="AA125" s="23">
        <f>EXP(-LN(2)/25)*AA124+(1-EXP(-LN(2)/25))/(LN(2)/25)*Calculateur!V125*Calculateur!X125*VLOOKUP('Données projet'!$B$9,Paramètres!$A$1:$I$89,3,0)*0.475*44/12</f>
        <v>1.7656062451217773</v>
      </c>
      <c r="AB125" s="23">
        <f>EXP(-LN(2)/2)*AB124+(1-EXP(-LN(2)/2))/(LN(2)/2)*V125*Y125*VLOOKUP('Données projet'!$B$9,Paramètres!$A$1:$I$89,3,0)*0.475*44/12</f>
        <v>1.9656021296056052E-13</v>
      </c>
      <c r="AC125" s="24">
        <f t="shared" si="57"/>
        <v>6.3996687161834815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>
        <f>AI125*VLOOKUP('Données projet'!$B$10,Paramètres!$A$1:$I$89,3,0)*VLOOKUP('Données projet'!$B$10,Paramètres!$A$1:$I$89,5,0)</f>
        <v>0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195.80903373714432</v>
      </c>
      <c r="AO125" s="62">
        <f t="shared" si="90"/>
        <v>388.30721786668977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15.976750316679055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3.7798733954880142E-12</v>
      </c>
      <c r="AX125" s="23">
        <f t="shared" si="60"/>
        <v>15.976750316682836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-5.6843418860808015E-14</v>
      </c>
      <c r="BE125" s="14">
        <f>BD125*VLOOKUP('Données projet'!$B$11,Paramètres!$A$1:$I$89,3,0)*VLOOKUP('Données projet'!$B$11,Paramètres!$A$1:$I$89,5,0)</f>
        <v>-5.1431925385259088E-14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366.86025470473652</v>
      </c>
      <c r="BJ125" s="62">
        <f t="shared" si="92"/>
        <v>513.80016421153414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1.7116134837923056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1.7116134837923056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-5.6843418860808015E-14</v>
      </c>
      <c r="BZ125" s="14">
        <f>BY125*VLOOKUP('Données projet'!$B$12,Paramètres!$A$1:$I$89,3,0)*VLOOKUP('Données projet'!$B$12,Paramètres!$A$1:$I$89,5,0)</f>
        <v>-5.1431925385259088E-14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438.70522838726322</v>
      </c>
      <c r="CE125" s="62">
        <f t="shared" si="94"/>
        <v>278.21741231699929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-5.6843418860808015E-14</v>
      </c>
      <c r="CU125" s="18">
        <f>CT125*VLOOKUP('Données projet'!$B$13,Paramètres!$A$1:$I$89,3,0)*VLOOKUP('Données projet'!$B$13,Paramètres!$A$1:$I$89,5,0)</f>
        <v>-5.7639226724859328E-14</v>
      </c>
      <c r="CV125" s="14" t="e">
        <f t="shared" si="95"/>
        <v>#NUM!</v>
      </c>
      <c r="CW125" s="22" t="e">
        <f t="shared" si="67"/>
        <v>#NUM!</v>
      </c>
      <c r="CX125" s="62" t="e">
        <f t="shared" si="68"/>
        <v>#NUM!</v>
      </c>
      <c r="CY125" s="62">
        <f ca="1">AVERAGE(OFFSET($CX$3,0,0,'Données projet'!$E$13+1,1))-AVERAGE(OFFSET($H$3,0,0,'Données projet'!$E$13+1,1))</f>
        <v>486.63673936259465</v>
      </c>
      <c r="CZ125" s="62">
        <f t="shared" si="96"/>
        <v>306.61893266146666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-3.4106051316484809E-13</v>
      </c>
      <c r="O126" s="14">
        <f>N126*VLOOKUP('Données projet'!$B$9,Paramètres!$A$1:$I$89,3,0)*VLOOKUP('Données projet'!$B$9,Paramètres!$A$1:$I$89,5,0)</f>
        <v>-1.9065282685915009E-13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555.15881087162279</v>
      </c>
      <c r="T126" s="62">
        <f t="shared" si="88"/>
        <v>668.20427590250733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4.5431913325030058</v>
      </c>
      <c r="AA126" s="23">
        <f>EXP(-LN(2)/25)*AA125+(1-EXP(-LN(2)/25))/(LN(2)/25)*Calculateur!V126*Calculateur!X126*VLOOKUP('Données projet'!$B$9,Paramètres!$A$1:$I$89,3,0)*0.475*44/12</f>
        <v>1.7173256494997253</v>
      </c>
      <c r="AB126" s="23">
        <f>EXP(-LN(2)/2)*AB125+(1-EXP(-LN(2)/2))/(LN(2)/2)*V126*Y126*VLOOKUP('Données projet'!$B$9,Paramètres!$A$1:$I$89,3,0)*0.475*44/12</f>
        <v>1.3898905949588425E-13</v>
      </c>
      <c r="AC126" s="24">
        <f t="shared" si="57"/>
        <v>6.2605169820028692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>
        <f>AI126*VLOOKUP('Données projet'!$B$10,Paramètres!$A$1:$I$89,3,0)*VLOOKUP('Données projet'!$B$10,Paramètres!$A$1:$I$89,5,0)</f>
        <v>0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195.80903373714432</v>
      </c>
      <c r="AO126" s="62">
        <f t="shared" si="90"/>
        <v>388.30721786668977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15.663455987824447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2.6727741099761957E-12</v>
      </c>
      <c r="AX126" s="23">
        <f t="shared" si="60"/>
        <v>15.66345598782712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-5.6843418860808015E-14</v>
      </c>
      <c r="BE126" s="14">
        <f>BD126*VLOOKUP('Données projet'!$B$11,Paramètres!$A$1:$I$89,3,0)*VLOOKUP('Données projet'!$B$11,Paramètres!$A$1:$I$89,5,0)</f>
        <v>-5.1431925385259088E-14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366.86025470473652</v>
      </c>
      <c r="BJ126" s="62">
        <f t="shared" si="92"/>
        <v>513.80016421153414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1.678049787356279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1.678049787356279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-5.6843418860808015E-14</v>
      </c>
      <c r="BZ126" s="14">
        <f>BY126*VLOOKUP('Données projet'!$B$12,Paramètres!$A$1:$I$89,3,0)*VLOOKUP('Données projet'!$B$12,Paramètres!$A$1:$I$89,5,0)</f>
        <v>-5.1431925385259088E-14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438.70522838726322</v>
      </c>
      <c r="CE126" s="62">
        <f t="shared" si="94"/>
        <v>278.21741231699929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-5.6843418860808015E-14</v>
      </c>
      <c r="CU126" s="18">
        <f>CT126*VLOOKUP('Données projet'!$B$13,Paramètres!$A$1:$I$89,3,0)*VLOOKUP('Données projet'!$B$13,Paramètres!$A$1:$I$89,5,0)</f>
        <v>-5.7639226724859328E-14</v>
      </c>
      <c r="CV126" s="14" t="e">
        <f t="shared" si="95"/>
        <v>#NUM!</v>
      </c>
      <c r="CW126" s="22" t="e">
        <f t="shared" si="67"/>
        <v>#NUM!</v>
      </c>
      <c r="CX126" s="62" t="e">
        <f t="shared" si="68"/>
        <v>#NUM!</v>
      </c>
      <c r="CY126" s="62">
        <f ca="1">AVERAGE(OFFSET($CX$3,0,0,'Données projet'!$E$13+1,1))-AVERAGE(OFFSET($H$3,0,0,'Données projet'!$E$13+1,1))</f>
        <v>486.63673936259465</v>
      </c>
      <c r="CZ126" s="62">
        <f t="shared" si="96"/>
        <v>306.61893266146666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-3.4106051316484809E-13</v>
      </c>
      <c r="O127" s="14">
        <f>N127*VLOOKUP('Données projet'!$B$9,Paramètres!$A$1:$I$89,3,0)*VLOOKUP('Données projet'!$B$9,Paramètres!$A$1:$I$89,5,0)</f>
        <v>-1.9065282685915009E-13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555.15881087162279</v>
      </c>
      <c r="T127" s="62">
        <f t="shared" si="88"/>
        <v>668.20427590250733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4.4541021215457137</v>
      </c>
      <c r="AA127" s="23">
        <f>EXP(-LN(2)/25)*AA126+(1-EXP(-LN(2)/25))/(LN(2)/25)*Calculateur!V127*Calculateur!X127*VLOOKUP('Données projet'!$B$9,Paramètres!$A$1:$I$89,3,0)*0.475*44/12</f>
        <v>1.6703652893039245</v>
      </c>
      <c r="AB127" s="23">
        <f>EXP(-LN(2)/2)*AB126+(1-EXP(-LN(2)/2))/(LN(2)/2)*V127*Y127*VLOOKUP('Données projet'!$B$9,Paramètres!$A$1:$I$89,3,0)*0.475*44/12</f>
        <v>9.8280106480280259E-14</v>
      </c>
      <c r="AC127" s="24">
        <f t="shared" si="57"/>
        <v>6.1244674108497366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>
        <f>AI127*VLOOKUP('Données projet'!$B$10,Paramètres!$A$1:$I$89,3,0)*VLOOKUP('Données projet'!$B$10,Paramètres!$A$1:$I$89,5,0)</f>
        <v>0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195.80903373714432</v>
      </c>
      <c r="AO127" s="62">
        <f t="shared" si="90"/>
        <v>388.30721786668977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15.356305169668007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1.8899366977440071E-12</v>
      </c>
      <c r="AX127" s="23">
        <f t="shared" si="60"/>
        <v>15.356305169669897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-5.6843418860808015E-14</v>
      </c>
      <c r="BE127" s="14">
        <f>BD127*VLOOKUP('Données projet'!$B$11,Paramètres!$A$1:$I$89,3,0)*VLOOKUP('Données projet'!$B$11,Paramètres!$A$1:$I$89,5,0)</f>
        <v>-5.1431925385259088E-14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366.86025470473652</v>
      </c>
      <c r="BJ127" s="62">
        <f t="shared" si="92"/>
        <v>513.80016421153414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1.6451442545355295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1.6451442545355295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-5.6843418860808015E-14</v>
      </c>
      <c r="BZ127" s="14">
        <f>BY127*VLOOKUP('Données projet'!$B$12,Paramètres!$A$1:$I$89,3,0)*VLOOKUP('Données projet'!$B$12,Paramètres!$A$1:$I$89,5,0)</f>
        <v>-5.1431925385259088E-14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438.70522838726322</v>
      </c>
      <c r="CE127" s="62">
        <f t="shared" si="94"/>
        <v>278.21741231699929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-5.6843418860808015E-14</v>
      </c>
      <c r="CU127" s="18">
        <f>CT127*VLOOKUP('Données projet'!$B$13,Paramètres!$A$1:$I$89,3,0)*VLOOKUP('Données projet'!$B$13,Paramètres!$A$1:$I$89,5,0)</f>
        <v>-5.7639226724859328E-14</v>
      </c>
      <c r="CV127" s="14" t="e">
        <f t="shared" si="95"/>
        <v>#NUM!</v>
      </c>
      <c r="CW127" s="22" t="e">
        <f t="shared" si="67"/>
        <v>#NUM!</v>
      </c>
      <c r="CX127" s="62" t="e">
        <f t="shared" si="68"/>
        <v>#NUM!</v>
      </c>
      <c r="CY127" s="62">
        <f ca="1">AVERAGE(OFFSET($CX$3,0,0,'Données projet'!$E$13+1,1))-AVERAGE(OFFSET($H$3,0,0,'Données projet'!$E$13+1,1))</f>
        <v>486.63673936259465</v>
      </c>
      <c r="CZ127" s="62">
        <f t="shared" si="96"/>
        <v>306.61893266146666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-3.4106051316484809E-13</v>
      </c>
      <c r="O128" s="14">
        <f>N128*VLOOKUP('Données projet'!$B$9,Paramètres!$A$1:$I$89,3,0)*VLOOKUP('Données projet'!$B$9,Paramètres!$A$1:$I$89,5,0)</f>
        <v>-1.9065282685915009E-13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555.15881087162279</v>
      </c>
      <c r="T128" s="62">
        <f t="shared" si="88"/>
        <v>668.20427590250733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4.3667598956762408</v>
      </c>
      <c r="AA128" s="23">
        <f>EXP(-LN(2)/25)*AA127+(1-EXP(-LN(2)/25))/(LN(2)/25)*Calculateur!V128*Calculateur!X128*VLOOKUP('Données projet'!$B$9,Paramètres!$A$1:$I$89,3,0)*0.475*44/12</f>
        <v>1.6246890626272157</v>
      </c>
      <c r="AB128" s="23">
        <f>EXP(-LN(2)/2)*AB127+(1-EXP(-LN(2)/2))/(LN(2)/2)*V128*Y128*VLOOKUP('Données projet'!$B$9,Paramètres!$A$1:$I$89,3,0)*0.475*44/12</f>
        <v>6.9494529747942123E-14</v>
      </c>
      <c r="AC128" s="24">
        <f t="shared" si="57"/>
        <v>5.9914489583035255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>
        <f>AI128*VLOOKUP('Données projet'!$B$10,Paramètres!$A$1:$I$89,3,0)*VLOOKUP('Données projet'!$B$10,Paramètres!$A$1:$I$89,5,0)</f>
        <v>0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195.80903373714432</v>
      </c>
      <c r="AO128" s="62">
        <f t="shared" si="90"/>
        <v>388.30721786668977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15.055177391712114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1.3363870549880978E-12</v>
      </c>
      <c r="AX128" s="23">
        <f t="shared" si="60"/>
        <v>15.05517739171345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-5.6843418860808015E-14</v>
      </c>
      <c r="BE128" s="14">
        <f>BD128*VLOOKUP('Données projet'!$B$11,Paramètres!$A$1:$I$89,3,0)*VLOOKUP('Données projet'!$B$11,Paramètres!$A$1:$I$89,5,0)</f>
        <v>-5.1431925385259088E-14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366.86025470473652</v>
      </c>
      <c r="BJ128" s="62">
        <f t="shared" si="92"/>
        <v>513.80016421153414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1.6128839791430016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1.6128839791430016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-5.6843418860808015E-14</v>
      </c>
      <c r="BZ128" s="14">
        <f>BY128*VLOOKUP('Données projet'!$B$12,Paramètres!$A$1:$I$89,3,0)*VLOOKUP('Données projet'!$B$12,Paramètres!$A$1:$I$89,5,0)</f>
        <v>-5.1431925385259088E-14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438.70522838726322</v>
      </c>
      <c r="CE128" s="62">
        <f t="shared" si="94"/>
        <v>278.21741231699929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-5.6843418860808015E-14</v>
      </c>
      <c r="CU128" s="18">
        <f>CT128*VLOOKUP('Données projet'!$B$13,Paramètres!$A$1:$I$89,3,0)*VLOOKUP('Données projet'!$B$13,Paramètres!$A$1:$I$89,5,0)</f>
        <v>-5.7639226724859328E-14</v>
      </c>
      <c r="CV128" s="14" t="e">
        <f t="shared" si="95"/>
        <v>#NUM!</v>
      </c>
      <c r="CW128" s="22" t="e">
        <f t="shared" si="67"/>
        <v>#NUM!</v>
      </c>
      <c r="CX128" s="62" t="e">
        <f t="shared" si="68"/>
        <v>#NUM!</v>
      </c>
      <c r="CY128" s="62">
        <f ca="1">AVERAGE(OFFSET($CX$3,0,0,'Données projet'!$E$13+1,1))-AVERAGE(OFFSET($H$3,0,0,'Données projet'!$E$13+1,1))</f>
        <v>486.63673936259465</v>
      </c>
      <c r="CZ128" s="62">
        <f t="shared" si="96"/>
        <v>306.61893266146666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-3.4106051316484809E-13</v>
      </c>
      <c r="O129" s="14">
        <f>N129*VLOOKUP('Données projet'!$B$9,Paramètres!$A$1:$I$89,3,0)*VLOOKUP('Données projet'!$B$9,Paramètres!$A$1:$I$89,5,0)</f>
        <v>-1.9065282685915009E-13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555.15881087162279</v>
      </c>
      <c r="T129" s="62">
        <f t="shared" si="88"/>
        <v>668.20427590250733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4.2811303975825714</v>
      </c>
      <c r="AA129" s="23">
        <f>EXP(-LN(2)/25)*AA128+(1-EXP(-LN(2)/25))/(LN(2)/25)*Calculateur!V129*Calculateur!X129*VLOOKUP('Données projet'!$B$9,Paramètres!$A$1:$I$89,3,0)*0.475*44/12</f>
        <v>1.5802618547709899</v>
      </c>
      <c r="AB129" s="23">
        <f>EXP(-LN(2)/2)*AB128+(1-EXP(-LN(2)/2))/(LN(2)/2)*V129*Y129*VLOOKUP('Données projet'!$B$9,Paramètres!$A$1:$I$89,3,0)*0.475*44/12</f>
        <v>4.9140053240140129E-14</v>
      </c>
      <c r="AC129" s="24">
        <f t="shared" si="57"/>
        <v>5.8613922523536104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>
        <f>AI129*VLOOKUP('Données projet'!$B$10,Paramètres!$A$1:$I$89,3,0)*VLOOKUP('Données projet'!$B$10,Paramètres!$A$1:$I$89,5,0)</f>
        <v>0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195.80903373714432</v>
      </c>
      <c r="AO129" s="62">
        <f t="shared" si="90"/>
        <v>388.30721786668977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14.759954545812127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9.4496834887200354E-13</v>
      </c>
      <c r="AX129" s="23">
        <f t="shared" si="60"/>
        <v>14.759954545813072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-5.6843418860808015E-14</v>
      </c>
      <c r="BE129" s="14">
        <f>BD129*VLOOKUP('Données projet'!$B$11,Paramètres!$A$1:$I$89,3,0)*VLOOKUP('Données projet'!$B$11,Paramètres!$A$1:$I$89,5,0)</f>
        <v>-5.1431925385259088E-14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366.86025470473652</v>
      </c>
      <c r="BJ129" s="62">
        <f t="shared" si="92"/>
        <v>513.80016421153414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1.5812563080740962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1.5812563080740962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-5.6843418860808015E-14</v>
      </c>
      <c r="BZ129" s="14">
        <f>BY129*VLOOKUP('Données projet'!$B$12,Paramètres!$A$1:$I$89,3,0)*VLOOKUP('Données projet'!$B$12,Paramètres!$A$1:$I$89,5,0)</f>
        <v>-5.1431925385259088E-14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438.70522838726322</v>
      </c>
      <c r="CE129" s="62">
        <f t="shared" si="94"/>
        <v>278.21741231699929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-5.6843418860808015E-14</v>
      </c>
      <c r="CU129" s="18">
        <f>CT129*VLOOKUP('Données projet'!$B$13,Paramètres!$A$1:$I$89,3,0)*VLOOKUP('Données projet'!$B$13,Paramètres!$A$1:$I$89,5,0)</f>
        <v>-5.7639226724859328E-14</v>
      </c>
      <c r="CV129" s="14" t="e">
        <f t="shared" si="95"/>
        <v>#NUM!</v>
      </c>
      <c r="CW129" s="22" t="e">
        <f t="shared" si="67"/>
        <v>#NUM!</v>
      </c>
      <c r="CX129" s="62" t="e">
        <f t="shared" si="68"/>
        <v>#NUM!</v>
      </c>
      <c r="CY129" s="62">
        <f ca="1">AVERAGE(OFFSET($CX$3,0,0,'Données projet'!$E$13+1,1))-AVERAGE(OFFSET($H$3,0,0,'Données projet'!$E$13+1,1))</f>
        <v>486.63673936259465</v>
      </c>
      <c r="CZ129" s="62">
        <f t="shared" si="96"/>
        <v>306.61893266146666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-3.4106051316484809E-13</v>
      </c>
      <c r="O130" s="14">
        <f>N130*VLOOKUP('Données projet'!$B$9,Paramètres!$A$1:$I$89,3,0)*VLOOKUP('Données projet'!$B$9,Paramètres!$A$1:$I$89,5,0)</f>
        <v>-1.9065282685915009E-13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555.15881087162279</v>
      </c>
      <c r="T130" s="62">
        <f t="shared" si="88"/>
        <v>668.20427590250733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4.1971800417176821</v>
      </c>
      <c r="AA130" s="23">
        <f>EXP(-LN(2)/25)*AA129+(1-EXP(-LN(2)/25))/(LN(2)/25)*Calculateur!V130*Calculateur!X130*VLOOKUP('Données projet'!$B$9,Paramètres!$A$1:$I$89,3,0)*0.475*44/12</f>
        <v>1.5370495112499181</v>
      </c>
      <c r="AB130" s="23">
        <f>EXP(-LN(2)/2)*AB129+(1-EXP(-LN(2)/2))/(LN(2)/2)*V130*Y130*VLOOKUP('Données projet'!$B$9,Paramètres!$A$1:$I$89,3,0)*0.475*44/12</f>
        <v>3.4747264873971062E-14</v>
      </c>
      <c r="AC130" s="24">
        <f t="shared" si="57"/>
        <v>5.7342295529676344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>
        <f>AI130*VLOOKUP('Données projet'!$B$10,Paramètres!$A$1:$I$89,3,0)*VLOOKUP('Données projet'!$B$10,Paramètres!$A$1:$I$89,5,0)</f>
        <v>0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195.80903373714432</v>
      </c>
      <c r="AO130" s="62">
        <f t="shared" si="90"/>
        <v>388.30721786668977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14.470520839852083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6.6819352749404892E-13</v>
      </c>
      <c r="AX130" s="23">
        <f t="shared" si="60"/>
        <v>14.470520839852751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-5.6843418860808015E-14</v>
      </c>
      <c r="BE130" s="14">
        <f>BD130*VLOOKUP('Données projet'!$B$11,Paramètres!$A$1:$I$89,3,0)*VLOOKUP('Données projet'!$B$11,Paramètres!$A$1:$I$89,5,0)</f>
        <v>-5.1431925385259088E-14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366.86025470473652</v>
      </c>
      <c r="BJ130" s="62">
        <f t="shared" si="92"/>
        <v>513.80016421153414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1.5502488363438776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1.5502488363438776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-5.6843418860808015E-14</v>
      </c>
      <c r="BZ130" s="14">
        <f>BY130*VLOOKUP('Données projet'!$B$12,Paramètres!$A$1:$I$89,3,0)*VLOOKUP('Données projet'!$B$12,Paramètres!$A$1:$I$89,5,0)</f>
        <v>-5.1431925385259088E-14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438.70522838726322</v>
      </c>
      <c r="CE130" s="62">
        <f t="shared" si="94"/>
        <v>278.21741231699929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-5.6843418860808015E-14</v>
      </c>
      <c r="CU130" s="18">
        <f>CT130*VLOOKUP('Données projet'!$B$13,Paramètres!$A$1:$I$89,3,0)*VLOOKUP('Données projet'!$B$13,Paramètres!$A$1:$I$89,5,0)</f>
        <v>-5.7639226724859328E-14</v>
      </c>
      <c r="CV130" s="14" t="e">
        <f t="shared" si="95"/>
        <v>#NUM!</v>
      </c>
      <c r="CW130" s="22" t="e">
        <f t="shared" si="67"/>
        <v>#NUM!</v>
      </c>
      <c r="CX130" s="62" t="e">
        <f t="shared" si="68"/>
        <v>#NUM!</v>
      </c>
      <c r="CY130" s="62">
        <f ca="1">AVERAGE(OFFSET($CX$3,0,0,'Données projet'!$E$13+1,1))-AVERAGE(OFFSET($H$3,0,0,'Données projet'!$E$13+1,1))</f>
        <v>486.63673936259465</v>
      </c>
      <c r="CZ130" s="62">
        <f t="shared" si="96"/>
        <v>306.61893266146666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-3.4106051316484809E-13</v>
      </c>
      <c r="O131" s="14">
        <f>N131*VLOOKUP('Données projet'!$B$9,Paramètres!$A$1:$I$89,3,0)*VLOOKUP('Données projet'!$B$9,Paramètres!$A$1:$I$89,5,0)</f>
        <v>-1.9065282685915009E-13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555.15881087162279</v>
      </c>
      <c r="T131" s="62">
        <f t="shared" si="88"/>
        <v>668.20427590250733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4.1148759011266423</v>
      </c>
      <c r="AA131" s="23">
        <f>EXP(-LN(2)/25)*AA130+(1-EXP(-LN(2)/25))/(LN(2)/25)*Calculateur!V131*Calculateur!X131*VLOOKUP('Données projet'!$B$9,Paramètres!$A$1:$I$89,3,0)*0.475*44/12</f>
        <v>1.4950188115348682</v>
      </c>
      <c r="AB131" s="23">
        <f>EXP(-LN(2)/2)*AB130+(1-EXP(-LN(2)/2))/(LN(2)/2)*V131*Y131*VLOOKUP('Données projet'!$B$9,Paramètres!$A$1:$I$89,3,0)*0.475*44/12</f>
        <v>2.4570026620070065E-14</v>
      </c>
      <c r="AC131" s="24">
        <f t="shared" si="57"/>
        <v>5.6098947126615357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>
        <f>AI131*VLOOKUP('Données projet'!$B$10,Paramètres!$A$1:$I$89,3,0)*VLOOKUP('Données projet'!$B$10,Paramètres!$A$1:$I$89,5,0)</f>
        <v>0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195.80903373714432</v>
      </c>
      <c r="AO131" s="62">
        <f t="shared" si="90"/>
        <v>388.30721786668977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14.186762752328788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4.7248417443600177E-13</v>
      </c>
      <c r="AX131" s="23">
        <f t="shared" si="60"/>
        <v>14.18676275232926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-5.6843418860808015E-14</v>
      </c>
      <c r="BE131" s="14">
        <f>BD131*VLOOKUP('Données projet'!$B$11,Paramètres!$A$1:$I$89,3,0)*VLOOKUP('Données projet'!$B$11,Paramètres!$A$1:$I$89,5,0)</f>
        <v>-5.1431925385259088E-14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366.86025470473652</v>
      </c>
      <c r="BJ131" s="62">
        <f t="shared" si="92"/>
        <v>513.80016421153414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1.5198494022215983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1.5198494022215983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-5.6843418860808015E-14</v>
      </c>
      <c r="BZ131" s="14">
        <f>BY131*VLOOKUP('Données projet'!$B$12,Paramètres!$A$1:$I$89,3,0)*VLOOKUP('Données projet'!$B$12,Paramètres!$A$1:$I$89,5,0)</f>
        <v>-5.1431925385259088E-14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438.70522838726322</v>
      </c>
      <c r="CE131" s="62">
        <f t="shared" si="94"/>
        <v>278.21741231699929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-5.6843418860808015E-14</v>
      </c>
      <c r="CU131" s="18">
        <f>CT131*VLOOKUP('Données projet'!$B$13,Paramètres!$A$1:$I$89,3,0)*VLOOKUP('Données projet'!$B$13,Paramètres!$A$1:$I$89,5,0)</f>
        <v>-5.7639226724859328E-14</v>
      </c>
      <c r="CV131" s="14" t="e">
        <f t="shared" si="95"/>
        <v>#NUM!</v>
      </c>
      <c r="CW131" s="22" t="e">
        <f t="shared" si="67"/>
        <v>#NUM!</v>
      </c>
      <c r="CX131" s="62" t="e">
        <f t="shared" si="68"/>
        <v>#NUM!</v>
      </c>
      <c r="CY131" s="62">
        <f ca="1">AVERAGE(OFFSET($CX$3,0,0,'Données projet'!$E$13+1,1))-AVERAGE(OFFSET($H$3,0,0,'Données projet'!$E$13+1,1))</f>
        <v>486.63673936259465</v>
      </c>
      <c r="CZ131" s="62">
        <f t="shared" si="96"/>
        <v>306.61893266146666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-3.4106051316484809E-13</v>
      </c>
      <c r="O132" s="14">
        <f>N132*VLOOKUP('Données projet'!$B$9,Paramètres!$A$1:$I$89,3,0)*VLOOKUP('Données projet'!$B$9,Paramètres!$A$1:$I$89,5,0)</f>
        <v>-1.9065282685915009E-13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555.15881087162279</v>
      </c>
      <c r="T132" s="62">
        <f t="shared" si="88"/>
        <v>668.20427590250733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4.0341856945320238</v>
      </c>
      <c r="AA132" s="23">
        <f>EXP(-LN(2)/25)*AA131+(1-EXP(-LN(2)/25))/(LN(2)/25)*Calculateur!V132*Calculateur!X132*VLOOKUP('Données projet'!$B$9,Paramètres!$A$1:$I$89,3,0)*0.475*44/12</f>
        <v>1.4541374435138248</v>
      </c>
      <c r="AB132" s="23">
        <f>EXP(-LN(2)/2)*AB131+(1-EXP(-LN(2)/2))/(LN(2)/2)*V132*Y132*VLOOKUP('Données projet'!$B$9,Paramètres!$A$1:$I$89,3,0)*0.475*44/12</f>
        <v>1.7373632436985531E-14</v>
      </c>
      <c r="AC132" s="24">
        <f t="shared" ref="AC132:AC153" si="111">SUM(Z132:AB132)</f>
        <v>5.4883231380458666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>
        <f>AI132*VLOOKUP('Données projet'!$B$10,Paramètres!$A$1:$I$89,3,0)*VLOOKUP('Données projet'!$B$10,Paramètres!$A$1:$I$89,5,0)</f>
        <v>0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195.80903373714432</v>
      </c>
      <c r="AO132" s="62">
        <f t="shared" si="90"/>
        <v>388.30721786668977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13.908568987826479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3.3409676374702446E-13</v>
      </c>
      <c r="AX132" s="23">
        <f t="shared" ref="AX132:AX153" si="114">SUM(AU132:AW132)</f>
        <v>13.908568987826813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-5.6843418860808015E-14</v>
      </c>
      <c r="BE132" s="14">
        <f>BD132*VLOOKUP('Données projet'!$B$11,Paramètres!$A$1:$I$89,3,0)*VLOOKUP('Données projet'!$B$11,Paramètres!$A$1:$I$89,5,0)</f>
        <v>-5.1431925385259088E-14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366.86025470473652</v>
      </c>
      <c r="BJ132" s="62">
        <f t="shared" si="92"/>
        <v>513.80016421153414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1.4900460824606327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1.4900460824606327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-5.6843418860808015E-14</v>
      </c>
      <c r="BZ132" s="14">
        <f>BY132*VLOOKUP('Données projet'!$B$12,Paramètres!$A$1:$I$89,3,0)*VLOOKUP('Données projet'!$B$12,Paramètres!$A$1:$I$89,5,0)</f>
        <v>-5.1431925385259088E-14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438.70522838726322</v>
      </c>
      <c r="CE132" s="62">
        <f t="shared" si="94"/>
        <v>278.21741231699929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-5.6843418860808015E-14</v>
      </c>
      <c r="CU132" s="18">
        <f>CT132*VLOOKUP('Données projet'!$B$13,Paramètres!$A$1:$I$89,3,0)*VLOOKUP('Données projet'!$B$13,Paramètres!$A$1:$I$89,5,0)</f>
        <v>-5.7639226724859328E-14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2" t="e">
        <f t="shared" ref="CX132:CX195" si="122">CW132+(CO132+CP132)*44/12</f>
        <v>#NUM!</v>
      </c>
      <c r="CY132" s="62">
        <f ca="1">AVERAGE(OFFSET($CX$3,0,0,'Données projet'!$E$13+1,1))-AVERAGE(OFFSET($H$3,0,0,'Données projet'!$E$13+1,1))</f>
        <v>486.63673936259465</v>
      </c>
      <c r="CZ132" s="62">
        <f t="shared" si="96"/>
        <v>306.61893266146666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-3.4106051316484809E-13</v>
      </c>
      <c r="O133" s="14">
        <f>N133*VLOOKUP('Données projet'!$B$9,Paramètres!$A$1:$I$89,3,0)*VLOOKUP('Données projet'!$B$9,Paramètres!$A$1:$I$89,5,0)</f>
        <v>-1.9065282685915009E-13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555.15881087162279</v>
      </c>
      <c r="T133" s="62">
        <f t="shared" ref="T133:T196" si="142">$T$3</f>
        <v>668.20427590250733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3.9550777736725595</v>
      </c>
      <c r="AA133" s="23">
        <f>EXP(-LN(2)/25)*AA132+(1-EXP(-LN(2)/25))/(LN(2)/25)*Calculateur!V133*Calculateur!X133*VLOOKUP('Données projet'!$B$9,Paramètres!$A$1:$I$89,3,0)*0.475*44/12</f>
        <v>1.4143739786511746</v>
      </c>
      <c r="AB133" s="23">
        <f>EXP(-LN(2)/2)*AB132+(1-EXP(-LN(2)/2))/(LN(2)/2)*V133*Y133*VLOOKUP('Données projet'!$B$9,Paramètres!$A$1:$I$89,3,0)*0.475*44/12</f>
        <v>1.2285013310035032E-14</v>
      </c>
      <c r="AC133" s="24">
        <f t="shared" si="111"/>
        <v>5.3694517523237462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>
        <f>AI133*VLOOKUP('Données projet'!$B$10,Paramètres!$A$1:$I$89,3,0)*VLOOKUP('Données projet'!$B$10,Paramètres!$A$1:$I$89,5,0)</f>
        <v>0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195.80903373714432</v>
      </c>
      <c r="AO133" s="62">
        <f t="shared" ref="AO133:AO196" si="144">$AO$3</f>
        <v>388.30721786668977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13.635830433364619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2.3624208721800089E-13</v>
      </c>
      <c r="AX133" s="23">
        <f t="shared" si="114"/>
        <v>13.635830433364855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-5.6843418860808015E-14</v>
      </c>
      <c r="BE133" s="14">
        <f>BD133*VLOOKUP('Données projet'!$B$11,Paramètres!$A$1:$I$89,3,0)*VLOOKUP('Données projet'!$B$11,Paramètres!$A$1:$I$89,5,0)</f>
        <v>-5.1431925385259088E-14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366.86025470473652</v>
      </c>
      <c r="BJ133" s="62">
        <f t="shared" ref="BJ133:BJ196" si="146">$BJ$3</f>
        <v>513.80016421153414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1.4608271876219496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1.4608271876219496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-5.6843418860808015E-14</v>
      </c>
      <c r="BZ133" s="14">
        <f>BY133*VLOOKUP('Données projet'!$B$12,Paramètres!$A$1:$I$89,3,0)*VLOOKUP('Données projet'!$B$12,Paramètres!$A$1:$I$89,5,0)</f>
        <v>-5.1431925385259088E-14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438.70522838726322</v>
      </c>
      <c r="CE133" s="62">
        <f t="shared" ref="CE133:CE196" si="148">$CE$3</f>
        <v>278.21741231699929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-5.6843418860808015E-14</v>
      </c>
      <c r="CU133" s="18">
        <f>CT133*VLOOKUP('Données projet'!$B$13,Paramètres!$A$1:$I$89,3,0)*VLOOKUP('Données projet'!$B$13,Paramètres!$A$1:$I$89,5,0)</f>
        <v>-5.7639226724859328E-14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2" t="e">
        <f t="shared" si="122"/>
        <v>#NUM!</v>
      </c>
      <c r="CY133" s="62">
        <f ca="1">AVERAGE(OFFSET($CX$3,0,0,'Données projet'!$E$13+1,1))-AVERAGE(OFFSET($H$3,0,0,'Données projet'!$E$13+1,1))</f>
        <v>486.63673936259465</v>
      </c>
      <c r="CZ133" s="62">
        <f t="shared" ref="CZ133:CZ196" si="150">$CZ$3</f>
        <v>306.61893266146666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-3.4106051316484809E-13</v>
      </c>
      <c r="O134" s="14">
        <f>N134*VLOOKUP('Données projet'!$B$9,Paramètres!$A$1:$I$89,3,0)*VLOOKUP('Données projet'!$B$9,Paramètres!$A$1:$I$89,5,0)</f>
        <v>-1.9065282685915009E-13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555.15881087162279</v>
      </c>
      <c r="T134" s="62">
        <f t="shared" si="142"/>
        <v>668.20427590250733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3.8775211108900818</v>
      </c>
      <c r="AA134" s="23">
        <f>EXP(-LN(2)/25)*AA133+(1-EXP(-LN(2)/25))/(LN(2)/25)*Calculateur!V134*Calculateur!X134*VLOOKUP('Données projet'!$B$9,Paramètres!$A$1:$I$89,3,0)*0.475*44/12</f>
        <v>1.3756978478262634</v>
      </c>
      <c r="AB134" s="23">
        <f>EXP(-LN(2)/2)*AB133+(1-EXP(-LN(2)/2))/(LN(2)/2)*V134*Y134*VLOOKUP('Données projet'!$B$9,Paramètres!$A$1:$I$89,3,0)*0.475*44/12</f>
        <v>8.6868162184927654E-15</v>
      </c>
      <c r="AC134" s="24">
        <f t="shared" si="111"/>
        <v>5.2532189587163538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>
        <f>AI134*VLOOKUP('Données projet'!$B$10,Paramètres!$A$1:$I$89,3,0)*VLOOKUP('Données projet'!$B$10,Paramètres!$A$1:$I$89,5,0)</f>
        <v>0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195.80903373714432</v>
      </c>
      <c r="AO134" s="62">
        <f t="shared" si="144"/>
        <v>388.30721786668977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13.368440115601665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1.6704838187351223E-13</v>
      </c>
      <c r="AX134" s="23">
        <f t="shared" si="114"/>
        <v>13.368440115601832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-5.6843418860808015E-14</v>
      </c>
      <c r="BE134" s="14">
        <f>BD134*VLOOKUP('Données projet'!$B$11,Paramètres!$A$1:$I$89,3,0)*VLOOKUP('Données projet'!$B$11,Paramètres!$A$1:$I$89,5,0)</f>
        <v>-5.1431925385259088E-14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366.86025470473652</v>
      </c>
      <c r="BJ134" s="62">
        <f t="shared" si="146"/>
        <v>513.80016421153414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1.4321812574892872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1.4321812574892872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-5.6843418860808015E-14</v>
      </c>
      <c r="BZ134" s="14">
        <f>BY134*VLOOKUP('Données projet'!$B$12,Paramètres!$A$1:$I$89,3,0)*VLOOKUP('Données projet'!$B$12,Paramètres!$A$1:$I$89,5,0)</f>
        <v>-5.1431925385259088E-14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438.70522838726322</v>
      </c>
      <c r="CE134" s="62">
        <f t="shared" si="148"/>
        <v>278.21741231699929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-5.6843418860808015E-14</v>
      </c>
      <c r="CU134" s="18">
        <f>CT134*VLOOKUP('Données projet'!$B$13,Paramètres!$A$1:$I$89,3,0)*VLOOKUP('Données projet'!$B$13,Paramètres!$A$1:$I$89,5,0)</f>
        <v>-5.7639226724859328E-14</v>
      </c>
      <c r="CV134" s="14" t="e">
        <f t="shared" si="149"/>
        <v>#NUM!</v>
      </c>
      <c r="CW134" s="22" t="e">
        <f t="shared" si="121"/>
        <v>#NUM!</v>
      </c>
      <c r="CX134" s="62" t="e">
        <f t="shared" si="122"/>
        <v>#NUM!</v>
      </c>
      <c r="CY134" s="62">
        <f ca="1">AVERAGE(OFFSET($CX$3,0,0,'Données projet'!$E$13+1,1))-AVERAGE(OFFSET($H$3,0,0,'Données projet'!$E$13+1,1))</f>
        <v>486.63673936259465</v>
      </c>
      <c r="CZ134" s="62">
        <f t="shared" si="150"/>
        <v>306.61893266146666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-3.4106051316484809E-13</v>
      </c>
      <c r="O135" s="14">
        <f>N135*VLOOKUP('Données projet'!$B$9,Paramètres!$A$1:$I$89,3,0)*VLOOKUP('Données projet'!$B$9,Paramètres!$A$1:$I$89,5,0)</f>
        <v>-1.9065282685915009E-13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555.15881087162279</v>
      </c>
      <c r="T135" s="62">
        <f t="shared" si="142"/>
        <v>668.20427590250733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3.801485286959875</v>
      </c>
      <c r="AA135" s="23">
        <f>EXP(-LN(2)/25)*AA134+(1-EXP(-LN(2)/25))/(LN(2)/25)*Calculateur!V135*Calculateur!X135*VLOOKUP('Données projet'!$B$9,Paramètres!$A$1:$I$89,3,0)*0.475*44/12</f>
        <v>1.3380793178326487</v>
      </c>
      <c r="AB135" s="23">
        <f>EXP(-LN(2)/2)*AB134+(1-EXP(-LN(2)/2))/(LN(2)/2)*V135*Y135*VLOOKUP('Données projet'!$B$9,Paramètres!$A$1:$I$89,3,0)*0.475*44/12</f>
        <v>6.1425066550175162E-15</v>
      </c>
      <c r="AC135" s="24">
        <f t="shared" si="111"/>
        <v>5.1395646047925299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>
        <f>AI135*VLOOKUP('Données projet'!$B$10,Paramètres!$A$1:$I$89,3,0)*VLOOKUP('Données projet'!$B$10,Paramètres!$A$1:$I$89,5,0)</f>
        <v>0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195.80903373714432</v>
      </c>
      <c r="AO135" s="62">
        <f t="shared" si="144"/>
        <v>388.30721786668977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13.106293158878051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1.1812104360900044E-13</v>
      </c>
      <c r="AX135" s="23">
        <f t="shared" si="114"/>
        <v>13.106293158878168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-5.6843418860808015E-14</v>
      </c>
      <c r="BE135" s="14">
        <f>BD135*VLOOKUP('Données projet'!$B$11,Paramètres!$A$1:$I$89,3,0)*VLOOKUP('Données projet'!$B$11,Paramètres!$A$1:$I$89,5,0)</f>
        <v>-5.1431925385259088E-14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366.86025470473652</v>
      </c>
      <c r="BJ135" s="62">
        <f t="shared" si="146"/>
        <v>513.80016421153414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1.4040970565742339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1.4040970565742339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-5.6843418860808015E-14</v>
      </c>
      <c r="BZ135" s="14">
        <f>BY135*VLOOKUP('Données projet'!$B$12,Paramètres!$A$1:$I$89,3,0)*VLOOKUP('Données projet'!$B$12,Paramètres!$A$1:$I$89,5,0)</f>
        <v>-5.1431925385259088E-14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438.70522838726322</v>
      </c>
      <c r="CE135" s="62">
        <f t="shared" si="148"/>
        <v>278.21741231699929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-5.6843418860808015E-14</v>
      </c>
      <c r="CU135" s="18">
        <f>CT135*VLOOKUP('Données projet'!$B$13,Paramètres!$A$1:$I$89,3,0)*VLOOKUP('Données projet'!$B$13,Paramètres!$A$1:$I$89,5,0)</f>
        <v>-5.7639226724859328E-14</v>
      </c>
      <c r="CV135" s="14" t="e">
        <f t="shared" si="149"/>
        <v>#NUM!</v>
      </c>
      <c r="CW135" s="22" t="e">
        <f t="shared" si="121"/>
        <v>#NUM!</v>
      </c>
      <c r="CX135" s="62" t="e">
        <f t="shared" si="122"/>
        <v>#NUM!</v>
      </c>
      <c r="CY135" s="62">
        <f ca="1">AVERAGE(OFFSET($CX$3,0,0,'Données projet'!$E$13+1,1))-AVERAGE(OFFSET($H$3,0,0,'Données projet'!$E$13+1,1))</f>
        <v>486.63673936259465</v>
      </c>
      <c r="CZ135" s="62">
        <f t="shared" si="150"/>
        <v>306.61893266146666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-3.4106051316484809E-13</v>
      </c>
      <c r="O136" s="14">
        <f>N136*VLOOKUP('Données projet'!$B$9,Paramètres!$A$1:$I$89,3,0)*VLOOKUP('Données projet'!$B$9,Paramètres!$A$1:$I$89,5,0)</f>
        <v>-1.9065282685915009E-13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555.15881087162279</v>
      </c>
      <c r="T136" s="62">
        <f t="shared" si="142"/>
        <v>668.20427590250733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3.7269404791596665</v>
      </c>
      <c r="AA136" s="23">
        <f>EXP(-LN(2)/25)*AA135+(1-EXP(-LN(2)/25))/(LN(2)/25)*Calculateur!V136*Calculateur!X136*VLOOKUP('Données projet'!$B$9,Paramètres!$A$1:$I$89,3,0)*0.475*44/12</f>
        <v>1.3014894685199818</v>
      </c>
      <c r="AB136" s="23">
        <f>EXP(-LN(2)/2)*AB135+(1-EXP(-LN(2)/2))/(LN(2)/2)*V136*Y136*VLOOKUP('Données projet'!$B$9,Paramètres!$A$1:$I$89,3,0)*0.475*44/12</f>
        <v>4.3434081092463827E-15</v>
      </c>
      <c r="AC136" s="24">
        <f t="shared" si="111"/>
        <v>5.028429947679653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>
        <f>AI136*VLOOKUP('Données projet'!$B$10,Paramètres!$A$1:$I$89,3,0)*VLOOKUP('Données projet'!$B$10,Paramètres!$A$1:$I$89,5,0)</f>
        <v>0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195.80903373714432</v>
      </c>
      <c r="AO136" s="62">
        <f t="shared" si="144"/>
        <v>388.30721786668977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12.849286744081933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8.3524190936756116E-14</v>
      </c>
      <c r="AX136" s="23">
        <f t="shared" si="114"/>
        <v>12.849286744082017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-5.6843418860808015E-14</v>
      </c>
      <c r="BE136" s="14">
        <f>BD136*VLOOKUP('Données projet'!$B$11,Paramètres!$A$1:$I$89,3,0)*VLOOKUP('Données projet'!$B$11,Paramètres!$A$1:$I$89,5,0)</f>
        <v>-5.1431925385259088E-14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366.86025470473652</v>
      </c>
      <c r="BJ136" s="62">
        <f t="shared" si="146"/>
        <v>513.80016421153414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1.3765635697094538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1.3765635697094538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-5.6843418860808015E-14</v>
      </c>
      <c r="BZ136" s="14">
        <f>BY136*VLOOKUP('Données projet'!$B$12,Paramètres!$A$1:$I$89,3,0)*VLOOKUP('Données projet'!$B$12,Paramètres!$A$1:$I$89,5,0)</f>
        <v>-5.1431925385259088E-14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438.70522838726322</v>
      </c>
      <c r="CE136" s="62">
        <f t="shared" si="148"/>
        <v>278.21741231699929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-5.6843418860808015E-14</v>
      </c>
      <c r="CU136" s="18">
        <f>CT136*VLOOKUP('Données projet'!$B$13,Paramètres!$A$1:$I$89,3,0)*VLOOKUP('Données projet'!$B$13,Paramètres!$A$1:$I$89,5,0)</f>
        <v>-5.7639226724859328E-14</v>
      </c>
      <c r="CV136" s="14" t="e">
        <f t="shared" si="149"/>
        <v>#NUM!</v>
      </c>
      <c r="CW136" s="22" t="e">
        <f t="shared" si="121"/>
        <v>#NUM!</v>
      </c>
      <c r="CX136" s="62" t="e">
        <f t="shared" si="122"/>
        <v>#NUM!</v>
      </c>
      <c r="CY136" s="62">
        <f ca="1">AVERAGE(OFFSET($CX$3,0,0,'Données projet'!$E$13+1,1))-AVERAGE(OFFSET($H$3,0,0,'Données projet'!$E$13+1,1))</f>
        <v>486.63673936259465</v>
      </c>
      <c r="CZ136" s="62">
        <f t="shared" si="150"/>
        <v>306.61893266146666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-3.4106051316484809E-13</v>
      </c>
      <c r="O137" s="14">
        <f>N137*VLOOKUP('Données projet'!$B$9,Paramètres!$A$1:$I$89,3,0)*VLOOKUP('Données projet'!$B$9,Paramètres!$A$1:$I$89,5,0)</f>
        <v>-1.9065282685915009E-13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555.15881087162279</v>
      </c>
      <c r="T137" s="62">
        <f t="shared" si="142"/>
        <v>668.20427590250733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3.6538574495725769</v>
      </c>
      <c r="AA137" s="23">
        <f>EXP(-LN(2)/25)*AA136+(1-EXP(-LN(2)/25))/(LN(2)/25)*Calculateur!V137*Calculateur!X137*VLOOKUP('Données projet'!$B$9,Paramètres!$A$1:$I$89,3,0)*0.475*44/12</f>
        <v>1.2659001705609463</v>
      </c>
      <c r="AB137" s="23">
        <f>EXP(-LN(2)/2)*AB136+(1-EXP(-LN(2)/2))/(LN(2)/2)*V137*Y137*VLOOKUP('Données projet'!$B$9,Paramètres!$A$1:$I$89,3,0)*0.475*44/12</f>
        <v>3.0712533275087581E-15</v>
      </c>
      <c r="AC137" s="24">
        <f t="shared" si="111"/>
        <v>4.9197576201335256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>
        <f>AI137*VLOOKUP('Données projet'!$B$10,Paramètres!$A$1:$I$89,3,0)*VLOOKUP('Données projet'!$B$10,Paramètres!$A$1:$I$89,5,0)</f>
        <v>0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195.80903373714432</v>
      </c>
      <c r="AO137" s="62">
        <f t="shared" si="144"/>
        <v>388.30721786668977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12.597320068321531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5.9060521804500221E-14</v>
      </c>
      <c r="AX137" s="23">
        <f t="shared" si="114"/>
        <v>12.59732006832159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-5.6843418860808015E-14</v>
      </c>
      <c r="BE137" s="14">
        <f>BD137*VLOOKUP('Données projet'!$B$11,Paramètres!$A$1:$I$89,3,0)*VLOOKUP('Données projet'!$B$11,Paramètres!$A$1:$I$89,5,0)</f>
        <v>-5.1431925385259088E-14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366.86025470473652</v>
      </c>
      <c r="BJ137" s="62">
        <f t="shared" si="146"/>
        <v>513.80016421153414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1.3495699977283233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1.3495699977283233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-5.6843418860808015E-14</v>
      </c>
      <c r="BZ137" s="14">
        <f>BY137*VLOOKUP('Données projet'!$B$12,Paramètres!$A$1:$I$89,3,0)*VLOOKUP('Données projet'!$B$12,Paramètres!$A$1:$I$89,5,0)</f>
        <v>-5.1431925385259088E-14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438.70522838726322</v>
      </c>
      <c r="CE137" s="62">
        <f t="shared" si="148"/>
        <v>278.21741231699929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-5.6843418860808015E-14</v>
      </c>
      <c r="CU137" s="18">
        <f>CT137*VLOOKUP('Données projet'!$B$13,Paramètres!$A$1:$I$89,3,0)*VLOOKUP('Données projet'!$B$13,Paramètres!$A$1:$I$89,5,0)</f>
        <v>-5.7639226724859328E-14</v>
      </c>
      <c r="CV137" s="14" t="e">
        <f t="shared" si="149"/>
        <v>#NUM!</v>
      </c>
      <c r="CW137" s="22" t="e">
        <f t="shared" si="121"/>
        <v>#NUM!</v>
      </c>
      <c r="CX137" s="62" t="e">
        <f t="shared" si="122"/>
        <v>#NUM!</v>
      </c>
      <c r="CY137" s="62">
        <f ca="1">AVERAGE(OFFSET($CX$3,0,0,'Données projet'!$E$13+1,1))-AVERAGE(OFFSET($H$3,0,0,'Données projet'!$E$13+1,1))</f>
        <v>486.63673936259465</v>
      </c>
      <c r="CZ137" s="62">
        <f t="shared" si="150"/>
        <v>306.61893266146666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-3.4106051316484809E-13</v>
      </c>
      <c r="O138" s="14">
        <f>N138*VLOOKUP('Données projet'!$B$9,Paramètres!$A$1:$I$89,3,0)*VLOOKUP('Données projet'!$B$9,Paramètres!$A$1:$I$89,5,0)</f>
        <v>-1.9065282685915009E-13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555.15881087162279</v>
      </c>
      <c r="T138" s="62">
        <f t="shared" si="142"/>
        <v>668.20427590250733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3.5822075336194437</v>
      </c>
      <c r="AA138" s="23">
        <f>EXP(-LN(2)/25)*AA137+(1-EXP(-LN(2)/25))/(LN(2)/25)*Calculateur!V138*Calculateur!X138*VLOOKUP('Données projet'!$B$9,Paramètres!$A$1:$I$89,3,0)*0.475*44/12</f>
        <v>1.2312840638261604</v>
      </c>
      <c r="AB138" s="23">
        <f>EXP(-LN(2)/2)*AB137+(1-EXP(-LN(2)/2))/(LN(2)/2)*V138*Y138*VLOOKUP('Données projet'!$B$9,Paramètres!$A$1:$I$89,3,0)*0.475*44/12</f>
        <v>2.1717040546231913E-15</v>
      </c>
      <c r="AC138" s="24">
        <f t="shared" si="111"/>
        <v>4.8134915974456058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>
        <f>AI138*VLOOKUP('Données projet'!$B$10,Paramètres!$A$1:$I$89,3,0)*VLOOKUP('Données projet'!$B$10,Paramètres!$A$1:$I$89,5,0)</f>
        <v>0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195.80903373714432</v>
      </c>
      <c r="AO138" s="62">
        <f t="shared" si="144"/>
        <v>388.30721786668977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12.350294305388294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4.1762095468378058E-14</v>
      </c>
      <c r="AX138" s="23">
        <f t="shared" si="114"/>
        <v>12.350294305388337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-5.6843418860808015E-14</v>
      </c>
      <c r="BE138" s="14">
        <f>BD138*VLOOKUP('Données projet'!$B$11,Paramètres!$A$1:$I$89,3,0)*VLOOKUP('Données projet'!$B$11,Paramètres!$A$1:$I$89,5,0)</f>
        <v>-5.1431925385259088E-14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366.86025470473652</v>
      </c>
      <c r="BJ138" s="62">
        <f t="shared" si="146"/>
        <v>513.80016421153414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1.3231057532292896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1.3231057532292896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-5.6843418860808015E-14</v>
      </c>
      <c r="BZ138" s="14">
        <f>BY138*VLOOKUP('Données projet'!$B$12,Paramètres!$A$1:$I$89,3,0)*VLOOKUP('Données projet'!$B$12,Paramètres!$A$1:$I$89,5,0)</f>
        <v>-5.1431925385259088E-14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438.70522838726322</v>
      </c>
      <c r="CE138" s="62">
        <f t="shared" si="148"/>
        <v>278.21741231699929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-5.6843418860808015E-14</v>
      </c>
      <c r="CU138" s="18">
        <f>CT138*VLOOKUP('Données projet'!$B$13,Paramètres!$A$1:$I$89,3,0)*VLOOKUP('Données projet'!$B$13,Paramètres!$A$1:$I$89,5,0)</f>
        <v>-5.7639226724859328E-14</v>
      </c>
      <c r="CV138" s="14" t="e">
        <f t="shared" si="149"/>
        <v>#NUM!</v>
      </c>
      <c r="CW138" s="22" t="e">
        <f t="shared" si="121"/>
        <v>#NUM!</v>
      </c>
      <c r="CX138" s="62" t="e">
        <f t="shared" si="122"/>
        <v>#NUM!</v>
      </c>
      <c r="CY138" s="62">
        <f ca="1">AVERAGE(OFFSET($CX$3,0,0,'Données projet'!$E$13+1,1))-AVERAGE(OFFSET($H$3,0,0,'Données projet'!$E$13+1,1))</f>
        <v>486.63673936259465</v>
      </c>
      <c r="CZ138" s="62">
        <f t="shared" si="150"/>
        <v>306.61893266146666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-3.4106051316484809E-13</v>
      </c>
      <c r="O139" s="14">
        <f>N139*VLOOKUP('Données projet'!$B$9,Paramètres!$A$1:$I$89,3,0)*VLOOKUP('Données projet'!$B$9,Paramètres!$A$1:$I$89,5,0)</f>
        <v>-1.9065282685915009E-13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555.15881087162279</v>
      </c>
      <c r="T139" s="62">
        <f t="shared" si="142"/>
        <v>668.20427590250733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3.511962628816018</v>
      </c>
      <c r="AA139" s="23">
        <f>EXP(-LN(2)/25)*AA138+(1-EXP(-LN(2)/25))/(LN(2)/25)*Calculateur!V139*Calculateur!X139*VLOOKUP('Données projet'!$B$9,Paramètres!$A$1:$I$89,3,0)*0.475*44/12</f>
        <v>1.1976145363504194</v>
      </c>
      <c r="AB139" s="23">
        <f>EXP(-LN(2)/2)*AB138+(1-EXP(-LN(2)/2))/(LN(2)/2)*V139*Y139*VLOOKUP('Données projet'!$B$9,Paramètres!$A$1:$I$89,3,0)*0.475*44/12</f>
        <v>1.535626663754379E-15</v>
      </c>
      <c r="AC139" s="24">
        <f t="shared" si="111"/>
        <v>4.7095771651664391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>
        <f>AI139*VLOOKUP('Données projet'!$B$10,Paramètres!$A$1:$I$89,3,0)*VLOOKUP('Données projet'!$B$10,Paramètres!$A$1:$I$89,5,0)</f>
        <v>0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195.80903373714432</v>
      </c>
      <c r="AO139" s="62">
        <f t="shared" si="144"/>
        <v>388.30721786668977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12.10811256699534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2.9530260902250111E-14</v>
      </c>
      <c r="AX139" s="23">
        <f t="shared" si="114"/>
        <v>12.10811256699537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-5.6843418860808015E-14</v>
      </c>
      <c r="BE139" s="14">
        <f>BD139*VLOOKUP('Données projet'!$B$11,Paramètres!$A$1:$I$89,3,0)*VLOOKUP('Données projet'!$B$11,Paramètres!$A$1:$I$89,5,0)</f>
        <v>-5.1431925385259088E-14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366.86025470473652</v>
      </c>
      <c r="BJ139" s="62">
        <f t="shared" si="146"/>
        <v>513.80016421153414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1.2971604564232866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1.2971604564232866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-5.6843418860808015E-14</v>
      </c>
      <c r="BZ139" s="14">
        <f>BY139*VLOOKUP('Données projet'!$B$12,Paramètres!$A$1:$I$89,3,0)*VLOOKUP('Données projet'!$B$12,Paramètres!$A$1:$I$89,5,0)</f>
        <v>-5.1431925385259088E-14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438.70522838726322</v>
      </c>
      <c r="CE139" s="62">
        <f t="shared" si="148"/>
        <v>278.21741231699929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-5.6843418860808015E-14</v>
      </c>
      <c r="CU139" s="18">
        <f>CT139*VLOOKUP('Données projet'!$B$13,Paramètres!$A$1:$I$89,3,0)*VLOOKUP('Données projet'!$B$13,Paramètres!$A$1:$I$89,5,0)</f>
        <v>-5.7639226724859328E-14</v>
      </c>
      <c r="CV139" s="14" t="e">
        <f t="shared" si="149"/>
        <v>#NUM!</v>
      </c>
      <c r="CW139" s="22" t="e">
        <f t="shared" si="121"/>
        <v>#NUM!</v>
      </c>
      <c r="CX139" s="62" t="e">
        <f t="shared" si="122"/>
        <v>#NUM!</v>
      </c>
      <c r="CY139" s="62">
        <f ca="1">AVERAGE(OFFSET($CX$3,0,0,'Données projet'!$E$13+1,1))-AVERAGE(OFFSET($H$3,0,0,'Données projet'!$E$13+1,1))</f>
        <v>486.63673936259465</v>
      </c>
      <c r="CZ139" s="62">
        <f t="shared" si="150"/>
        <v>306.61893266146666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-3.4106051316484809E-13</v>
      </c>
      <c r="O140" s="14">
        <f>N140*VLOOKUP('Données projet'!$B$9,Paramètres!$A$1:$I$89,3,0)*VLOOKUP('Données projet'!$B$9,Paramètres!$A$1:$I$89,5,0)</f>
        <v>-1.9065282685915009E-13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555.15881087162279</v>
      </c>
      <c r="T140" s="62">
        <f t="shared" si="142"/>
        <v>668.20427590250733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3.4430951837506258</v>
      </c>
      <c r="AA140" s="23">
        <f>EXP(-LN(2)/25)*AA139+(1-EXP(-LN(2)/25))/(LN(2)/25)*Calculateur!V140*Calculateur!X140*VLOOKUP('Données projet'!$B$9,Paramètres!$A$1:$I$89,3,0)*0.475*44/12</f>
        <v>1.1648657038741059</v>
      </c>
      <c r="AB140" s="23">
        <f>EXP(-LN(2)/2)*AB139+(1-EXP(-LN(2)/2))/(LN(2)/2)*V140*Y140*VLOOKUP('Données projet'!$B$9,Paramètres!$A$1:$I$89,3,0)*0.475*44/12</f>
        <v>1.0858520273115957E-15</v>
      </c>
      <c r="AC140" s="24">
        <f t="shared" si="111"/>
        <v>4.6079608876247322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>
        <f>AI140*VLOOKUP('Données projet'!$B$10,Paramètres!$A$1:$I$89,3,0)*VLOOKUP('Données projet'!$B$10,Paramètres!$A$1:$I$89,5,0)</f>
        <v>0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195.80903373714432</v>
      </c>
      <c r="AO140" s="62">
        <f t="shared" si="144"/>
        <v>388.30721786668977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11.870679864775997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2.0881047734189029E-14</v>
      </c>
      <c r="AX140" s="23">
        <f t="shared" si="114"/>
        <v>11.870679864776019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-5.6843418860808015E-14</v>
      </c>
      <c r="BE140" s="14">
        <f>BD140*VLOOKUP('Données projet'!$B$11,Paramètres!$A$1:$I$89,3,0)*VLOOKUP('Données projet'!$B$11,Paramètres!$A$1:$I$89,5,0)</f>
        <v>-5.1431925385259088E-14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366.86025470473652</v>
      </c>
      <c r="BJ140" s="62">
        <f t="shared" si="146"/>
        <v>513.80016421153414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1.2717239310625807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1.2717239310625807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-5.6843418860808015E-14</v>
      </c>
      <c r="BZ140" s="14">
        <f>BY140*VLOOKUP('Données projet'!$B$12,Paramètres!$A$1:$I$89,3,0)*VLOOKUP('Données projet'!$B$12,Paramètres!$A$1:$I$89,5,0)</f>
        <v>-5.1431925385259088E-14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438.70522838726322</v>
      </c>
      <c r="CE140" s="62">
        <f t="shared" si="148"/>
        <v>278.21741231699929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-5.6843418860808015E-14</v>
      </c>
      <c r="CU140" s="18">
        <f>CT140*VLOOKUP('Données projet'!$B$13,Paramètres!$A$1:$I$89,3,0)*VLOOKUP('Données projet'!$B$13,Paramètres!$A$1:$I$89,5,0)</f>
        <v>-5.7639226724859328E-14</v>
      </c>
      <c r="CV140" s="14" t="e">
        <f t="shared" si="149"/>
        <v>#NUM!</v>
      </c>
      <c r="CW140" s="22" t="e">
        <f t="shared" si="121"/>
        <v>#NUM!</v>
      </c>
      <c r="CX140" s="62" t="e">
        <f t="shared" si="122"/>
        <v>#NUM!</v>
      </c>
      <c r="CY140" s="62">
        <f ca="1">AVERAGE(OFFSET($CX$3,0,0,'Données projet'!$E$13+1,1))-AVERAGE(OFFSET($H$3,0,0,'Données projet'!$E$13+1,1))</f>
        <v>486.63673936259465</v>
      </c>
      <c r="CZ140" s="62">
        <f t="shared" si="150"/>
        <v>306.61893266146666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-3.4106051316484809E-13</v>
      </c>
      <c r="O141" s="14">
        <f>N141*VLOOKUP('Données projet'!$B$9,Paramètres!$A$1:$I$89,3,0)*VLOOKUP('Données projet'!$B$9,Paramètres!$A$1:$I$89,5,0)</f>
        <v>-1.9065282685915009E-13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555.15881087162279</v>
      </c>
      <c r="T141" s="62">
        <f t="shared" si="142"/>
        <v>668.20427590250733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3.3755781872779722</v>
      </c>
      <c r="AA141" s="23">
        <f>EXP(-LN(2)/25)*AA140+(1-EXP(-LN(2)/25))/(LN(2)/25)*Calculateur!V141*Calculateur!X141*VLOOKUP('Données projet'!$B$9,Paramètres!$A$1:$I$89,3,0)*0.475*44/12</f>
        <v>1.1330123899440434</v>
      </c>
      <c r="AB141" s="23">
        <f>EXP(-LN(2)/2)*AB140+(1-EXP(-LN(2)/2))/(LN(2)/2)*V141*Y141*VLOOKUP('Données projet'!$B$9,Paramètres!$A$1:$I$89,3,0)*0.475*44/12</f>
        <v>7.6781333187718952E-16</v>
      </c>
      <c r="AC141" s="24">
        <f t="shared" si="111"/>
        <v>4.5085905772220167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>
        <f>AI141*VLOOKUP('Données projet'!$B$10,Paramètres!$A$1:$I$89,3,0)*VLOOKUP('Données projet'!$B$10,Paramètres!$A$1:$I$89,5,0)</f>
        <v>0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195.80903373714432</v>
      </c>
      <c r="AO141" s="62">
        <f t="shared" si="144"/>
        <v>388.30721786668977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11.637903073027527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1.4765130451125055E-14</v>
      </c>
      <c r="AX141" s="23">
        <f t="shared" si="114"/>
        <v>11.637903073027541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-5.6843418860808015E-14</v>
      </c>
      <c r="BE141" s="14">
        <f>BD141*VLOOKUP('Données projet'!$B$11,Paramètres!$A$1:$I$89,3,0)*VLOOKUP('Données projet'!$B$11,Paramètres!$A$1:$I$89,5,0)</f>
        <v>-5.1431925385259088E-14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366.86025470473652</v>
      </c>
      <c r="BJ141" s="62">
        <f t="shared" si="146"/>
        <v>513.80016421153414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1.2467862004494499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1.2467862004494499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-5.6843418860808015E-14</v>
      </c>
      <c r="BZ141" s="14">
        <f>BY141*VLOOKUP('Données projet'!$B$12,Paramètres!$A$1:$I$89,3,0)*VLOOKUP('Données projet'!$B$12,Paramètres!$A$1:$I$89,5,0)</f>
        <v>-5.1431925385259088E-14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438.70522838726322</v>
      </c>
      <c r="CE141" s="62">
        <f t="shared" si="148"/>
        <v>278.21741231699929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-5.6843418860808015E-14</v>
      </c>
      <c r="CU141" s="18">
        <f>CT141*VLOOKUP('Données projet'!$B$13,Paramètres!$A$1:$I$89,3,0)*VLOOKUP('Données projet'!$B$13,Paramètres!$A$1:$I$89,5,0)</f>
        <v>-5.7639226724859328E-14</v>
      </c>
      <c r="CV141" s="14" t="e">
        <f t="shared" si="149"/>
        <v>#NUM!</v>
      </c>
      <c r="CW141" s="22" t="e">
        <f t="shared" si="121"/>
        <v>#NUM!</v>
      </c>
      <c r="CX141" s="62" t="e">
        <f t="shared" si="122"/>
        <v>#NUM!</v>
      </c>
      <c r="CY141" s="62">
        <f ca="1">AVERAGE(OFFSET($CX$3,0,0,'Données projet'!$E$13+1,1))-AVERAGE(OFFSET($H$3,0,0,'Données projet'!$E$13+1,1))</f>
        <v>486.63673936259465</v>
      </c>
      <c r="CZ141" s="62">
        <f t="shared" si="150"/>
        <v>306.61893266146666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-3.4106051316484809E-13</v>
      </c>
      <c r="O142" s="14">
        <f>N142*VLOOKUP('Données projet'!$B$9,Paramètres!$A$1:$I$89,3,0)*VLOOKUP('Données projet'!$B$9,Paramètres!$A$1:$I$89,5,0)</f>
        <v>-1.9065282685915009E-13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555.15881087162279</v>
      </c>
      <c r="T142" s="62">
        <f t="shared" si="142"/>
        <v>668.20427590250733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3.3093851579248459</v>
      </c>
      <c r="AA142" s="23">
        <f>EXP(-LN(2)/25)*AA141+(1-EXP(-LN(2)/25))/(LN(2)/25)*Calculateur!V142*Calculateur!X142*VLOOKUP('Données projet'!$B$9,Paramètres!$A$1:$I$89,3,0)*0.475*44/12</f>
        <v>1.1020301065584914</v>
      </c>
      <c r="AB142" s="23">
        <f>EXP(-LN(2)/2)*AB141+(1-EXP(-LN(2)/2))/(LN(2)/2)*V142*Y142*VLOOKUP('Données projet'!$B$9,Paramètres!$A$1:$I$89,3,0)*0.475*44/12</f>
        <v>5.4292601365579784E-16</v>
      </c>
      <c r="AC142" s="24">
        <f t="shared" si="111"/>
        <v>4.4114152644833382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>
        <f>AI142*VLOOKUP('Données projet'!$B$10,Paramètres!$A$1:$I$89,3,0)*VLOOKUP('Données projet'!$B$10,Paramètres!$A$1:$I$89,5,0)</f>
        <v>0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195.80903373714432</v>
      </c>
      <c r="AO142" s="62">
        <f t="shared" si="144"/>
        <v>388.30721786668977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11.40969089218542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1.0440523867094514E-14</v>
      </c>
      <c r="AX142" s="23">
        <f t="shared" si="114"/>
        <v>11.409690892185431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-5.6843418860808015E-14</v>
      </c>
      <c r="BE142" s="14">
        <f>BD142*VLOOKUP('Données projet'!$B$11,Paramètres!$A$1:$I$89,3,0)*VLOOKUP('Données projet'!$B$11,Paramètres!$A$1:$I$89,5,0)</f>
        <v>-5.1431925385259088E-14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366.86025470473652</v>
      </c>
      <c r="BJ142" s="62">
        <f t="shared" si="146"/>
        <v>513.80016421153414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1.2223374835231289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1.2223374835231289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-5.6843418860808015E-14</v>
      </c>
      <c r="BZ142" s="14">
        <f>BY142*VLOOKUP('Données projet'!$B$12,Paramètres!$A$1:$I$89,3,0)*VLOOKUP('Données projet'!$B$12,Paramètres!$A$1:$I$89,5,0)</f>
        <v>-5.1431925385259088E-14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438.70522838726322</v>
      </c>
      <c r="CE142" s="62">
        <f t="shared" si="148"/>
        <v>278.21741231699929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-5.6843418860808015E-14</v>
      </c>
      <c r="CU142" s="18">
        <f>CT142*VLOOKUP('Données projet'!$B$13,Paramètres!$A$1:$I$89,3,0)*VLOOKUP('Données projet'!$B$13,Paramètres!$A$1:$I$89,5,0)</f>
        <v>-5.7639226724859328E-14</v>
      </c>
      <c r="CV142" s="14" t="e">
        <f t="shared" si="149"/>
        <v>#NUM!</v>
      </c>
      <c r="CW142" s="22" t="e">
        <f t="shared" si="121"/>
        <v>#NUM!</v>
      </c>
      <c r="CX142" s="62" t="e">
        <f t="shared" si="122"/>
        <v>#NUM!</v>
      </c>
      <c r="CY142" s="62">
        <f ca="1">AVERAGE(OFFSET($CX$3,0,0,'Données projet'!$E$13+1,1))-AVERAGE(OFFSET($H$3,0,0,'Données projet'!$E$13+1,1))</f>
        <v>486.63673936259465</v>
      </c>
      <c r="CZ142" s="62">
        <f t="shared" si="150"/>
        <v>306.61893266146666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-3.4106051316484809E-13</v>
      </c>
      <c r="O143" s="14">
        <f>N143*VLOOKUP('Données projet'!$B$9,Paramètres!$A$1:$I$89,3,0)*VLOOKUP('Données projet'!$B$9,Paramètres!$A$1:$I$89,5,0)</f>
        <v>-1.9065282685915009E-13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555.15881087162279</v>
      </c>
      <c r="T143" s="62">
        <f t="shared" si="142"/>
        <v>668.20427590250733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3.244490133503573</v>
      </c>
      <c r="AA143" s="23">
        <f>EXP(-LN(2)/25)*AA142+(1-EXP(-LN(2)/25))/(LN(2)/25)*Calculateur!V143*Calculateur!X143*VLOOKUP('Données projet'!$B$9,Paramètres!$A$1:$I$89,3,0)*0.475*44/12</f>
        <v>1.071895035341405</v>
      </c>
      <c r="AB143" s="23">
        <f>EXP(-LN(2)/2)*AB142+(1-EXP(-LN(2)/2))/(LN(2)/2)*V143*Y143*VLOOKUP('Données projet'!$B$9,Paramètres!$A$1:$I$89,3,0)*0.475*44/12</f>
        <v>3.8390666593859476E-16</v>
      </c>
      <c r="AC143" s="24">
        <f t="shared" si="111"/>
        <v>4.3163851688449775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>
        <f>AI143*VLOOKUP('Données projet'!$B$10,Paramètres!$A$1:$I$89,3,0)*VLOOKUP('Données projet'!$B$10,Paramètres!$A$1:$I$89,5,0)</f>
        <v>0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195.80903373714432</v>
      </c>
      <c r="AO143" s="62">
        <f t="shared" si="144"/>
        <v>388.30721786668977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11.185953813013942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7.3825652255625277E-15</v>
      </c>
      <c r="AX143" s="23">
        <f t="shared" si="114"/>
        <v>11.185953813013949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-5.6843418860808015E-14</v>
      </c>
      <c r="BE143" s="14">
        <f>BD143*VLOOKUP('Données projet'!$B$11,Paramètres!$A$1:$I$89,3,0)*VLOOKUP('Données projet'!$B$11,Paramètres!$A$1:$I$89,5,0)</f>
        <v>-5.1431925385259088E-14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366.86025470473652</v>
      </c>
      <c r="BJ143" s="62">
        <f t="shared" si="146"/>
        <v>513.80016421153414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1.198368191023488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1.198368191023488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-5.6843418860808015E-14</v>
      </c>
      <c r="BZ143" s="14">
        <f>BY143*VLOOKUP('Données projet'!$B$12,Paramètres!$A$1:$I$89,3,0)*VLOOKUP('Données projet'!$B$12,Paramètres!$A$1:$I$89,5,0)</f>
        <v>-5.1431925385259088E-14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438.70522838726322</v>
      </c>
      <c r="CE143" s="62">
        <f t="shared" si="148"/>
        <v>278.21741231699929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-5.6843418860808015E-14</v>
      </c>
      <c r="CU143" s="18">
        <f>CT143*VLOOKUP('Données projet'!$B$13,Paramètres!$A$1:$I$89,3,0)*VLOOKUP('Données projet'!$B$13,Paramètres!$A$1:$I$89,5,0)</f>
        <v>-5.7639226724859328E-14</v>
      </c>
      <c r="CV143" s="14" t="e">
        <f t="shared" si="149"/>
        <v>#NUM!</v>
      </c>
      <c r="CW143" s="22" t="e">
        <f t="shared" si="121"/>
        <v>#NUM!</v>
      </c>
      <c r="CX143" s="62" t="e">
        <f t="shared" si="122"/>
        <v>#NUM!</v>
      </c>
      <c r="CY143" s="62">
        <f ca="1">AVERAGE(OFFSET($CX$3,0,0,'Données projet'!$E$13+1,1))-AVERAGE(OFFSET($H$3,0,0,'Données projet'!$E$13+1,1))</f>
        <v>486.63673936259465</v>
      </c>
      <c r="CZ143" s="62">
        <f t="shared" si="150"/>
        <v>306.61893266146666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-3.4106051316484809E-13</v>
      </c>
      <c r="O144" s="14">
        <f>N144*VLOOKUP('Données projet'!$B$9,Paramètres!$A$1:$I$89,3,0)*VLOOKUP('Données projet'!$B$9,Paramètres!$A$1:$I$89,5,0)</f>
        <v>-1.9065282685915009E-13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555.15881087162279</v>
      </c>
      <c r="T144" s="62">
        <f t="shared" si="142"/>
        <v>668.20427590250733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3.1808676609291449</v>
      </c>
      <c r="AA144" s="23">
        <f>EXP(-LN(2)/25)*AA143+(1-EXP(-LN(2)/25))/(LN(2)/25)*Calculateur!V144*Calculateur!X144*VLOOKUP('Données projet'!$B$9,Paramètres!$A$1:$I$89,3,0)*0.475*44/12</f>
        <v>1.0425840092314842</v>
      </c>
      <c r="AB144" s="23">
        <f>EXP(-LN(2)/2)*AB143+(1-EXP(-LN(2)/2))/(LN(2)/2)*V144*Y144*VLOOKUP('Données projet'!$B$9,Paramètres!$A$1:$I$89,3,0)*0.475*44/12</f>
        <v>2.7146300682789892E-16</v>
      </c>
      <c r="AC144" s="24">
        <f t="shared" si="111"/>
        <v>4.2234516701606291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>
        <f>AI144*VLOOKUP('Données projet'!$B$10,Paramètres!$A$1:$I$89,3,0)*VLOOKUP('Données projet'!$B$10,Paramètres!$A$1:$I$89,5,0)</f>
        <v>0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195.80903373714432</v>
      </c>
      <c r="AO144" s="62">
        <f t="shared" si="144"/>
        <v>388.30721786668977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10.966604081498874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5.2202619335472572E-15</v>
      </c>
      <c r="AX144" s="23">
        <f t="shared" si="114"/>
        <v>10.966604081498879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-5.6843418860808015E-14</v>
      </c>
      <c r="BE144" s="14">
        <f>BD144*VLOOKUP('Données projet'!$B$11,Paramètres!$A$1:$I$89,3,0)*VLOOKUP('Données projet'!$B$11,Paramètres!$A$1:$I$89,5,0)</f>
        <v>-5.1431925385259088E-14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366.86025470473652</v>
      </c>
      <c r="BJ144" s="62">
        <f t="shared" si="146"/>
        <v>513.80016421153414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1.1748689217299404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1.1748689217299404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-5.6843418860808015E-14</v>
      </c>
      <c r="BZ144" s="14">
        <f>BY144*VLOOKUP('Données projet'!$B$12,Paramètres!$A$1:$I$89,3,0)*VLOOKUP('Données projet'!$B$12,Paramètres!$A$1:$I$89,5,0)</f>
        <v>-5.1431925385259088E-14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438.70522838726322</v>
      </c>
      <c r="CE144" s="62">
        <f t="shared" si="148"/>
        <v>278.21741231699929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-5.6843418860808015E-14</v>
      </c>
      <c r="CU144" s="18">
        <f>CT144*VLOOKUP('Données projet'!$B$13,Paramètres!$A$1:$I$89,3,0)*VLOOKUP('Données projet'!$B$13,Paramètres!$A$1:$I$89,5,0)</f>
        <v>-5.7639226724859328E-14</v>
      </c>
      <c r="CV144" s="14" t="e">
        <f t="shared" si="149"/>
        <v>#NUM!</v>
      </c>
      <c r="CW144" s="22" t="e">
        <f t="shared" si="121"/>
        <v>#NUM!</v>
      </c>
      <c r="CX144" s="62" t="e">
        <f t="shared" si="122"/>
        <v>#NUM!</v>
      </c>
      <c r="CY144" s="62">
        <f ca="1">AVERAGE(OFFSET($CX$3,0,0,'Données projet'!$E$13+1,1))-AVERAGE(OFFSET($H$3,0,0,'Données projet'!$E$13+1,1))</f>
        <v>486.63673936259465</v>
      </c>
      <c r="CZ144" s="62">
        <f t="shared" si="150"/>
        <v>306.61893266146666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-3.4106051316484809E-13</v>
      </c>
      <c r="O145" s="14">
        <f>N145*VLOOKUP('Données projet'!$B$9,Paramètres!$A$1:$I$89,3,0)*VLOOKUP('Données projet'!$B$9,Paramètres!$A$1:$I$89,5,0)</f>
        <v>-1.9065282685915009E-13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555.15881087162279</v>
      </c>
      <c r="T145" s="62">
        <f t="shared" si="142"/>
        <v>668.20427590250733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3.118492786236025</v>
      </c>
      <c r="AA145" s="23">
        <f>EXP(-LN(2)/25)*AA144+(1-EXP(-LN(2)/25))/(LN(2)/25)*Calculateur!V145*Calculateur!X145*VLOOKUP('Données projet'!$B$9,Paramètres!$A$1:$I$89,3,0)*0.475*44/12</f>
        <v>1.0140744946719391</v>
      </c>
      <c r="AB145" s="23">
        <f>EXP(-LN(2)/2)*AB144+(1-EXP(-LN(2)/2))/(LN(2)/2)*V145*Y145*VLOOKUP('Données projet'!$B$9,Paramètres!$A$1:$I$89,3,0)*0.475*44/12</f>
        <v>1.9195333296929738E-16</v>
      </c>
      <c r="AC145" s="24">
        <f t="shared" si="111"/>
        <v>4.1325672809079643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>
        <f>AI145*VLOOKUP('Données projet'!$B$10,Paramètres!$A$1:$I$89,3,0)*VLOOKUP('Données projet'!$B$10,Paramètres!$A$1:$I$89,5,0)</f>
        <v>0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195.80903373714432</v>
      </c>
      <c r="AO145" s="62">
        <f t="shared" si="144"/>
        <v>388.30721786668977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10.75155566442869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3.6912826127812638E-15</v>
      </c>
      <c r="AX145" s="23">
        <f t="shared" si="114"/>
        <v>10.751555664428693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-5.6843418860808015E-14</v>
      </c>
      <c r="BE145" s="14">
        <f>BD145*VLOOKUP('Données projet'!$B$11,Paramètres!$A$1:$I$89,3,0)*VLOOKUP('Données projet'!$B$11,Paramètres!$A$1:$I$89,5,0)</f>
        <v>-5.1431925385259088E-14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366.86025470473652</v>
      </c>
      <c r="BJ145" s="62">
        <f t="shared" si="146"/>
        <v>513.80016421153414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1.1518304587741002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1.1518304587741002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-5.6843418860808015E-14</v>
      </c>
      <c r="BZ145" s="14">
        <f>BY145*VLOOKUP('Données projet'!$B$12,Paramètres!$A$1:$I$89,3,0)*VLOOKUP('Données projet'!$B$12,Paramètres!$A$1:$I$89,5,0)</f>
        <v>-5.1431925385259088E-14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438.70522838726322</v>
      </c>
      <c r="CE145" s="62">
        <f t="shared" si="148"/>
        <v>278.21741231699929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-5.6843418860808015E-14</v>
      </c>
      <c r="CU145" s="18">
        <f>CT145*VLOOKUP('Données projet'!$B$13,Paramètres!$A$1:$I$89,3,0)*VLOOKUP('Données projet'!$B$13,Paramètres!$A$1:$I$89,5,0)</f>
        <v>-5.7639226724859328E-14</v>
      </c>
      <c r="CV145" s="14" t="e">
        <f t="shared" si="149"/>
        <v>#NUM!</v>
      </c>
      <c r="CW145" s="22" t="e">
        <f t="shared" si="121"/>
        <v>#NUM!</v>
      </c>
      <c r="CX145" s="62" t="e">
        <f t="shared" si="122"/>
        <v>#NUM!</v>
      </c>
      <c r="CY145" s="62">
        <f ca="1">AVERAGE(OFFSET($CX$3,0,0,'Données projet'!$E$13+1,1))-AVERAGE(OFFSET($H$3,0,0,'Données projet'!$E$13+1,1))</f>
        <v>486.63673936259465</v>
      </c>
      <c r="CZ145" s="62">
        <f t="shared" si="150"/>
        <v>306.61893266146666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-3.4106051316484809E-13</v>
      </c>
      <c r="O146" s="14">
        <f>N146*VLOOKUP('Données projet'!$B$9,Paramètres!$A$1:$I$89,3,0)*VLOOKUP('Données projet'!$B$9,Paramètres!$A$1:$I$89,5,0)</f>
        <v>-1.9065282685915009E-13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555.15881087162279</v>
      </c>
      <c r="T146" s="62">
        <f t="shared" si="142"/>
        <v>668.20427590250733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3.0573410447907201</v>
      </c>
      <c r="AA146" s="23">
        <f>EXP(-LN(2)/25)*AA145+(1-EXP(-LN(2)/25))/(LN(2)/25)*Calculateur!V146*Calculateur!X146*VLOOKUP('Données projet'!$B$9,Paramètres!$A$1:$I$89,3,0)*0.475*44/12</f>
        <v>0.98634457428727496</v>
      </c>
      <c r="AB146" s="23">
        <f>EXP(-LN(2)/2)*AB145+(1-EXP(-LN(2)/2))/(LN(2)/2)*V146*Y146*VLOOKUP('Données projet'!$B$9,Paramètres!$A$1:$I$89,3,0)*0.475*44/12</f>
        <v>1.3573150341394946E-16</v>
      </c>
      <c r="AC146" s="24">
        <f t="shared" si="111"/>
        <v>4.0436856190779951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>
        <f>AI146*VLOOKUP('Données projet'!$B$10,Paramètres!$A$1:$I$89,3,0)*VLOOKUP('Données projet'!$B$10,Paramètres!$A$1:$I$89,5,0)</f>
        <v>0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195.80903373714432</v>
      </c>
      <c r="AO146" s="62">
        <f t="shared" si="144"/>
        <v>388.30721786668977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10.54072421565067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2.6101309667736286E-15</v>
      </c>
      <c r="AX146" s="23">
        <f t="shared" si="114"/>
        <v>10.540724215650672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-5.6843418860808015E-14</v>
      </c>
      <c r="BE146" s="14">
        <f>BD146*VLOOKUP('Données projet'!$B$11,Paramètres!$A$1:$I$89,3,0)*VLOOKUP('Données projet'!$B$11,Paramètres!$A$1:$I$89,5,0)</f>
        <v>-5.1431925385259088E-14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366.86025470473652</v>
      </c>
      <c r="BJ146" s="62">
        <f t="shared" si="146"/>
        <v>513.80016421153414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1.1292437660247492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1.1292437660247492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-5.6843418860808015E-14</v>
      </c>
      <c r="BZ146" s="14">
        <f>BY146*VLOOKUP('Données projet'!$B$12,Paramètres!$A$1:$I$89,3,0)*VLOOKUP('Données projet'!$B$12,Paramètres!$A$1:$I$89,5,0)</f>
        <v>-5.1431925385259088E-14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438.70522838726322</v>
      </c>
      <c r="CE146" s="62">
        <f t="shared" si="148"/>
        <v>278.21741231699929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-5.6843418860808015E-14</v>
      </c>
      <c r="CU146" s="18">
        <f>CT146*VLOOKUP('Données projet'!$B$13,Paramètres!$A$1:$I$89,3,0)*VLOOKUP('Données projet'!$B$13,Paramètres!$A$1:$I$89,5,0)</f>
        <v>-5.7639226724859328E-14</v>
      </c>
      <c r="CV146" s="14" t="e">
        <f t="shared" si="149"/>
        <v>#NUM!</v>
      </c>
      <c r="CW146" s="22" t="e">
        <f t="shared" si="121"/>
        <v>#NUM!</v>
      </c>
      <c r="CX146" s="62" t="e">
        <f t="shared" si="122"/>
        <v>#NUM!</v>
      </c>
      <c r="CY146" s="62">
        <f ca="1">AVERAGE(OFFSET($CX$3,0,0,'Données projet'!$E$13+1,1))-AVERAGE(OFFSET($H$3,0,0,'Données projet'!$E$13+1,1))</f>
        <v>486.63673936259465</v>
      </c>
      <c r="CZ146" s="62">
        <f t="shared" si="150"/>
        <v>306.61893266146666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-3.4106051316484809E-13</v>
      </c>
      <c r="O147" s="14">
        <f>N147*VLOOKUP('Données projet'!$B$9,Paramètres!$A$1:$I$89,3,0)*VLOOKUP('Données projet'!$B$9,Paramètres!$A$1:$I$89,5,0)</f>
        <v>-1.9065282685915009E-13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555.15881087162279</v>
      </c>
      <c r="T147" s="62">
        <f t="shared" si="142"/>
        <v>668.20427590250733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2.9973884516962781</v>
      </c>
      <c r="AA147" s="23">
        <f>EXP(-LN(2)/25)*AA146+(1-EXP(-LN(2)/25))/(LN(2)/25)*Calculateur!V147*Calculateur!X147*VLOOKUP('Données projet'!$B$9,Paramètres!$A$1:$I$89,3,0)*0.475*44/12</f>
        <v>0.95937293003378254</v>
      </c>
      <c r="AB147" s="23">
        <f>EXP(-LN(2)/2)*AB146+(1-EXP(-LN(2)/2))/(LN(2)/2)*V147*Y147*VLOOKUP('Données projet'!$B$9,Paramètres!$A$1:$I$89,3,0)*0.475*44/12</f>
        <v>9.597666648464869E-17</v>
      </c>
      <c r="AC147" s="24">
        <f t="shared" si="111"/>
        <v>3.9567613817300606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>
        <f>AI147*VLOOKUP('Données projet'!$B$10,Paramètres!$A$1:$I$89,3,0)*VLOOKUP('Données projet'!$B$10,Paramètres!$A$1:$I$89,5,0)</f>
        <v>0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195.80903373714432</v>
      </c>
      <c r="AO147" s="62">
        <f t="shared" si="144"/>
        <v>388.30721786668977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10.3340270429887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1.8456413063906319E-15</v>
      </c>
      <c r="AX147" s="23">
        <f t="shared" si="114"/>
        <v>10.334027042988701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-5.6843418860808015E-14</v>
      </c>
      <c r="BE147" s="14">
        <f>BD147*VLOOKUP('Données projet'!$B$11,Paramètres!$A$1:$I$89,3,0)*VLOOKUP('Données projet'!$B$11,Paramètres!$A$1:$I$89,5,0)</f>
        <v>-5.1431925385259088E-14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366.86025470473652</v>
      </c>
      <c r="BJ147" s="62">
        <f t="shared" si="146"/>
        <v>513.80016421153414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1.1070999845436906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1.1070999845436906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-5.6843418860808015E-14</v>
      </c>
      <c r="BZ147" s="14">
        <f>BY147*VLOOKUP('Données projet'!$B$12,Paramètres!$A$1:$I$89,3,0)*VLOOKUP('Données projet'!$B$12,Paramètres!$A$1:$I$89,5,0)</f>
        <v>-5.1431925385259088E-14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438.70522838726322</v>
      </c>
      <c r="CE147" s="62">
        <f t="shared" si="148"/>
        <v>278.21741231699929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-5.6843418860808015E-14</v>
      </c>
      <c r="CU147" s="18">
        <f>CT147*VLOOKUP('Données projet'!$B$13,Paramètres!$A$1:$I$89,3,0)*VLOOKUP('Données projet'!$B$13,Paramètres!$A$1:$I$89,5,0)</f>
        <v>-5.7639226724859328E-14</v>
      </c>
      <c r="CV147" s="14" t="e">
        <f t="shared" si="149"/>
        <v>#NUM!</v>
      </c>
      <c r="CW147" s="22" t="e">
        <f t="shared" si="121"/>
        <v>#NUM!</v>
      </c>
      <c r="CX147" s="62" t="e">
        <f t="shared" si="122"/>
        <v>#NUM!</v>
      </c>
      <c r="CY147" s="62">
        <f ca="1">AVERAGE(OFFSET($CX$3,0,0,'Données projet'!$E$13+1,1))-AVERAGE(OFFSET($H$3,0,0,'Données projet'!$E$13+1,1))</f>
        <v>486.63673936259465</v>
      </c>
      <c r="CZ147" s="62">
        <f t="shared" si="150"/>
        <v>306.61893266146666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-3.4106051316484809E-13</v>
      </c>
      <c r="O148" s="14">
        <f>N148*VLOOKUP('Données projet'!$B$9,Paramètres!$A$1:$I$89,3,0)*VLOOKUP('Données projet'!$B$9,Paramètres!$A$1:$I$89,5,0)</f>
        <v>-1.9065282685915009E-13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555.15881087162279</v>
      </c>
      <c r="T148" s="62">
        <f t="shared" si="142"/>
        <v>668.20427590250733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2.9386114923849473</v>
      </c>
      <c r="AA148" s="23">
        <f>EXP(-LN(2)/25)*AA147+(1-EXP(-LN(2)/25))/(LN(2)/25)*Calculateur!V148*Calculateur!X148*VLOOKUP('Données projet'!$B$9,Paramètres!$A$1:$I$89,3,0)*0.475*44/12</f>
        <v>0.93313882681077909</v>
      </c>
      <c r="AB148" s="23">
        <f>EXP(-LN(2)/2)*AB147+(1-EXP(-LN(2)/2))/(LN(2)/2)*V148*Y148*VLOOKUP('Données projet'!$B$9,Paramètres!$A$1:$I$89,3,0)*0.475*44/12</f>
        <v>6.786575170697473E-17</v>
      </c>
      <c r="AC148" s="24">
        <f t="shared" si="111"/>
        <v>3.8717503191957263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>
        <f>AI148*VLOOKUP('Données projet'!$B$10,Paramètres!$A$1:$I$89,3,0)*VLOOKUP('Données projet'!$B$10,Paramètres!$A$1:$I$89,5,0)</f>
        <v>0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195.80903373714432</v>
      </c>
      <c r="AO148" s="62">
        <f t="shared" si="144"/>
        <v>388.30721786668977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10.131383075809804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1.3050654833868143E-15</v>
      </c>
      <c r="AX148" s="23">
        <f t="shared" si="114"/>
        <v>10.131383075809806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-5.6843418860808015E-14</v>
      </c>
      <c r="BE148" s="14">
        <f>BD148*VLOOKUP('Données projet'!$B$11,Paramètres!$A$1:$I$89,3,0)*VLOOKUP('Données projet'!$B$11,Paramètres!$A$1:$I$89,5,0)</f>
        <v>-5.1431925385259088E-14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366.86025470473652</v>
      </c>
      <c r="BJ148" s="62">
        <f t="shared" si="146"/>
        <v>513.80016421153414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1.0853904291111025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1.0853904291111025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-5.6843418860808015E-14</v>
      </c>
      <c r="BZ148" s="14">
        <f>BY148*VLOOKUP('Données projet'!$B$12,Paramètres!$A$1:$I$89,3,0)*VLOOKUP('Données projet'!$B$12,Paramètres!$A$1:$I$89,5,0)</f>
        <v>-5.1431925385259088E-14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438.70522838726322</v>
      </c>
      <c r="CE148" s="62">
        <f t="shared" si="148"/>
        <v>278.21741231699929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-5.6843418860808015E-14</v>
      </c>
      <c r="CU148" s="18">
        <f>CT148*VLOOKUP('Données projet'!$B$13,Paramètres!$A$1:$I$89,3,0)*VLOOKUP('Données projet'!$B$13,Paramètres!$A$1:$I$89,5,0)</f>
        <v>-5.7639226724859328E-14</v>
      </c>
      <c r="CV148" s="14" t="e">
        <f t="shared" si="149"/>
        <v>#NUM!</v>
      </c>
      <c r="CW148" s="22" t="e">
        <f t="shared" si="121"/>
        <v>#NUM!</v>
      </c>
      <c r="CX148" s="62" t="e">
        <f t="shared" si="122"/>
        <v>#NUM!</v>
      </c>
      <c r="CY148" s="62">
        <f ca="1">AVERAGE(OFFSET($CX$3,0,0,'Données projet'!$E$13+1,1))-AVERAGE(OFFSET($H$3,0,0,'Données projet'!$E$13+1,1))</f>
        <v>486.63673936259465</v>
      </c>
      <c r="CZ148" s="62">
        <f t="shared" si="150"/>
        <v>306.61893266146666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-3.4106051316484809E-13</v>
      </c>
      <c r="O149" s="14">
        <f>N149*VLOOKUP('Données projet'!$B$9,Paramètres!$A$1:$I$89,3,0)*VLOOKUP('Données projet'!$B$9,Paramètres!$A$1:$I$89,5,0)</f>
        <v>-1.9065282685915009E-13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555.15881087162279</v>
      </c>
      <c r="T149" s="62">
        <f t="shared" si="142"/>
        <v>668.20427590250733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2.8809871133953067</v>
      </c>
      <c r="AA149" s="23">
        <f>EXP(-LN(2)/25)*AA148+(1-EXP(-LN(2)/25))/(LN(2)/25)*Calculateur!V149*Calculateur!X149*VLOOKUP('Données projet'!$B$9,Paramètres!$A$1:$I$89,3,0)*0.475*44/12</f>
        <v>0.90762209652000014</v>
      </c>
      <c r="AB149" s="23">
        <f>EXP(-LN(2)/2)*AB148+(1-EXP(-LN(2)/2))/(LN(2)/2)*V149*Y149*VLOOKUP('Données projet'!$B$9,Paramètres!$A$1:$I$89,3,0)*0.475*44/12</f>
        <v>4.7988333242324345E-17</v>
      </c>
      <c r="AC149" s="24">
        <f t="shared" si="111"/>
        <v>3.7886092099153066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>
        <f>AI149*VLOOKUP('Données projet'!$B$10,Paramètres!$A$1:$I$89,3,0)*VLOOKUP('Données projet'!$B$10,Paramètres!$A$1:$I$89,5,0)</f>
        <v>0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195.80903373714432</v>
      </c>
      <c r="AO149" s="62">
        <f t="shared" si="144"/>
        <v>388.30721786668977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9.9327128332266721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9.2282065319531596E-16</v>
      </c>
      <c r="AX149" s="23">
        <f t="shared" si="114"/>
        <v>9.9327128332266739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-5.6843418860808015E-14</v>
      </c>
      <c r="BE149" s="14">
        <f>BD149*VLOOKUP('Données projet'!$B$11,Paramètres!$A$1:$I$89,3,0)*VLOOKUP('Données projet'!$B$11,Paramètres!$A$1:$I$89,5,0)</f>
        <v>-5.1431925385259088E-14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366.86025470473652</v>
      </c>
      <c r="BJ149" s="62">
        <f t="shared" si="146"/>
        <v>513.80016421153414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1.0641065848190263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1.0641065848190263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-5.6843418860808015E-14</v>
      </c>
      <c r="BZ149" s="14">
        <f>BY149*VLOOKUP('Données projet'!$B$12,Paramètres!$A$1:$I$89,3,0)*VLOOKUP('Données projet'!$B$12,Paramètres!$A$1:$I$89,5,0)</f>
        <v>-5.1431925385259088E-14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438.70522838726322</v>
      </c>
      <c r="CE149" s="62">
        <f t="shared" si="148"/>
        <v>278.21741231699929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-5.6843418860808015E-14</v>
      </c>
      <c r="CU149" s="18">
        <f>CT149*VLOOKUP('Données projet'!$B$13,Paramètres!$A$1:$I$89,3,0)*VLOOKUP('Données projet'!$B$13,Paramètres!$A$1:$I$89,5,0)</f>
        <v>-5.7639226724859328E-14</v>
      </c>
      <c r="CV149" s="14" t="e">
        <f t="shared" si="149"/>
        <v>#NUM!</v>
      </c>
      <c r="CW149" s="22" t="e">
        <f t="shared" si="121"/>
        <v>#NUM!</v>
      </c>
      <c r="CX149" s="62" t="e">
        <f t="shared" si="122"/>
        <v>#NUM!</v>
      </c>
      <c r="CY149" s="62">
        <f ca="1">AVERAGE(OFFSET($CX$3,0,0,'Données projet'!$E$13+1,1))-AVERAGE(OFFSET($H$3,0,0,'Données projet'!$E$13+1,1))</f>
        <v>486.63673936259465</v>
      </c>
      <c r="CZ149" s="62">
        <f t="shared" si="150"/>
        <v>306.61893266146666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-3.4106051316484809E-13</v>
      </c>
      <c r="O150" s="14">
        <f>N150*VLOOKUP('Données projet'!$B$9,Paramètres!$A$1:$I$89,3,0)*VLOOKUP('Données projet'!$B$9,Paramètres!$A$1:$I$89,5,0)</f>
        <v>-1.9065282685915009E-13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555.15881087162279</v>
      </c>
      <c r="T150" s="62">
        <f t="shared" si="142"/>
        <v>668.20427590250733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2.824492713330252</v>
      </c>
      <c r="AA150" s="23">
        <f>EXP(-LN(2)/25)*AA149+(1-EXP(-LN(2)/25))/(LN(2)/25)*Calculateur!V150*Calculateur!X150*VLOOKUP('Données projet'!$B$9,Paramètres!$A$1:$I$89,3,0)*0.475*44/12</f>
        <v>0.88280312256088911</v>
      </c>
      <c r="AB150" s="23">
        <f>EXP(-LN(2)/2)*AB149+(1-EXP(-LN(2)/2))/(LN(2)/2)*V150*Y150*VLOOKUP('Données projet'!$B$9,Paramètres!$A$1:$I$89,3,0)*0.475*44/12</f>
        <v>3.3932875853487365E-17</v>
      </c>
      <c r="AC150" s="24">
        <f t="shared" si="111"/>
        <v>3.707295835891141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>
        <f>AI150*VLOOKUP('Données projet'!$B$10,Paramètres!$A$1:$I$89,3,0)*VLOOKUP('Données projet'!$B$10,Paramètres!$A$1:$I$89,5,0)</f>
        <v>0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195.80903373714432</v>
      </c>
      <c r="AO150" s="62">
        <f t="shared" si="144"/>
        <v>388.30721786668977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9.7379383929237129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6.5253274169340715E-16</v>
      </c>
      <c r="AX150" s="23">
        <f t="shared" si="114"/>
        <v>9.7379383929237129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-5.6843418860808015E-14</v>
      </c>
      <c r="BE150" s="14">
        <f>BD150*VLOOKUP('Données projet'!$B$11,Paramètres!$A$1:$I$89,3,0)*VLOOKUP('Données projet'!$B$11,Paramètres!$A$1:$I$89,5,0)</f>
        <v>-5.1431925385259088E-14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366.86025470473652</v>
      </c>
      <c r="BJ150" s="62">
        <f t="shared" si="146"/>
        <v>513.80016421153414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1.0432401037316545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1.0432401037316545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-5.6843418860808015E-14</v>
      </c>
      <c r="BZ150" s="14">
        <f>BY150*VLOOKUP('Données projet'!$B$12,Paramètres!$A$1:$I$89,3,0)*VLOOKUP('Données projet'!$B$12,Paramètres!$A$1:$I$89,5,0)</f>
        <v>-5.1431925385259088E-14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438.70522838726322</v>
      </c>
      <c r="CE150" s="62">
        <f t="shared" si="148"/>
        <v>278.21741231699929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-5.6843418860808015E-14</v>
      </c>
      <c r="CU150" s="18">
        <f>CT150*VLOOKUP('Données projet'!$B$13,Paramètres!$A$1:$I$89,3,0)*VLOOKUP('Données projet'!$B$13,Paramètres!$A$1:$I$89,5,0)</f>
        <v>-5.7639226724859328E-14</v>
      </c>
      <c r="CV150" s="14" t="e">
        <f t="shared" si="149"/>
        <v>#NUM!</v>
      </c>
      <c r="CW150" s="22" t="e">
        <f t="shared" si="121"/>
        <v>#NUM!</v>
      </c>
      <c r="CX150" s="62" t="e">
        <f t="shared" si="122"/>
        <v>#NUM!</v>
      </c>
      <c r="CY150" s="62">
        <f ca="1">AVERAGE(OFFSET($CX$3,0,0,'Données projet'!$E$13+1,1))-AVERAGE(OFFSET($H$3,0,0,'Données projet'!$E$13+1,1))</f>
        <v>486.63673936259465</v>
      </c>
      <c r="CZ150" s="62">
        <f t="shared" si="150"/>
        <v>306.61893266146666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-3.4106051316484809E-13</v>
      </c>
      <c r="O151" s="14">
        <f>N151*VLOOKUP('Données projet'!$B$9,Paramètres!$A$1:$I$89,3,0)*VLOOKUP('Données projet'!$B$9,Paramètres!$A$1:$I$89,5,0)</f>
        <v>-1.9065282685915009E-13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555.15881087162279</v>
      </c>
      <c r="T151" s="62">
        <f t="shared" si="142"/>
        <v>668.20427590250733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2.7691061339922913</v>
      </c>
      <c r="AA151" s="23">
        <f>EXP(-LN(2)/25)*AA150+(1-EXP(-LN(2)/25))/(LN(2)/25)*Calculateur!V151*Calculateur!X151*VLOOKUP('Données projet'!$B$9,Paramètres!$A$1:$I$89,3,0)*0.475*44/12</f>
        <v>0.85866282474986311</v>
      </c>
      <c r="AB151" s="23">
        <f>EXP(-LN(2)/2)*AB150+(1-EXP(-LN(2)/2))/(LN(2)/2)*V151*Y151*VLOOKUP('Données projet'!$B$9,Paramètres!$A$1:$I$89,3,0)*0.475*44/12</f>
        <v>2.3994166621162173E-17</v>
      </c>
      <c r="AC151" s="24">
        <f t="shared" si="111"/>
        <v>3.6277689587421547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>
        <f>AI151*VLOOKUP('Données projet'!$B$10,Paramètres!$A$1:$I$89,3,0)*VLOOKUP('Données projet'!$B$10,Paramètres!$A$1:$I$89,5,0)</f>
        <v>0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195.80903373714432</v>
      </c>
      <c r="AO151" s="62">
        <f t="shared" si="144"/>
        <v>388.30721786668977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9.5469833605944157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4.6141032659765798E-16</v>
      </c>
      <c r="AX151" s="23">
        <f t="shared" si="114"/>
        <v>9.5469833605944157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-5.6843418860808015E-14</v>
      </c>
      <c r="BE151" s="14">
        <f>BD151*VLOOKUP('Données projet'!$B$11,Paramètres!$A$1:$I$89,3,0)*VLOOKUP('Données projet'!$B$11,Paramètres!$A$1:$I$89,5,0)</f>
        <v>-5.1431925385259088E-14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366.86025470473652</v>
      </c>
      <c r="BJ151" s="62">
        <f t="shared" si="146"/>
        <v>513.80016421153414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1.0227828016111093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1.0227828016111093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-5.6843418860808015E-14</v>
      </c>
      <c r="BZ151" s="14">
        <f>BY151*VLOOKUP('Données projet'!$B$12,Paramètres!$A$1:$I$89,3,0)*VLOOKUP('Données projet'!$B$12,Paramètres!$A$1:$I$89,5,0)</f>
        <v>-5.1431925385259088E-14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438.70522838726322</v>
      </c>
      <c r="CE151" s="62">
        <f t="shared" si="148"/>
        <v>278.21741231699929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-5.6843418860808015E-14</v>
      </c>
      <c r="CU151" s="18">
        <f>CT151*VLOOKUP('Données projet'!$B$13,Paramètres!$A$1:$I$89,3,0)*VLOOKUP('Données projet'!$B$13,Paramètres!$A$1:$I$89,5,0)</f>
        <v>-5.7639226724859328E-14</v>
      </c>
      <c r="CV151" s="14" t="e">
        <f t="shared" si="149"/>
        <v>#NUM!</v>
      </c>
      <c r="CW151" s="22" t="e">
        <f t="shared" si="121"/>
        <v>#NUM!</v>
      </c>
      <c r="CX151" s="62" t="e">
        <f t="shared" si="122"/>
        <v>#NUM!</v>
      </c>
      <c r="CY151" s="62">
        <f ca="1">AVERAGE(OFFSET($CX$3,0,0,'Données projet'!$E$13+1,1))-AVERAGE(OFFSET($H$3,0,0,'Données projet'!$E$13+1,1))</f>
        <v>486.63673936259465</v>
      </c>
      <c r="CZ151" s="62">
        <f t="shared" si="150"/>
        <v>306.61893266146666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-3.4106051316484809E-13</v>
      </c>
      <c r="O152" s="14">
        <f>N152*VLOOKUP('Données projet'!$B$9,Paramètres!$A$1:$I$89,3,0)*VLOOKUP('Données projet'!$B$9,Paramètres!$A$1:$I$89,5,0)</f>
        <v>-1.9065282685915009E-13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555.15881087162279</v>
      </c>
      <c r="T152" s="62">
        <f t="shared" si="142"/>
        <v>668.20427590250733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2.7148056516926706</v>
      </c>
      <c r="AA152" s="23">
        <f>EXP(-LN(2)/25)*AA151+(1-EXP(-LN(2)/25))/(LN(2)/25)*Calculateur!V152*Calculateur!X152*VLOOKUP('Données projet'!$B$9,Paramètres!$A$1:$I$89,3,0)*0.475*44/12</f>
        <v>0.83518264465196268</v>
      </c>
      <c r="AB152" s="23">
        <f>EXP(-LN(2)/2)*AB151+(1-EXP(-LN(2)/2))/(LN(2)/2)*V152*Y152*VLOOKUP('Données projet'!$B$9,Paramètres!$A$1:$I$89,3,0)*0.475*44/12</f>
        <v>1.6966437926743682E-17</v>
      </c>
      <c r="AC152" s="24">
        <f t="shared" si="111"/>
        <v>3.5499882963446332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>
        <f>AI152*VLOOKUP('Données projet'!$B$10,Paramètres!$A$1:$I$89,3,0)*VLOOKUP('Données projet'!$B$10,Paramètres!$A$1:$I$89,5,0)</f>
        <v>0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195.80903373714432</v>
      </c>
      <c r="AO152" s="62">
        <f t="shared" si="144"/>
        <v>388.30721786668977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9.359772839978028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3.2626637084670358E-16</v>
      </c>
      <c r="AX152" s="23">
        <f t="shared" si="114"/>
        <v>9.359772839978028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-5.6843418860808015E-14</v>
      </c>
      <c r="BE152" s="14">
        <f>BD152*VLOOKUP('Données projet'!$B$11,Paramètres!$A$1:$I$89,3,0)*VLOOKUP('Données projet'!$B$11,Paramètres!$A$1:$I$89,5,0)</f>
        <v>-5.1431925385259088E-14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366.86025470473652</v>
      </c>
      <c r="BJ152" s="62">
        <f t="shared" si="146"/>
        <v>513.80016421153414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1.0027266547074258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1.0027266547074258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-5.6843418860808015E-14</v>
      </c>
      <c r="BZ152" s="14">
        <f>BY152*VLOOKUP('Données projet'!$B$12,Paramètres!$A$1:$I$89,3,0)*VLOOKUP('Données projet'!$B$12,Paramètres!$A$1:$I$89,5,0)</f>
        <v>-5.1431925385259088E-14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438.70522838726322</v>
      </c>
      <c r="CE152" s="62">
        <f t="shared" si="148"/>
        <v>278.21741231699929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-5.6843418860808015E-14</v>
      </c>
      <c r="CU152" s="18">
        <f>CT152*VLOOKUP('Données projet'!$B$13,Paramètres!$A$1:$I$89,3,0)*VLOOKUP('Données projet'!$B$13,Paramètres!$A$1:$I$89,5,0)</f>
        <v>-5.7639226724859328E-14</v>
      </c>
      <c r="CV152" s="14" t="e">
        <f t="shared" si="149"/>
        <v>#NUM!</v>
      </c>
      <c r="CW152" s="22" t="e">
        <f t="shared" si="121"/>
        <v>#NUM!</v>
      </c>
      <c r="CX152" s="62" t="e">
        <f t="shared" si="122"/>
        <v>#NUM!</v>
      </c>
      <c r="CY152" s="62">
        <f ca="1">AVERAGE(OFFSET($CX$3,0,0,'Données projet'!$E$13+1,1))-AVERAGE(OFFSET($H$3,0,0,'Données projet'!$E$13+1,1))</f>
        <v>486.63673936259465</v>
      </c>
      <c r="CZ152" s="62">
        <f t="shared" si="150"/>
        <v>306.61893266146666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-3.4106051316484809E-13</v>
      </c>
      <c r="O153" s="14">
        <f>N153*VLOOKUP('Données projet'!$B$9,Paramètres!$A$1:$I$89,3,0)*VLOOKUP('Données projet'!$B$9,Paramètres!$A$1:$I$89,5,0)</f>
        <v>-1.9065282685915009E-13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555.15881087162279</v>
      </c>
      <c r="T153" s="62">
        <f t="shared" si="142"/>
        <v>668.20427590250733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2.6615699687309213</v>
      </c>
      <c r="AA153" s="23">
        <f>EXP(-LN(2)/25)*AA152+(1-EXP(-LN(2)/25))/(LN(2)/25)*Calculateur!V153*Calculateur!X153*VLOOKUP('Données projet'!$B$9,Paramètres!$A$1:$I$89,3,0)*0.475*44/12</f>
        <v>0.81234453131360829</v>
      </c>
      <c r="AB153" s="23">
        <f>EXP(-LN(2)/2)*AB152+(1-EXP(-LN(2)/2))/(LN(2)/2)*V153*Y153*VLOOKUP('Données projet'!$B$9,Paramètres!$A$1:$I$89,3,0)*0.475*44/12</f>
        <v>1.1997083310581086E-17</v>
      </c>
      <c r="AC153" s="24">
        <f t="shared" si="111"/>
        <v>3.4739145000445295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>
        <f>AI153*VLOOKUP('Données projet'!$B$10,Paramètres!$A$1:$I$89,3,0)*VLOOKUP('Données projet'!$B$10,Paramètres!$A$1:$I$89,5,0)</f>
        <v>0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195.80903373714432</v>
      </c>
      <c r="AO153" s="62">
        <f t="shared" si="144"/>
        <v>388.30721786668977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9.1762334034837849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2.3070516329882899E-16</v>
      </c>
      <c r="AX153" s="23">
        <f t="shared" si="114"/>
        <v>9.1762334034837849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-5.6843418860808015E-14</v>
      </c>
      <c r="BE153" s="14">
        <f>BD153*VLOOKUP('Données projet'!$B$11,Paramètres!$A$1:$I$89,3,0)*VLOOKUP('Données projet'!$B$11,Paramètres!$A$1:$I$89,5,0)</f>
        <v>-5.1431925385259088E-14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366.86025470473652</v>
      </c>
      <c r="BJ153" s="62">
        <f t="shared" si="146"/>
        <v>513.80016421153414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0.9830637966114818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0.9830637966114818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-5.6843418860808015E-14</v>
      </c>
      <c r="BZ153" s="14">
        <f>BY153*VLOOKUP('Données projet'!$B$12,Paramètres!$A$1:$I$89,3,0)*VLOOKUP('Données projet'!$B$12,Paramètres!$A$1:$I$89,5,0)</f>
        <v>-5.1431925385259088E-14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438.70522838726322</v>
      </c>
      <c r="CE153" s="62">
        <f t="shared" si="148"/>
        <v>278.21741231699929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-5.6843418860808015E-14</v>
      </c>
      <c r="CU153" s="18">
        <f>CT153*VLOOKUP('Données projet'!$B$13,Paramètres!$A$1:$I$89,3,0)*VLOOKUP('Données projet'!$B$13,Paramètres!$A$1:$I$89,5,0)</f>
        <v>-5.7639226724859328E-14</v>
      </c>
      <c r="CV153" s="14" t="e">
        <f t="shared" si="149"/>
        <v>#NUM!</v>
      </c>
      <c r="CW153" s="22" t="e">
        <f t="shared" si="121"/>
        <v>#NUM!</v>
      </c>
      <c r="CX153" s="62" t="e">
        <f t="shared" si="122"/>
        <v>#NUM!</v>
      </c>
      <c r="CY153" s="62">
        <f ca="1">AVERAGE(OFFSET($CX$3,0,0,'Données projet'!$E$13+1,1))-AVERAGE(OFFSET($H$3,0,0,'Données projet'!$E$13+1,1))</f>
        <v>486.63673936259465</v>
      </c>
      <c r="CZ153" s="62">
        <f t="shared" si="150"/>
        <v>306.61893266146666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-3.4106051316484809E-13</v>
      </c>
      <c r="O154" s="14">
        <f>N154*VLOOKUP('Données projet'!$B$9,Paramètres!$A$1:$I$89,3,0)*VLOOKUP('Données projet'!$B$9,Paramètres!$A$1:$I$89,5,0)</f>
        <v>-1.9065282685915009E-13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555.15881087162279</v>
      </c>
      <c r="T154" s="62">
        <f t="shared" si="142"/>
        <v>668.20427590250733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2.6093782050414918</v>
      </c>
      <c r="AA154" s="23">
        <f>EXP(-LN(2)/25)*AA153+(1-EXP(-LN(2)/25))/(LN(2)/25)*Calculateur!V154*Calculateur!X154*VLOOKUP('Données projet'!$B$9,Paramètres!$A$1:$I$89,3,0)*0.475*44/12</f>
        <v>0.7901309273854954</v>
      </c>
      <c r="AB154" s="23">
        <f>EXP(-LN(2)/2)*AB153+(1-EXP(-LN(2)/2))/(LN(2)/2)*V154*Y154*VLOOKUP('Données projet'!$B$9,Paramètres!$A$1:$I$89,3,0)*0.475*44/12</f>
        <v>8.4832189633718412E-18</v>
      </c>
      <c r="AC154" s="24">
        <f t="shared" ref="AC154:AC203" si="163">SUM(Z154:AB154)</f>
        <v>3.3995091324269873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>
        <f>AI154*VLOOKUP('Données projet'!$B$10,Paramètres!$A$1:$I$89,3,0)*VLOOKUP('Données projet'!$B$10,Paramètres!$A$1:$I$89,5,0)</f>
        <v>0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195.80903373714432</v>
      </c>
      <c r="AO154" s="62">
        <f t="shared" si="144"/>
        <v>388.30721786668977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8.9962930633911906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1.6313318542335179E-16</v>
      </c>
      <c r="AX154" s="23">
        <f t="shared" ref="AX154:AX203" si="166">SUM(AU154:AW154)</f>
        <v>8.9962930633911906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-5.6843418860808015E-14</v>
      </c>
      <c r="BE154" s="14">
        <f>BD154*VLOOKUP('Données projet'!$B$11,Paramètres!$A$1:$I$89,3,0)*VLOOKUP('Données projet'!$B$11,Paramètres!$A$1:$I$89,5,0)</f>
        <v>-5.1431925385259088E-14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366.86025470473652</v>
      </c>
      <c r="BJ154" s="62">
        <f t="shared" si="146"/>
        <v>513.80016421153414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0.96378651516963998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0.96378651516963998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-5.6843418860808015E-14</v>
      </c>
      <c r="BZ154" s="14">
        <f>BY154*VLOOKUP('Données projet'!$B$12,Paramètres!$A$1:$I$89,3,0)*VLOOKUP('Données projet'!$B$12,Paramètres!$A$1:$I$89,5,0)</f>
        <v>-5.1431925385259088E-14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438.70522838726322</v>
      </c>
      <c r="CE154" s="62">
        <f t="shared" si="148"/>
        <v>278.21741231699929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-5.6843418860808015E-14</v>
      </c>
      <c r="CU154" s="18">
        <f>CT154*VLOOKUP('Données projet'!$B$13,Paramètres!$A$1:$I$89,3,0)*VLOOKUP('Données projet'!$B$13,Paramètres!$A$1:$I$89,5,0)</f>
        <v>-5.7639226724859328E-14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2" t="e">
        <f t="shared" si="122"/>
        <v>#NUM!</v>
      </c>
      <c r="CY154" s="62">
        <f ca="1">AVERAGE(OFFSET($CX$3,0,0,'Données projet'!$E$13+1,1))-AVERAGE(OFFSET($H$3,0,0,'Données projet'!$E$13+1,1))</f>
        <v>486.63673936259465</v>
      </c>
      <c r="CZ154" s="62">
        <f t="shared" si="150"/>
        <v>306.61893266146666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-3.4106051316484809E-13</v>
      </c>
      <c r="O155" s="14">
        <f>N155*VLOOKUP('Données projet'!$B$9,Paramètres!$A$1:$I$89,3,0)*VLOOKUP('Données projet'!$B$9,Paramètres!$A$1:$I$89,5,0)</f>
        <v>-1.9065282685915009E-13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555.15881087162279</v>
      </c>
      <c r="T155" s="62">
        <f t="shared" si="142"/>
        <v>668.20427590250733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2.5582098900041794</v>
      </c>
      <c r="AA155" s="23">
        <f>EXP(-LN(2)/25)*AA154+(1-EXP(-LN(2)/25))/(LN(2)/25)*Calculateur!V155*Calculateur!X155*VLOOKUP('Données projet'!$B$9,Paramètres!$A$1:$I$89,3,0)*0.475*44/12</f>
        <v>0.76852475562495948</v>
      </c>
      <c r="AB155" s="23">
        <f>EXP(-LN(2)/2)*AB154+(1-EXP(-LN(2)/2))/(LN(2)/2)*V155*Y155*VLOOKUP('Données projet'!$B$9,Paramètres!$A$1:$I$89,3,0)*0.475*44/12</f>
        <v>5.9985416552905431E-18</v>
      </c>
      <c r="AC155" s="24">
        <f t="shared" si="163"/>
        <v>3.3267346456291387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>
        <f>AI155*VLOOKUP('Données projet'!$B$10,Paramètres!$A$1:$I$89,3,0)*VLOOKUP('Données projet'!$B$10,Paramètres!$A$1:$I$89,5,0)</f>
        <v>0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195.80903373714432</v>
      </c>
      <c r="AO155" s="62">
        <f t="shared" si="144"/>
        <v>388.30721786668977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8.8198812436150416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1.153525816494145E-16</v>
      </c>
      <c r="AX155" s="23">
        <f t="shared" si="166"/>
        <v>8.8198812436150416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-5.6843418860808015E-14</v>
      </c>
      <c r="BE155" s="14">
        <f>BD155*VLOOKUP('Données projet'!$B$11,Paramètres!$A$1:$I$89,3,0)*VLOOKUP('Données projet'!$B$11,Paramètres!$A$1:$I$89,5,0)</f>
        <v>-5.1431925385259088E-14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366.86025470473652</v>
      </c>
      <c r="BJ155" s="62">
        <f t="shared" si="146"/>
        <v>513.80016421153414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0.94488724945889202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0.94488724945889202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-5.6843418860808015E-14</v>
      </c>
      <c r="BZ155" s="14">
        <f>BY155*VLOOKUP('Données projet'!$B$12,Paramètres!$A$1:$I$89,3,0)*VLOOKUP('Données projet'!$B$12,Paramètres!$A$1:$I$89,5,0)</f>
        <v>-5.1431925385259088E-14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438.70522838726322</v>
      </c>
      <c r="CE155" s="62">
        <f t="shared" si="148"/>
        <v>278.21741231699929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-5.6843418860808015E-14</v>
      </c>
      <c r="CU155" s="18">
        <f>CT155*VLOOKUP('Données projet'!$B$13,Paramètres!$A$1:$I$89,3,0)*VLOOKUP('Données projet'!$B$13,Paramètres!$A$1:$I$89,5,0)</f>
        <v>-5.7639226724859328E-14</v>
      </c>
      <c r="CV155" s="14" t="e">
        <f t="shared" si="173"/>
        <v>#NUM!</v>
      </c>
      <c r="CW155" s="22" t="e">
        <f t="shared" si="174"/>
        <v>#NUM!</v>
      </c>
      <c r="CX155" s="62" t="e">
        <f t="shared" si="122"/>
        <v>#NUM!</v>
      </c>
      <c r="CY155" s="62">
        <f ca="1">AVERAGE(OFFSET($CX$3,0,0,'Données projet'!$E$13+1,1))-AVERAGE(OFFSET($H$3,0,0,'Données projet'!$E$13+1,1))</f>
        <v>486.63673936259465</v>
      </c>
      <c r="CZ155" s="62">
        <f t="shared" si="150"/>
        <v>306.61893266146666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-3.4106051316484809E-13</v>
      </c>
      <c r="O156" s="14">
        <f>N156*VLOOKUP('Données projet'!$B$9,Paramètres!$A$1:$I$89,3,0)*VLOOKUP('Données projet'!$B$9,Paramètres!$A$1:$I$89,5,0)</f>
        <v>-1.9065282685915009E-13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555.15881087162279</v>
      </c>
      <c r="T156" s="62">
        <f t="shared" si="142"/>
        <v>668.20427590250733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2.5080449544151584</v>
      </c>
      <c r="AA156" s="23">
        <f>EXP(-LN(2)/25)*AA155+(1-EXP(-LN(2)/25))/(LN(2)/25)*Calculateur!V156*Calculateur!X156*VLOOKUP('Données projet'!$B$9,Paramètres!$A$1:$I$89,3,0)*0.475*44/12</f>
        <v>0.74750940576743452</v>
      </c>
      <c r="AB156" s="23">
        <f>EXP(-LN(2)/2)*AB155+(1-EXP(-LN(2)/2))/(LN(2)/2)*V156*Y156*VLOOKUP('Données projet'!$B$9,Paramètres!$A$1:$I$89,3,0)*0.475*44/12</f>
        <v>4.2416094816859206E-18</v>
      </c>
      <c r="AC156" s="24">
        <f t="shared" si="163"/>
        <v>3.2555543601825931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>
        <f>AI156*VLOOKUP('Données projet'!$B$10,Paramètres!$A$1:$I$89,3,0)*VLOOKUP('Données projet'!$B$10,Paramètres!$A$1:$I$89,5,0)</f>
        <v>0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195.80903373714432</v>
      </c>
      <c r="AO156" s="62">
        <f t="shared" si="144"/>
        <v>388.30721786668977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8.6469287520241185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8.1566592711675894E-17</v>
      </c>
      <c r="AX156" s="23">
        <f t="shared" si="166"/>
        <v>8.6469287520241185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-5.6843418860808015E-14</v>
      </c>
      <c r="BE156" s="14">
        <f>BD156*VLOOKUP('Données projet'!$B$11,Paramètres!$A$1:$I$89,3,0)*VLOOKUP('Données projet'!$B$11,Paramètres!$A$1:$I$89,5,0)</f>
        <v>-5.1431925385259088E-14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366.86025470473652</v>
      </c>
      <c r="BJ156" s="62">
        <f t="shared" si="146"/>
        <v>513.80016421153414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0.926358586821318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0.926358586821318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-5.6843418860808015E-14</v>
      </c>
      <c r="BZ156" s="14">
        <f>BY156*VLOOKUP('Données projet'!$B$12,Paramètres!$A$1:$I$89,3,0)*VLOOKUP('Données projet'!$B$12,Paramètres!$A$1:$I$89,5,0)</f>
        <v>-5.1431925385259088E-14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438.70522838726322</v>
      </c>
      <c r="CE156" s="62">
        <f t="shared" si="148"/>
        <v>278.21741231699929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-5.6843418860808015E-14</v>
      </c>
      <c r="CU156" s="18">
        <f>CT156*VLOOKUP('Données projet'!$B$13,Paramètres!$A$1:$I$89,3,0)*VLOOKUP('Données projet'!$B$13,Paramètres!$A$1:$I$89,5,0)</f>
        <v>-5.7639226724859328E-14</v>
      </c>
      <c r="CV156" s="14" t="e">
        <f t="shared" si="173"/>
        <v>#NUM!</v>
      </c>
      <c r="CW156" s="22" t="e">
        <f t="shared" si="174"/>
        <v>#NUM!</v>
      </c>
      <c r="CX156" s="62" t="e">
        <f t="shared" si="122"/>
        <v>#NUM!</v>
      </c>
      <c r="CY156" s="62">
        <f ca="1">AVERAGE(OFFSET($CX$3,0,0,'Données projet'!$E$13+1,1))-AVERAGE(OFFSET($H$3,0,0,'Données projet'!$E$13+1,1))</f>
        <v>486.63673936259465</v>
      </c>
      <c r="CZ156" s="62">
        <f t="shared" si="150"/>
        <v>306.61893266146666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-3.4106051316484809E-13</v>
      </c>
      <c r="O157" s="14">
        <f>N157*VLOOKUP('Données projet'!$B$9,Paramètres!$A$1:$I$89,3,0)*VLOOKUP('Données projet'!$B$9,Paramètres!$A$1:$I$89,5,0)</f>
        <v>-1.9065282685915009E-13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555.15881087162279</v>
      </c>
      <c r="T157" s="62">
        <f t="shared" si="142"/>
        <v>668.20427590250733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2.4588637226154484</v>
      </c>
      <c r="AA157" s="23">
        <f>EXP(-LN(2)/25)*AA156+(1-EXP(-LN(2)/25))/(LN(2)/25)*Calculateur!V157*Calculateur!X157*VLOOKUP('Données projet'!$B$9,Paramètres!$A$1:$I$89,3,0)*0.475*44/12</f>
        <v>0.72706872175691284</v>
      </c>
      <c r="AB157" s="23">
        <f>EXP(-LN(2)/2)*AB156+(1-EXP(-LN(2)/2))/(LN(2)/2)*V157*Y157*VLOOKUP('Données projet'!$B$9,Paramètres!$A$1:$I$89,3,0)*0.475*44/12</f>
        <v>2.9992708276452716E-18</v>
      </c>
      <c r="AC157" s="24">
        <f t="shared" si="163"/>
        <v>3.1859324443723613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>
        <f>AI157*VLOOKUP('Données projet'!$B$10,Paramètres!$A$1:$I$89,3,0)*VLOOKUP('Données projet'!$B$10,Paramètres!$A$1:$I$89,5,0)</f>
        <v>0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195.80903373714432</v>
      </c>
      <c r="AO157" s="62">
        <f t="shared" si="144"/>
        <v>388.30721786668977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8.4773677533026888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5.7676290824707248E-17</v>
      </c>
      <c r="AX157" s="23">
        <f t="shared" si="166"/>
        <v>8.4773677533026888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-5.6843418860808015E-14</v>
      </c>
      <c r="BE157" s="14">
        <f>BD157*VLOOKUP('Données projet'!$B$11,Paramètres!$A$1:$I$89,3,0)*VLOOKUP('Données projet'!$B$11,Paramètres!$A$1:$I$89,5,0)</f>
        <v>-5.1431925385259088E-14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366.86025470473652</v>
      </c>
      <c r="BJ157" s="62">
        <f t="shared" si="146"/>
        <v>513.80016421153414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0.90819325995669853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0.90819325995669853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-5.6843418860808015E-14</v>
      </c>
      <c r="BZ157" s="14">
        <f>BY157*VLOOKUP('Données projet'!$B$12,Paramètres!$A$1:$I$89,3,0)*VLOOKUP('Données projet'!$B$12,Paramètres!$A$1:$I$89,5,0)</f>
        <v>-5.1431925385259088E-14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438.70522838726322</v>
      </c>
      <c r="CE157" s="62">
        <f t="shared" si="148"/>
        <v>278.21741231699929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-5.6843418860808015E-14</v>
      </c>
      <c r="CU157" s="18">
        <f>CT157*VLOOKUP('Données projet'!$B$13,Paramètres!$A$1:$I$89,3,0)*VLOOKUP('Données projet'!$B$13,Paramètres!$A$1:$I$89,5,0)</f>
        <v>-5.7639226724859328E-14</v>
      </c>
      <c r="CV157" s="14" t="e">
        <f t="shared" si="173"/>
        <v>#NUM!</v>
      </c>
      <c r="CW157" s="22" t="e">
        <f t="shared" si="174"/>
        <v>#NUM!</v>
      </c>
      <c r="CX157" s="62" t="e">
        <f t="shared" si="122"/>
        <v>#NUM!</v>
      </c>
      <c r="CY157" s="62">
        <f ca="1">AVERAGE(OFFSET($CX$3,0,0,'Données projet'!$E$13+1,1))-AVERAGE(OFFSET($H$3,0,0,'Données projet'!$E$13+1,1))</f>
        <v>486.63673936259465</v>
      </c>
      <c r="CZ157" s="62">
        <f t="shared" si="150"/>
        <v>306.61893266146666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-3.4106051316484809E-13</v>
      </c>
      <c r="O158" s="14">
        <f>N158*VLOOKUP('Données projet'!$B$9,Paramètres!$A$1:$I$89,3,0)*VLOOKUP('Données projet'!$B$9,Paramètres!$A$1:$I$89,5,0)</f>
        <v>-1.9065282685915009E-13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555.15881087162279</v>
      </c>
      <c r="T158" s="62">
        <f t="shared" si="142"/>
        <v>668.20427590250733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2.4106469047737416</v>
      </c>
      <c r="AA158" s="23">
        <f>EXP(-LN(2)/25)*AA157+(1-EXP(-LN(2)/25))/(LN(2)/25)*Calculateur!V158*Calculateur!X158*VLOOKUP('Données projet'!$B$9,Paramètres!$A$1:$I$89,3,0)*0.475*44/12</f>
        <v>0.70718698932558777</v>
      </c>
      <c r="AB158" s="23">
        <f>EXP(-LN(2)/2)*AB157+(1-EXP(-LN(2)/2))/(LN(2)/2)*V158*Y158*VLOOKUP('Données projet'!$B$9,Paramètres!$A$1:$I$89,3,0)*0.475*44/12</f>
        <v>2.1208047408429603E-18</v>
      </c>
      <c r="AC158" s="24">
        <f t="shared" si="163"/>
        <v>3.1178338940993293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>
        <f>AI158*VLOOKUP('Données projet'!$B$10,Paramètres!$A$1:$I$89,3,0)*VLOOKUP('Données projet'!$B$10,Paramètres!$A$1:$I$89,5,0)</f>
        <v>0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195.80903373714432</v>
      </c>
      <c r="AO158" s="62">
        <f t="shared" si="144"/>
        <v>388.30721786668977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8.3111317423441893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4.0783296355837947E-17</v>
      </c>
      <c r="AX158" s="23">
        <f t="shared" si="166"/>
        <v>8.3111317423441893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-5.6843418860808015E-14</v>
      </c>
      <c r="BE158" s="14">
        <f>BD158*VLOOKUP('Données projet'!$B$11,Paramètres!$A$1:$I$89,3,0)*VLOOKUP('Données projet'!$B$11,Paramètres!$A$1:$I$89,5,0)</f>
        <v>-5.1431925385259088E-14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366.86025470473652</v>
      </c>
      <c r="BJ158" s="62">
        <f t="shared" si="146"/>
        <v>513.80016421153414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0.89038414407213895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0.89038414407213895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-5.6843418860808015E-14</v>
      </c>
      <c r="BZ158" s="14">
        <f>BY158*VLOOKUP('Données projet'!$B$12,Paramètres!$A$1:$I$89,3,0)*VLOOKUP('Données projet'!$B$12,Paramètres!$A$1:$I$89,5,0)</f>
        <v>-5.1431925385259088E-14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438.70522838726322</v>
      </c>
      <c r="CE158" s="62">
        <f t="shared" si="148"/>
        <v>278.21741231699929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-5.6843418860808015E-14</v>
      </c>
      <c r="CU158" s="18">
        <f>CT158*VLOOKUP('Données projet'!$B$13,Paramètres!$A$1:$I$89,3,0)*VLOOKUP('Données projet'!$B$13,Paramètres!$A$1:$I$89,5,0)</f>
        <v>-5.7639226724859328E-14</v>
      </c>
      <c r="CV158" s="14" t="e">
        <f t="shared" si="173"/>
        <v>#NUM!</v>
      </c>
      <c r="CW158" s="22" t="e">
        <f t="shared" si="174"/>
        <v>#NUM!</v>
      </c>
      <c r="CX158" s="62" t="e">
        <f t="shared" si="122"/>
        <v>#NUM!</v>
      </c>
      <c r="CY158" s="62">
        <f ca="1">AVERAGE(OFFSET($CX$3,0,0,'Données projet'!$E$13+1,1))-AVERAGE(OFFSET($H$3,0,0,'Données projet'!$E$13+1,1))</f>
        <v>486.63673936259465</v>
      </c>
      <c r="CZ158" s="62">
        <f t="shared" si="150"/>
        <v>306.61893266146666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-3.4106051316484809E-13</v>
      </c>
      <c r="O159" s="14">
        <f>N159*VLOOKUP('Données projet'!$B$9,Paramètres!$A$1:$I$89,3,0)*VLOOKUP('Données projet'!$B$9,Paramètres!$A$1:$I$89,5,0)</f>
        <v>-1.9065282685915009E-13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555.15881087162279</v>
      </c>
      <c r="T159" s="62">
        <f t="shared" si="142"/>
        <v>668.20427590250733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2.3633755893205555</v>
      </c>
      <c r="AA159" s="23">
        <f>EXP(-LN(2)/25)*AA158+(1-EXP(-LN(2)/25))/(LN(2)/25)*Calculateur!V159*Calculateur!X159*VLOOKUP('Données projet'!$B$9,Paramètres!$A$1:$I$89,3,0)*0.475*44/12</f>
        <v>0.68784892391313213</v>
      </c>
      <c r="AB159" s="23">
        <f>EXP(-LN(2)/2)*AB158+(1-EXP(-LN(2)/2))/(LN(2)/2)*V159*Y159*VLOOKUP('Données projet'!$B$9,Paramètres!$A$1:$I$89,3,0)*0.475*44/12</f>
        <v>1.4996354138226358E-18</v>
      </c>
      <c r="AC159" s="24">
        <f t="shared" si="163"/>
        <v>3.0512245132336875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>
        <f>AI159*VLOOKUP('Données projet'!$B$10,Paramètres!$A$1:$I$89,3,0)*VLOOKUP('Données projet'!$B$10,Paramètres!$A$1:$I$89,5,0)</f>
        <v>0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195.80903373714432</v>
      </c>
      <c r="AO159" s="62">
        <f t="shared" si="144"/>
        <v>388.30721786668977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8.1481555181666323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2.8838145412353624E-17</v>
      </c>
      <c r="AX159" s="23">
        <f t="shared" si="166"/>
        <v>8.1481555181666323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-5.6843418860808015E-14</v>
      </c>
      <c r="BE159" s="14">
        <f>BD159*VLOOKUP('Données projet'!$B$11,Paramètres!$A$1:$I$89,3,0)*VLOOKUP('Données projet'!$B$11,Paramètres!$A$1:$I$89,5,0)</f>
        <v>-5.1431925385259088E-14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366.86025470473652</v>
      </c>
      <c r="BJ159" s="62">
        <f t="shared" si="146"/>
        <v>513.80016421153414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0.87292425408758745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0.87292425408758745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-5.6843418860808015E-14</v>
      </c>
      <c r="BZ159" s="14">
        <f>BY159*VLOOKUP('Données projet'!$B$12,Paramètres!$A$1:$I$89,3,0)*VLOOKUP('Données projet'!$B$12,Paramètres!$A$1:$I$89,5,0)</f>
        <v>-5.1431925385259088E-14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438.70522838726322</v>
      </c>
      <c r="CE159" s="62">
        <f t="shared" si="148"/>
        <v>278.21741231699929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-5.6843418860808015E-14</v>
      </c>
      <c r="CU159" s="18">
        <f>CT159*VLOOKUP('Données projet'!$B$13,Paramètres!$A$1:$I$89,3,0)*VLOOKUP('Données projet'!$B$13,Paramètres!$A$1:$I$89,5,0)</f>
        <v>-5.7639226724859328E-14</v>
      </c>
      <c r="CV159" s="14" t="e">
        <f t="shared" si="173"/>
        <v>#NUM!</v>
      </c>
      <c r="CW159" s="22" t="e">
        <f t="shared" si="174"/>
        <v>#NUM!</v>
      </c>
      <c r="CX159" s="62" t="e">
        <f t="shared" si="122"/>
        <v>#NUM!</v>
      </c>
      <c r="CY159" s="62">
        <f ca="1">AVERAGE(OFFSET($CX$3,0,0,'Données projet'!$E$13+1,1))-AVERAGE(OFFSET($H$3,0,0,'Données projet'!$E$13+1,1))</f>
        <v>486.63673936259465</v>
      </c>
      <c r="CZ159" s="62">
        <f t="shared" si="150"/>
        <v>306.61893266146666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-3.4106051316484809E-13</v>
      </c>
      <c r="O160" s="14">
        <f>N160*VLOOKUP('Données projet'!$B$9,Paramètres!$A$1:$I$89,3,0)*VLOOKUP('Données projet'!$B$9,Paramètres!$A$1:$I$89,5,0)</f>
        <v>-1.9065282685915009E-13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555.15881087162279</v>
      </c>
      <c r="T160" s="62">
        <f t="shared" si="142"/>
        <v>668.20427590250733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2.317031235530751</v>
      </c>
      <c r="AA160" s="23">
        <f>EXP(-LN(2)/25)*AA159+(1-EXP(-LN(2)/25))/(LN(2)/25)*Calculateur!V160*Calculateur!X160*VLOOKUP('Données projet'!$B$9,Paramètres!$A$1:$I$89,3,0)*0.475*44/12</f>
        <v>0.66903965891632478</v>
      </c>
      <c r="AB160" s="23">
        <f>EXP(-LN(2)/2)*AB159+(1-EXP(-LN(2)/2))/(LN(2)/2)*V160*Y160*VLOOKUP('Données projet'!$B$9,Paramètres!$A$1:$I$89,3,0)*0.475*44/12</f>
        <v>1.0604023704214801E-18</v>
      </c>
      <c r="AC160" s="24">
        <f t="shared" si="163"/>
        <v>2.9860708944470757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>
        <f>AI160*VLOOKUP('Données projet'!$B$10,Paramètres!$A$1:$I$89,3,0)*VLOOKUP('Données projet'!$B$10,Paramètres!$A$1:$I$89,5,0)</f>
        <v>0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195.80903373714432</v>
      </c>
      <c r="AO160" s="62">
        <f t="shared" si="144"/>
        <v>388.30721786668977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7.9883751583395153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2.0391648177918974E-17</v>
      </c>
      <c r="AX160" s="23">
        <f t="shared" si="166"/>
        <v>7.9883751583395153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-5.6843418860808015E-14</v>
      </c>
      <c r="BE160" s="14">
        <f>BD160*VLOOKUP('Données projet'!$B$11,Paramètres!$A$1:$I$89,3,0)*VLOOKUP('Données projet'!$B$11,Paramètres!$A$1:$I$89,5,0)</f>
        <v>-5.1431925385259088E-14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366.86025470473652</v>
      </c>
      <c r="BJ160" s="62">
        <f t="shared" si="146"/>
        <v>513.80016421153414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0.85580674189615169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0.85580674189615169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-5.6843418860808015E-14</v>
      </c>
      <c r="BZ160" s="14">
        <f>BY160*VLOOKUP('Données projet'!$B$12,Paramètres!$A$1:$I$89,3,0)*VLOOKUP('Données projet'!$B$12,Paramètres!$A$1:$I$89,5,0)</f>
        <v>-5.1431925385259088E-14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438.70522838726322</v>
      </c>
      <c r="CE160" s="62">
        <f t="shared" si="148"/>
        <v>278.21741231699929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-5.6843418860808015E-14</v>
      </c>
      <c r="CU160" s="18">
        <f>CT160*VLOOKUP('Données projet'!$B$13,Paramètres!$A$1:$I$89,3,0)*VLOOKUP('Données projet'!$B$13,Paramètres!$A$1:$I$89,5,0)</f>
        <v>-5.7639226724859328E-14</v>
      </c>
      <c r="CV160" s="14" t="e">
        <f t="shared" si="173"/>
        <v>#NUM!</v>
      </c>
      <c r="CW160" s="22" t="e">
        <f t="shared" si="174"/>
        <v>#NUM!</v>
      </c>
      <c r="CX160" s="62" t="e">
        <f t="shared" si="122"/>
        <v>#NUM!</v>
      </c>
      <c r="CY160" s="62">
        <f ca="1">AVERAGE(OFFSET($CX$3,0,0,'Données projet'!$E$13+1,1))-AVERAGE(OFFSET($H$3,0,0,'Données projet'!$E$13+1,1))</f>
        <v>486.63673936259465</v>
      </c>
      <c r="CZ160" s="62">
        <f t="shared" si="150"/>
        <v>306.61893266146666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-3.4106051316484809E-13</v>
      </c>
      <c r="O161" s="14">
        <f>N161*VLOOKUP('Données projet'!$B$9,Paramètres!$A$1:$I$89,3,0)*VLOOKUP('Données projet'!$B$9,Paramètres!$A$1:$I$89,5,0)</f>
        <v>-1.9065282685915009E-13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555.15881087162279</v>
      </c>
      <c r="T161" s="62">
        <f t="shared" si="142"/>
        <v>668.20427590250733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2.2715956662514998</v>
      </c>
      <c r="AA161" s="23">
        <f>EXP(-LN(2)/25)*AA160+(1-EXP(-LN(2)/25))/(LN(2)/25)*Calculateur!V161*Calculateur!X161*VLOOKUP('Données projet'!$B$9,Paramètres!$A$1:$I$89,3,0)*0.475*44/12</f>
        <v>0.65074473425999135</v>
      </c>
      <c r="AB161" s="23">
        <f>EXP(-LN(2)/2)*AB160+(1-EXP(-LN(2)/2))/(LN(2)/2)*V161*Y161*VLOOKUP('Données projet'!$B$9,Paramètres!$A$1:$I$89,3,0)*0.475*44/12</f>
        <v>7.4981770691131789E-19</v>
      </c>
      <c r="AC161" s="24">
        <f t="shared" si="163"/>
        <v>2.9223404005114912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>
        <f>AI161*VLOOKUP('Données projet'!$B$10,Paramètres!$A$1:$I$89,3,0)*VLOOKUP('Données projet'!$B$10,Paramètres!$A$1:$I$89,5,0)</f>
        <v>0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195.80903373714432</v>
      </c>
      <c r="AO161" s="62">
        <f t="shared" si="144"/>
        <v>388.30721786668977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7.831727993912212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1.4419072706176812E-17</v>
      </c>
      <c r="AX161" s="23">
        <f t="shared" si="166"/>
        <v>7.831727993912212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-5.6843418860808015E-14</v>
      </c>
      <c r="BE161" s="14">
        <f>BD161*VLOOKUP('Données projet'!$B$11,Paramètres!$A$1:$I$89,3,0)*VLOOKUP('Données projet'!$B$11,Paramètres!$A$1:$I$89,5,0)</f>
        <v>-5.1431925385259088E-14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366.86025470473652</v>
      </c>
      <c r="BJ161" s="62">
        <f t="shared" si="146"/>
        <v>513.80016421153414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0.83902489367813837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0.83902489367813837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-5.6843418860808015E-14</v>
      </c>
      <c r="BZ161" s="14">
        <f>BY161*VLOOKUP('Données projet'!$B$12,Paramètres!$A$1:$I$89,3,0)*VLOOKUP('Données projet'!$B$12,Paramètres!$A$1:$I$89,5,0)</f>
        <v>-5.1431925385259088E-14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438.70522838726322</v>
      </c>
      <c r="CE161" s="62">
        <f t="shared" si="148"/>
        <v>278.21741231699929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-5.6843418860808015E-14</v>
      </c>
      <c r="CU161" s="18">
        <f>CT161*VLOOKUP('Données projet'!$B$13,Paramètres!$A$1:$I$89,3,0)*VLOOKUP('Données projet'!$B$13,Paramètres!$A$1:$I$89,5,0)</f>
        <v>-5.7639226724859328E-14</v>
      </c>
      <c r="CV161" s="14" t="e">
        <f t="shared" si="173"/>
        <v>#NUM!</v>
      </c>
      <c r="CW161" s="22" t="e">
        <f t="shared" si="174"/>
        <v>#NUM!</v>
      </c>
      <c r="CX161" s="62" t="e">
        <f t="shared" si="122"/>
        <v>#NUM!</v>
      </c>
      <c r="CY161" s="62">
        <f ca="1">AVERAGE(OFFSET($CX$3,0,0,'Données projet'!$E$13+1,1))-AVERAGE(OFFSET($H$3,0,0,'Données projet'!$E$13+1,1))</f>
        <v>486.63673936259465</v>
      </c>
      <c r="CZ161" s="62">
        <f t="shared" si="150"/>
        <v>306.61893266146666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-3.4106051316484809E-13</v>
      </c>
      <c r="O162" s="14">
        <f>N162*VLOOKUP('Données projet'!$B$9,Paramètres!$A$1:$I$89,3,0)*VLOOKUP('Données projet'!$B$9,Paramètres!$A$1:$I$89,5,0)</f>
        <v>-1.9065282685915009E-13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555.15881087162279</v>
      </c>
      <c r="T162" s="62">
        <f t="shared" si="142"/>
        <v>668.20427590250733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2.2270510607728538</v>
      </c>
      <c r="AA162" s="23">
        <f>EXP(-LN(2)/25)*AA161+(1-EXP(-LN(2)/25))/(LN(2)/25)*Calculateur!V162*Calculateur!X162*VLOOKUP('Données projet'!$B$9,Paramètres!$A$1:$I$89,3,0)*0.475*44/12</f>
        <v>0.63295008528047358</v>
      </c>
      <c r="AB162" s="23">
        <f>EXP(-LN(2)/2)*AB161+(1-EXP(-LN(2)/2))/(LN(2)/2)*V162*Y162*VLOOKUP('Données projet'!$B$9,Paramètres!$A$1:$I$89,3,0)*0.475*44/12</f>
        <v>5.3020118521074007E-19</v>
      </c>
      <c r="AC162" s="24">
        <f t="shared" si="163"/>
        <v>2.8600011460533272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>
        <f>AI162*VLOOKUP('Données projet'!$B$10,Paramètres!$A$1:$I$89,3,0)*VLOOKUP('Données projet'!$B$10,Paramètres!$A$1:$I$89,5,0)</f>
        <v>0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195.80903373714432</v>
      </c>
      <c r="AO162" s="62">
        <f t="shared" si="144"/>
        <v>388.30721786668977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7.6781525848339918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1.0195824088959487E-17</v>
      </c>
      <c r="AX162" s="23">
        <f t="shared" si="166"/>
        <v>7.6781525848339918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-5.6843418860808015E-14</v>
      </c>
      <c r="BE162" s="14">
        <f>BD162*VLOOKUP('Données projet'!$B$11,Paramètres!$A$1:$I$89,3,0)*VLOOKUP('Données projet'!$B$11,Paramètres!$A$1:$I$89,5,0)</f>
        <v>-5.1431925385259088E-14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366.86025470473652</v>
      </c>
      <c r="BJ162" s="62">
        <f t="shared" si="146"/>
        <v>513.80016421153414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0.82257212726776363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0.82257212726776363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-5.6843418860808015E-14</v>
      </c>
      <c r="BZ162" s="14">
        <f>BY162*VLOOKUP('Données projet'!$B$12,Paramètres!$A$1:$I$89,3,0)*VLOOKUP('Données projet'!$B$12,Paramètres!$A$1:$I$89,5,0)</f>
        <v>-5.1431925385259088E-14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438.70522838726322</v>
      </c>
      <c r="CE162" s="62">
        <f t="shared" si="148"/>
        <v>278.21741231699929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-5.6843418860808015E-14</v>
      </c>
      <c r="CU162" s="18">
        <f>CT162*VLOOKUP('Données projet'!$B$13,Paramètres!$A$1:$I$89,3,0)*VLOOKUP('Données projet'!$B$13,Paramètres!$A$1:$I$89,5,0)</f>
        <v>-5.7639226724859328E-14</v>
      </c>
      <c r="CV162" s="14" t="e">
        <f t="shared" si="173"/>
        <v>#NUM!</v>
      </c>
      <c r="CW162" s="22" t="e">
        <f t="shared" si="174"/>
        <v>#NUM!</v>
      </c>
      <c r="CX162" s="62" t="e">
        <f t="shared" si="122"/>
        <v>#NUM!</v>
      </c>
      <c r="CY162" s="62">
        <f ca="1">AVERAGE(OFFSET($CX$3,0,0,'Données projet'!$E$13+1,1))-AVERAGE(OFFSET($H$3,0,0,'Données projet'!$E$13+1,1))</f>
        <v>486.63673936259465</v>
      </c>
      <c r="CZ162" s="62">
        <f t="shared" si="150"/>
        <v>306.61893266146666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-3.4106051316484809E-13</v>
      </c>
      <c r="O163" s="14">
        <f>N163*VLOOKUP('Données projet'!$B$9,Paramètres!$A$1:$I$89,3,0)*VLOOKUP('Données projet'!$B$9,Paramètres!$A$1:$I$89,5,0)</f>
        <v>-1.9065282685915009E-13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555.15881087162279</v>
      </c>
      <c r="T163" s="62">
        <f t="shared" si="142"/>
        <v>668.20427590250733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2.1833799478381177</v>
      </c>
      <c r="AA163" s="23">
        <f>EXP(-LN(2)/25)*AA162+(1-EXP(-LN(2)/25))/(LN(2)/25)*Calculateur!V163*Calculateur!X163*VLOOKUP('Données projet'!$B$9,Paramètres!$A$1:$I$89,3,0)*0.475*44/12</f>
        <v>0.61564203191308065</v>
      </c>
      <c r="AB163" s="23">
        <f>EXP(-LN(2)/2)*AB162+(1-EXP(-LN(2)/2))/(LN(2)/2)*V163*Y163*VLOOKUP('Données projet'!$B$9,Paramètres!$A$1:$I$89,3,0)*0.475*44/12</f>
        <v>3.7490885345565895E-19</v>
      </c>
      <c r="AC163" s="24">
        <f t="shared" si="163"/>
        <v>2.7990219797511982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>
        <f>AI163*VLOOKUP('Données projet'!$B$10,Paramètres!$A$1:$I$89,3,0)*VLOOKUP('Données projet'!$B$10,Paramètres!$A$1:$I$89,5,0)</f>
        <v>0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195.80903373714432</v>
      </c>
      <c r="AO163" s="62">
        <f t="shared" si="144"/>
        <v>388.30721786668977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7.5275886958560454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7.2095363530884059E-18</v>
      </c>
      <c r="AX163" s="23">
        <f t="shared" si="166"/>
        <v>7.5275886958560454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-5.6843418860808015E-14</v>
      </c>
      <c r="BE163" s="14">
        <f>BD163*VLOOKUP('Données projet'!$B$11,Paramètres!$A$1:$I$89,3,0)*VLOOKUP('Données projet'!$B$11,Paramètres!$A$1:$I$89,5,0)</f>
        <v>-5.1431925385259088E-14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366.86025470473652</v>
      </c>
      <c r="BJ163" s="62">
        <f t="shared" si="146"/>
        <v>513.80016421153414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0.80644198957149971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0.80644198957149971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-5.6843418860808015E-14</v>
      </c>
      <c r="BZ163" s="14">
        <f>BY163*VLOOKUP('Données projet'!$B$12,Paramètres!$A$1:$I$89,3,0)*VLOOKUP('Données projet'!$B$12,Paramètres!$A$1:$I$89,5,0)</f>
        <v>-5.1431925385259088E-14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438.70522838726322</v>
      </c>
      <c r="CE163" s="62">
        <f t="shared" si="148"/>
        <v>278.21741231699929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-5.6843418860808015E-14</v>
      </c>
      <c r="CU163" s="18">
        <f>CT163*VLOOKUP('Données projet'!$B$13,Paramètres!$A$1:$I$89,3,0)*VLOOKUP('Données projet'!$B$13,Paramètres!$A$1:$I$89,5,0)</f>
        <v>-5.7639226724859328E-14</v>
      </c>
      <c r="CV163" s="14" t="e">
        <f t="shared" si="173"/>
        <v>#NUM!</v>
      </c>
      <c r="CW163" s="22" t="e">
        <f t="shared" si="174"/>
        <v>#NUM!</v>
      </c>
      <c r="CX163" s="62" t="e">
        <f t="shared" si="122"/>
        <v>#NUM!</v>
      </c>
      <c r="CY163" s="62">
        <f ca="1">AVERAGE(OFFSET($CX$3,0,0,'Données projet'!$E$13+1,1))-AVERAGE(OFFSET($H$3,0,0,'Données projet'!$E$13+1,1))</f>
        <v>486.63673936259465</v>
      </c>
      <c r="CZ163" s="62">
        <f t="shared" si="150"/>
        <v>306.61893266146666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-3.4106051316484809E-13</v>
      </c>
      <c r="O164" s="14">
        <f>N164*VLOOKUP('Données projet'!$B$9,Paramètres!$A$1:$I$89,3,0)*VLOOKUP('Données projet'!$B$9,Paramètres!$A$1:$I$89,5,0)</f>
        <v>-1.9065282685915009E-13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555.15881087162279</v>
      </c>
      <c r="T164" s="62">
        <f t="shared" si="142"/>
        <v>668.20427590250733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2.140565198791283</v>
      </c>
      <c r="AA164" s="23">
        <f>EXP(-LN(2)/25)*AA163+(1-EXP(-LN(2)/25))/(LN(2)/25)*Calculateur!V164*Calculateur!X164*VLOOKUP('Données projet'!$B$9,Paramètres!$A$1:$I$89,3,0)*0.475*44/12</f>
        <v>0.59880726817521002</v>
      </c>
      <c r="AB164" s="23">
        <f>EXP(-LN(2)/2)*AB163+(1-EXP(-LN(2)/2))/(LN(2)/2)*V164*Y164*VLOOKUP('Données projet'!$B$9,Paramètres!$A$1:$I$89,3,0)*0.475*44/12</f>
        <v>2.6510059260537004E-19</v>
      </c>
      <c r="AC164" s="24">
        <f t="shared" si="163"/>
        <v>2.7393724669664929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>
        <f>AI164*VLOOKUP('Données projet'!$B$10,Paramètres!$A$1:$I$89,3,0)*VLOOKUP('Données projet'!$B$10,Paramètres!$A$1:$I$89,5,0)</f>
        <v>0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195.80903373714432</v>
      </c>
      <c r="AO164" s="62">
        <f t="shared" si="144"/>
        <v>388.30721786668977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7.3799772729060518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5.0979120444797434E-18</v>
      </c>
      <c r="AX164" s="23">
        <f t="shared" si="166"/>
        <v>7.3799772729060518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-5.6843418860808015E-14</v>
      </c>
      <c r="BE164" s="14">
        <f>BD164*VLOOKUP('Données projet'!$B$11,Paramètres!$A$1:$I$89,3,0)*VLOOKUP('Données projet'!$B$11,Paramètres!$A$1:$I$89,5,0)</f>
        <v>-5.1431925385259088E-14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366.86025470473652</v>
      </c>
      <c r="BJ164" s="62">
        <f t="shared" si="146"/>
        <v>513.80016421153414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0.790628154037047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0.790628154037047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-5.6843418860808015E-14</v>
      </c>
      <c r="BZ164" s="14">
        <f>BY164*VLOOKUP('Données projet'!$B$12,Paramètres!$A$1:$I$89,3,0)*VLOOKUP('Données projet'!$B$12,Paramètres!$A$1:$I$89,5,0)</f>
        <v>-5.1431925385259088E-14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438.70522838726322</v>
      </c>
      <c r="CE164" s="62">
        <f t="shared" si="148"/>
        <v>278.21741231699929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-5.6843418860808015E-14</v>
      </c>
      <c r="CU164" s="18">
        <f>CT164*VLOOKUP('Données projet'!$B$13,Paramètres!$A$1:$I$89,3,0)*VLOOKUP('Données projet'!$B$13,Paramètres!$A$1:$I$89,5,0)</f>
        <v>-5.7639226724859328E-14</v>
      </c>
      <c r="CV164" s="14" t="e">
        <f t="shared" si="173"/>
        <v>#NUM!</v>
      </c>
      <c r="CW164" s="22" t="e">
        <f t="shared" si="174"/>
        <v>#NUM!</v>
      </c>
      <c r="CX164" s="62" t="e">
        <f t="shared" si="122"/>
        <v>#NUM!</v>
      </c>
      <c r="CY164" s="62">
        <f ca="1">AVERAGE(OFFSET($CX$3,0,0,'Données projet'!$E$13+1,1))-AVERAGE(OFFSET($H$3,0,0,'Données projet'!$E$13+1,1))</f>
        <v>486.63673936259465</v>
      </c>
      <c r="CZ164" s="62">
        <f t="shared" si="150"/>
        <v>306.61893266146666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-3.4106051316484809E-13</v>
      </c>
      <c r="O165" s="14">
        <f>N165*VLOOKUP('Données projet'!$B$9,Paramètres!$A$1:$I$89,3,0)*VLOOKUP('Données projet'!$B$9,Paramètres!$A$1:$I$89,5,0)</f>
        <v>-1.9065282685915009E-13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555.15881087162279</v>
      </c>
      <c r="T165" s="62">
        <f t="shared" si="142"/>
        <v>668.20427590250733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2.0985900208588384</v>
      </c>
      <c r="AA165" s="23">
        <f>EXP(-LN(2)/25)*AA164+(1-EXP(-LN(2)/25))/(LN(2)/25)*Calculateur!V165*Calculateur!X165*VLOOKUP('Données projet'!$B$9,Paramètres!$A$1:$I$89,3,0)*0.475*44/12</f>
        <v>0.5824328519370533</v>
      </c>
      <c r="AB165" s="23">
        <f>EXP(-LN(2)/2)*AB164+(1-EXP(-LN(2)/2))/(LN(2)/2)*V165*Y165*VLOOKUP('Données projet'!$B$9,Paramètres!$A$1:$I$89,3,0)*0.475*44/12</f>
        <v>1.8745442672782947E-19</v>
      </c>
      <c r="AC165" s="24">
        <f t="shared" si="163"/>
        <v>2.6810228727958916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>
        <f>AI165*VLOOKUP('Données projet'!$B$10,Paramètres!$A$1:$I$89,3,0)*VLOOKUP('Données projet'!$B$10,Paramètres!$A$1:$I$89,5,0)</f>
        <v>0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195.80903373714432</v>
      </c>
      <c r="AO165" s="62">
        <f t="shared" si="144"/>
        <v>388.30721786668977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7.2352604199260302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3.604768176544203E-18</v>
      </c>
      <c r="AX165" s="23">
        <f t="shared" si="166"/>
        <v>7.2352604199260302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-5.6843418860808015E-14</v>
      </c>
      <c r="BE165" s="14">
        <f>BD165*VLOOKUP('Données projet'!$B$11,Paramètres!$A$1:$I$89,3,0)*VLOOKUP('Données projet'!$B$11,Paramètres!$A$1:$I$89,5,0)</f>
        <v>-5.1431925385259088E-14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366.86025470473652</v>
      </c>
      <c r="BJ165" s="62">
        <f t="shared" si="146"/>
        <v>513.80016421153414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0.77512441817193767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0.77512441817193767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-5.6843418860808015E-14</v>
      </c>
      <c r="BZ165" s="14">
        <f>BY165*VLOOKUP('Données projet'!$B$12,Paramètres!$A$1:$I$89,3,0)*VLOOKUP('Données projet'!$B$12,Paramètres!$A$1:$I$89,5,0)</f>
        <v>-5.1431925385259088E-14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438.70522838726322</v>
      </c>
      <c r="CE165" s="62">
        <f t="shared" si="148"/>
        <v>278.21741231699929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-5.6843418860808015E-14</v>
      </c>
      <c r="CU165" s="18">
        <f>CT165*VLOOKUP('Données projet'!$B$13,Paramètres!$A$1:$I$89,3,0)*VLOOKUP('Données projet'!$B$13,Paramètres!$A$1:$I$89,5,0)</f>
        <v>-5.7639226724859328E-14</v>
      </c>
      <c r="CV165" s="14" t="e">
        <f t="shared" si="173"/>
        <v>#NUM!</v>
      </c>
      <c r="CW165" s="22" t="e">
        <f t="shared" si="174"/>
        <v>#NUM!</v>
      </c>
      <c r="CX165" s="62" t="e">
        <f t="shared" si="122"/>
        <v>#NUM!</v>
      </c>
      <c r="CY165" s="62">
        <f ca="1">AVERAGE(OFFSET($CX$3,0,0,'Données projet'!$E$13+1,1))-AVERAGE(OFFSET($H$3,0,0,'Données projet'!$E$13+1,1))</f>
        <v>486.63673936259465</v>
      </c>
      <c r="CZ165" s="62">
        <f t="shared" si="150"/>
        <v>306.61893266146666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-3.4106051316484809E-13</v>
      </c>
      <c r="O166" s="14">
        <f>N166*VLOOKUP('Données projet'!$B$9,Paramètres!$A$1:$I$89,3,0)*VLOOKUP('Données projet'!$B$9,Paramètres!$A$1:$I$89,5,0)</f>
        <v>-1.9065282685915009E-13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555.15881087162279</v>
      </c>
      <c r="T166" s="62">
        <f t="shared" si="142"/>
        <v>668.20427590250733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2.0574379505633185</v>
      </c>
      <c r="AA166" s="23">
        <f>EXP(-LN(2)/25)*AA165+(1-EXP(-LN(2)/25))/(LN(2)/25)*Calculateur!V166*Calculateur!X166*VLOOKUP('Données projet'!$B$9,Paramètres!$A$1:$I$89,3,0)*0.475*44/12</f>
        <v>0.56650619497202204</v>
      </c>
      <c r="AB166" s="23">
        <f>EXP(-LN(2)/2)*AB165+(1-EXP(-LN(2)/2))/(LN(2)/2)*V166*Y166*VLOOKUP('Données projet'!$B$9,Paramètres!$A$1:$I$89,3,0)*0.475*44/12</f>
        <v>1.3255029630268502E-19</v>
      </c>
      <c r="AC166" s="24">
        <f t="shared" si="163"/>
        <v>2.6239441455353405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>
        <f>AI166*VLOOKUP('Données projet'!$B$10,Paramètres!$A$1:$I$89,3,0)*VLOOKUP('Données projet'!$B$10,Paramètres!$A$1:$I$89,5,0)</f>
        <v>0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195.80903373714432</v>
      </c>
      <c r="AO166" s="62">
        <f t="shared" si="144"/>
        <v>388.30721786668977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7.0933813761643822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2.5489560222398717E-18</v>
      </c>
      <c r="AX166" s="23">
        <f t="shared" si="166"/>
        <v>7.0933813761643822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-5.6843418860808015E-14</v>
      </c>
      <c r="BE166" s="14">
        <f>BD166*VLOOKUP('Données projet'!$B$11,Paramètres!$A$1:$I$89,3,0)*VLOOKUP('Données projet'!$B$11,Paramètres!$A$1:$I$89,5,0)</f>
        <v>-5.1431925385259088E-14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366.86025470473652</v>
      </c>
      <c r="BJ166" s="62">
        <f t="shared" si="146"/>
        <v>513.80016421153414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0.75992470111079802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0.75992470111079802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-5.6843418860808015E-14</v>
      </c>
      <c r="BZ166" s="14">
        <f>BY166*VLOOKUP('Données projet'!$B$12,Paramètres!$A$1:$I$89,3,0)*VLOOKUP('Données projet'!$B$12,Paramètres!$A$1:$I$89,5,0)</f>
        <v>-5.1431925385259088E-14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438.70522838726322</v>
      </c>
      <c r="CE166" s="62">
        <f t="shared" si="148"/>
        <v>278.21741231699929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-5.6843418860808015E-14</v>
      </c>
      <c r="CU166" s="18">
        <f>CT166*VLOOKUP('Données projet'!$B$13,Paramètres!$A$1:$I$89,3,0)*VLOOKUP('Données projet'!$B$13,Paramètres!$A$1:$I$89,5,0)</f>
        <v>-5.7639226724859328E-14</v>
      </c>
      <c r="CV166" s="14" t="e">
        <f t="shared" si="173"/>
        <v>#NUM!</v>
      </c>
      <c r="CW166" s="22" t="e">
        <f t="shared" si="174"/>
        <v>#NUM!</v>
      </c>
      <c r="CX166" s="62" t="e">
        <f t="shared" si="122"/>
        <v>#NUM!</v>
      </c>
      <c r="CY166" s="62">
        <f ca="1">AVERAGE(OFFSET($CX$3,0,0,'Données projet'!$E$13+1,1))-AVERAGE(OFFSET($H$3,0,0,'Données projet'!$E$13+1,1))</f>
        <v>486.63673936259465</v>
      </c>
      <c r="CZ166" s="62">
        <f t="shared" si="150"/>
        <v>306.61893266146666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-3.4106051316484809E-13</v>
      </c>
      <c r="O167" s="14">
        <f>N167*VLOOKUP('Données projet'!$B$9,Paramètres!$A$1:$I$89,3,0)*VLOOKUP('Données projet'!$B$9,Paramètres!$A$1:$I$89,5,0)</f>
        <v>-1.9065282685915009E-13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555.15881087162279</v>
      </c>
      <c r="T167" s="62">
        <f t="shared" si="142"/>
        <v>668.20427590250733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2.0170928472660092</v>
      </c>
      <c r="AA167" s="23">
        <f>EXP(-LN(2)/25)*AA166+(1-EXP(-LN(2)/25))/(LN(2)/25)*Calculateur!V167*Calculateur!X167*VLOOKUP('Données projet'!$B$9,Paramètres!$A$1:$I$89,3,0)*0.475*44/12</f>
        <v>0.55101505327924605</v>
      </c>
      <c r="AB167" s="23">
        <f>EXP(-LN(2)/2)*AB166+(1-EXP(-LN(2)/2))/(LN(2)/2)*V167*Y167*VLOOKUP('Données projet'!$B$9,Paramètres!$A$1:$I$89,3,0)*0.475*44/12</f>
        <v>9.3727213363914736E-20</v>
      </c>
      <c r="AC167" s="24">
        <f t="shared" si="163"/>
        <v>2.5681079005452552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>
        <f>AI167*VLOOKUP('Données projet'!$B$10,Paramètres!$A$1:$I$89,3,0)*VLOOKUP('Données projet'!$B$10,Paramètres!$A$1:$I$89,5,0)</f>
        <v>0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195.80903373714432</v>
      </c>
      <c r="AO167" s="62">
        <f t="shared" si="144"/>
        <v>388.30721786668977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6.954284493913228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1.8023840882721015E-18</v>
      </c>
      <c r="AX167" s="23">
        <f t="shared" si="166"/>
        <v>6.954284493913228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-5.6843418860808015E-14</v>
      </c>
      <c r="BE167" s="14">
        <f>BD167*VLOOKUP('Données projet'!$B$11,Paramètres!$A$1:$I$89,3,0)*VLOOKUP('Données projet'!$B$11,Paramètres!$A$1:$I$89,5,0)</f>
        <v>-5.1431925385259088E-14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366.86025470473652</v>
      </c>
      <c r="BJ167" s="62">
        <f t="shared" si="146"/>
        <v>513.80016421153414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0.74502304123031526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0.74502304123031526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-5.6843418860808015E-14</v>
      </c>
      <c r="BZ167" s="14">
        <f>BY167*VLOOKUP('Données projet'!$B$12,Paramètres!$A$1:$I$89,3,0)*VLOOKUP('Données projet'!$B$12,Paramètres!$A$1:$I$89,5,0)</f>
        <v>-5.1431925385259088E-14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438.70522838726322</v>
      </c>
      <c r="CE167" s="62">
        <f t="shared" si="148"/>
        <v>278.21741231699929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-5.6843418860808015E-14</v>
      </c>
      <c r="CU167" s="18">
        <f>CT167*VLOOKUP('Données projet'!$B$13,Paramètres!$A$1:$I$89,3,0)*VLOOKUP('Données projet'!$B$13,Paramètres!$A$1:$I$89,5,0)</f>
        <v>-5.7639226724859328E-14</v>
      </c>
      <c r="CV167" s="14" t="e">
        <f t="shared" si="173"/>
        <v>#NUM!</v>
      </c>
      <c r="CW167" s="22" t="e">
        <f t="shared" si="174"/>
        <v>#NUM!</v>
      </c>
      <c r="CX167" s="62" t="e">
        <f t="shared" si="122"/>
        <v>#NUM!</v>
      </c>
      <c r="CY167" s="62">
        <f ca="1">AVERAGE(OFFSET($CX$3,0,0,'Données projet'!$E$13+1,1))-AVERAGE(OFFSET($H$3,0,0,'Données projet'!$E$13+1,1))</f>
        <v>486.63673936259465</v>
      </c>
      <c r="CZ167" s="62">
        <f t="shared" si="150"/>
        <v>306.61893266146666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-3.4106051316484809E-13</v>
      </c>
      <c r="O168" s="14">
        <f>N168*VLOOKUP('Données projet'!$B$9,Paramètres!$A$1:$I$89,3,0)*VLOOKUP('Données projet'!$B$9,Paramètres!$A$1:$I$89,5,0)</f>
        <v>-1.9065282685915009E-13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555.15881087162279</v>
      </c>
      <c r="T168" s="62">
        <f t="shared" si="142"/>
        <v>668.20427590250733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1.9775388868362771</v>
      </c>
      <c r="AA168" s="23">
        <f>EXP(-LN(2)/25)*AA167+(1-EXP(-LN(2)/25))/(LN(2)/25)*Calculateur!V168*Calculateur!X168*VLOOKUP('Données projet'!$B$9,Paramètres!$A$1:$I$89,3,0)*0.475*44/12</f>
        <v>0.53594751767070281</v>
      </c>
      <c r="AB168" s="23">
        <f>EXP(-LN(2)/2)*AB167+(1-EXP(-LN(2)/2))/(LN(2)/2)*V168*Y168*VLOOKUP('Données projet'!$B$9,Paramètres!$A$1:$I$89,3,0)*0.475*44/12</f>
        <v>6.6275148151342509E-20</v>
      </c>
      <c r="AC168" s="24">
        <f t="shared" si="163"/>
        <v>2.5134864045069798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>
        <f>AI168*VLOOKUP('Données projet'!$B$10,Paramètres!$A$1:$I$89,3,0)*VLOOKUP('Données projet'!$B$10,Paramètres!$A$1:$I$89,5,0)</f>
        <v>0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195.80903373714432</v>
      </c>
      <c r="AO168" s="62">
        <f t="shared" si="144"/>
        <v>388.30721786668977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6.8179152166822981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1.2744780111199358E-18</v>
      </c>
      <c r="AX168" s="23">
        <f t="shared" si="166"/>
        <v>6.8179152166822981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-5.6843418860808015E-14</v>
      </c>
      <c r="BE168" s="14">
        <f>BD168*VLOOKUP('Données projet'!$B$11,Paramètres!$A$1:$I$89,3,0)*VLOOKUP('Données projet'!$B$11,Paramètres!$A$1:$I$89,5,0)</f>
        <v>-5.1431925385259088E-14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366.86025470473652</v>
      </c>
      <c r="BJ168" s="62">
        <f t="shared" si="146"/>
        <v>513.80016421153414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0.73041359381097382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0.73041359381097382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-5.6843418860808015E-14</v>
      </c>
      <c r="BZ168" s="14">
        <f>BY168*VLOOKUP('Données projet'!$B$12,Paramètres!$A$1:$I$89,3,0)*VLOOKUP('Données projet'!$B$12,Paramètres!$A$1:$I$89,5,0)</f>
        <v>-5.1431925385259088E-14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438.70522838726322</v>
      </c>
      <c r="CE168" s="62">
        <f t="shared" si="148"/>
        <v>278.21741231699929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-5.6843418860808015E-14</v>
      </c>
      <c r="CU168" s="18">
        <f>CT168*VLOOKUP('Données projet'!$B$13,Paramètres!$A$1:$I$89,3,0)*VLOOKUP('Données projet'!$B$13,Paramètres!$A$1:$I$89,5,0)</f>
        <v>-5.7639226724859328E-14</v>
      </c>
      <c r="CV168" s="14" t="e">
        <f t="shared" si="173"/>
        <v>#NUM!</v>
      </c>
      <c r="CW168" s="22" t="e">
        <f t="shared" si="174"/>
        <v>#NUM!</v>
      </c>
      <c r="CX168" s="62" t="e">
        <f t="shared" si="122"/>
        <v>#NUM!</v>
      </c>
      <c r="CY168" s="62">
        <f ca="1">AVERAGE(OFFSET($CX$3,0,0,'Données projet'!$E$13+1,1))-AVERAGE(OFFSET($H$3,0,0,'Données projet'!$E$13+1,1))</f>
        <v>486.63673936259465</v>
      </c>
      <c r="CZ168" s="62">
        <f t="shared" si="150"/>
        <v>306.61893266146666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-3.4106051316484809E-13</v>
      </c>
      <c r="O169" s="14">
        <f>N169*VLOOKUP('Données projet'!$B$9,Paramètres!$A$1:$I$89,3,0)*VLOOKUP('Données projet'!$B$9,Paramètres!$A$1:$I$89,5,0)</f>
        <v>-1.9065282685915009E-13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555.15881087162279</v>
      </c>
      <c r="T169" s="62">
        <f t="shared" si="142"/>
        <v>668.20427590250733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1.9387605554450382</v>
      </c>
      <c r="AA169" s="23">
        <f>EXP(-LN(2)/25)*AA168+(1-EXP(-LN(2)/25))/(LN(2)/25)*Calculateur!V169*Calculateur!X169*VLOOKUP('Données projet'!$B$9,Paramètres!$A$1:$I$89,3,0)*0.475*44/12</f>
        <v>0.52129200461574243</v>
      </c>
      <c r="AB169" s="23">
        <f>EXP(-LN(2)/2)*AB168+(1-EXP(-LN(2)/2))/(LN(2)/2)*V169*Y169*VLOOKUP('Données projet'!$B$9,Paramètres!$A$1:$I$89,3,0)*0.475*44/12</f>
        <v>4.6863606681957368E-20</v>
      </c>
      <c r="AC169" s="24">
        <f t="shared" si="163"/>
        <v>2.4600525600607805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>
        <f>AI169*VLOOKUP('Données projet'!$B$10,Paramètres!$A$1:$I$89,3,0)*VLOOKUP('Données projet'!$B$10,Paramètres!$A$1:$I$89,5,0)</f>
        <v>0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195.80903373714432</v>
      </c>
      <c r="AO169" s="62">
        <f t="shared" si="144"/>
        <v>388.30721786668977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6.6842200578008208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9.0119204413605074E-19</v>
      </c>
      <c r="AX169" s="23">
        <f t="shared" si="166"/>
        <v>6.6842200578008208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-5.6843418860808015E-14</v>
      </c>
      <c r="BE169" s="14">
        <f>BD169*VLOOKUP('Données projet'!$B$11,Paramètres!$A$1:$I$89,3,0)*VLOOKUP('Données projet'!$B$11,Paramètres!$A$1:$I$89,5,0)</f>
        <v>-5.1431925385259088E-14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366.86025470473652</v>
      </c>
      <c r="BJ169" s="62">
        <f t="shared" si="146"/>
        <v>513.80016421153414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0.71609062874464258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0.71609062874464258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-5.6843418860808015E-14</v>
      </c>
      <c r="BZ169" s="14">
        <f>BY169*VLOOKUP('Données projet'!$B$12,Paramètres!$A$1:$I$89,3,0)*VLOOKUP('Données projet'!$B$12,Paramètres!$A$1:$I$89,5,0)</f>
        <v>-5.1431925385259088E-14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438.70522838726322</v>
      </c>
      <c r="CE169" s="62">
        <f t="shared" si="148"/>
        <v>278.21741231699929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-5.6843418860808015E-14</v>
      </c>
      <c r="CU169" s="18">
        <f>CT169*VLOOKUP('Données projet'!$B$13,Paramètres!$A$1:$I$89,3,0)*VLOOKUP('Données projet'!$B$13,Paramètres!$A$1:$I$89,5,0)</f>
        <v>-5.7639226724859328E-14</v>
      </c>
      <c r="CV169" s="14" t="e">
        <f t="shared" si="173"/>
        <v>#NUM!</v>
      </c>
      <c r="CW169" s="22" t="e">
        <f t="shared" si="174"/>
        <v>#NUM!</v>
      </c>
      <c r="CX169" s="62" t="e">
        <f t="shared" si="122"/>
        <v>#NUM!</v>
      </c>
      <c r="CY169" s="62">
        <f ca="1">AVERAGE(OFFSET($CX$3,0,0,'Données projet'!$E$13+1,1))-AVERAGE(OFFSET($H$3,0,0,'Données projet'!$E$13+1,1))</f>
        <v>486.63673936259465</v>
      </c>
      <c r="CZ169" s="62">
        <f t="shared" si="150"/>
        <v>306.61893266146666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-3.4106051316484809E-13</v>
      </c>
      <c r="O170" s="14">
        <f>N170*VLOOKUP('Données projet'!$B$9,Paramètres!$A$1:$I$89,3,0)*VLOOKUP('Données projet'!$B$9,Paramètres!$A$1:$I$89,5,0)</f>
        <v>-1.9065282685915009E-13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555.15881087162279</v>
      </c>
      <c r="T170" s="62">
        <f t="shared" si="142"/>
        <v>668.20427590250733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1.900742643479935</v>
      </c>
      <c r="AA170" s="23">
        <f>EXP(-LN(2)/25)*AA169+(1-EXP(-LN(2)/25))/(LN(2)/25)*Calculateur!V170*Calculateur!X170*VLOOKUP('Données projet'!$B$9,Paramètres!$A$1:$I$89,3,0)*0.475*44/12</f>
        <v>0.50703724733596989</v>
      </c>
      <c r="AB170" s="23">
        <f>EXP(-LN(2)/2)*AB169+(1-EXP(-LN(2)/2))/(LN(2)/2)*V170*Y170*VLOOKUP('Données projet'!$B$9,Paramètres!$A$1:$I$89,3,0)*0.475*44/12</f>
        <v>3.3137574075671255E-20</v>
      </c>
      <c r="AC170" s="24">
        <f t="shared" si="163"/>
        <v>2.4077798908159052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>
        <f>AI170*VLOOKUP('Données projet'!$B$10,Paramètres!$A$1:$I$89,3,0)*VLOOKUP('Données projet'!$B$10,Paramètres!$A$1:$I$89,5,0)</f>
        <v>0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195.80903373714432</v>
      </c>
      <c r="AO170" s="62">
        <f t="shared" si="144"/>
        <v>388.30721786668977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6.5531465794390149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6.3723900555996792E-19</v>
      </c>
      <c r="AX170" s="23">
        <f t="shared" si="166"/>
        <v>6.5531465794390149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-5.6843418860808015E-14</v>
      </c>
      <c r="BE170" s="14">
        <f>BD170*VLOOKUP('Données projet'!$B$11,Paramètres!$A$1:$I$89,3,0)*VLOOKUP('Données projet'!$B$11,Paramètres!$A$1:$I$89,5,0)</f>
        <v>-5.1431925385259088E-14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366.86025470473652</v>
      </c>
      <c r="BJ170" s="62">
        <f t="shared" si="146"/>
        <v>513.80016421153414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0.70204852828711595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0.70204852828711595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-5.6843418860808015E-14</v>
      </c>
      <c r="BZ170" s="14">
        <f>BY170*VLOOKUP('Données projet'!$B$12,Paramètres!$A$1:$I$89,3,0)*VLOOKUP('Données projet'!$B$12,Paramètres!$A$1:$I$89,5,0)</f>
        <v>-5.1431925385259088E-14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438.70522838726322</v>
      </c>
      <c r="CE170" s="62">
        <f t="shared" si="148"/>
        <v>278.21741231699929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-5.6843418860808015E-14</v>
      </c>
      <c r="CU170" s="18">
        <f>CT170*VLOOKUP('Données projet'!$B$13,Paramètres!$A$1:$I$89,3,0)*VLOOKUP('Données projet'!$B$13,Paramètres!$A$1:$I$89,5,0)</f>
        <v>-5.7639226724859328E-14</v>
      </c>
      <c r="CV170" s="14" t="e">
        <f t="shared" si="173"/>
        <v>#NUM!</v>
      </c>
      <c r="CW170" s="22" t="e">
        <f t="shared" si="174"/>
        <v>#NUM!</v>
      </c>
      <c r="CX170" s="62" t="e">
        <f t="shared" si="122"/>
        <v>#NUM!</v>
      </c>
      <c r="CY170" s="62">
        <f ca="1">AVERAGE(OFFSET($CX$3,0,0,'Données projet'!$E$13+1,1))-AVERAGE(OFFSET($H$3,0,0,'Données projet'!$E$13+1,1))</f>
        <v>486.63673936259465</v>
      </c>
      <c r="CZ170" s="62">
        <f t="shared" si="150"/>
        <v>306.61893266146666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-3.4106051316484809E-13</v>
      </c>
      <c r="O171" s="14">
        <f>N171*VLOOKUP('Données projet'!$B$9,Paramètres!$A$1:$I$89,3,0)*VLOOKUP('Données projet'!$B$9,Paramètres!$A$1:$I$89,5,0)</f>
        <v>-1.9065282685915009E-13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555.15881087162279</v>
      </c>
      <c r="T171" s="62">
        <f t="shared" si="142"/>
        <v>668.20427590250733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1.8634702395798308</v>
      </c>
      <c r="AA171" s="23">
        <f>EXP(-LN(2)/25)*AA170+(1-EXP(-LN(2)/25))/(LN(2)/25)*Calculateur!V171*Calculateur!X171*VLOOKUP('Données projet'!$B$9,Paramètres!$A$1:$I$89,3,0)*0.475*44/12</f>
        <v>0.49317228714363781</v>
      </c>
      <c r="AB171" s="23">
        <f>EXP(-LN(2)/2)*AB170+(1-EXP(-LN(2)/2))/(LN(2)/2)*V171*Y171*VLOOKUP('Données projet'!$B$9,Paramètres!$A$1:$I$89,3,0)*0.475*44/12</f>
        <v>2.3431803340978684E-20</v>
      </c>
      <c r="AC171" s="24">
        <f t="shared" si="163"/>
        <v>2.3566425267234687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>
        <f>AI171*VLOOKUP('Données projet'!$B$10,Paramètres!$A$1:$I$89,3,0)*VLOOKUP('Données projet'!$B$10,Paramètres!$A$1:$I$89,5,0)</f>
        <v>0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195.80903373714432</v>
      </c>
      <c r="AO171" s="62">
        <f t="shared" si="144"/>
        <v>388.30721786668977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6.4246433720409559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4.5059602206802537E-19</v>
      </c>
      <c r="AX171" s="23">
        <f t="shared" si="166"/>
        <v>6.4246433720409559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-5.6843418860808015E-14</v>
      </c>
      <c r="BE171" s="14">
        <f>BD171*VLOOKUP('Données projet'!$B$11,Paramètres!$A$1:$I$89,3,0)*VLOOKUP('Données projet'!$B$11,Paramètres!$A$1:$I$89,5,0)</f>
        <v>-5.1431925385259088E-14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366.86025470473652</v>
      </c>
      <c r="BJ171" s="62">
        <f t="shared" si="146"/>
        <v>513.80016421153414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0.68828178485472591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0.68828178485472591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-5.6843418860808015E-14</v>
      </c>
      <c r="BZ171" s="14">
        <f>BY171*VLOOKUP('Données projet'!$B$12,Paramètres!$A$1:$I$89,3,0)*VLOOKUP('Données projet'!$B$12,Paramètres!$A$1:$I$89,5,0)</f>
        <v>-5.1431925385259088E-14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438.70522838726322</v>
      </c>
      <c r="CE171" s="62">
        <f t="shared" si="148"/>
        <v>278.21741231699929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-5.6843418860808015E-14</v>
      </c>
      <c r="CU171" s="18">
        <f>CT171*VLOOKUP('Données projet'!$B$13,Paramètres!$A$1:$I$89,3,0)*VLOOKUP('Données projet'!$B$13,Paramètres!$A$1:$I$89,5,0)</f>
        <v>-5.7639226724859328E-14</v>
      </c>
      <c r="CV171" s="14" t="e">
        <f t="shared" si="173"/>
        <v>#NUM!</v>
      </c>
      <c r="CW171" s="22" t="e">
        <f t="shared" si="174"/>
        <v>#NUM!</v>
      </c>
      <c r="CX171" s="62" t="e">
        <f t="shared" si="122"/>
        <v>#NUM!</v>
      </c>
      <c r="CY171" s="62">
        <f ca="1">AVERAGE(OFFSET($CX$3,0,0,'Données projet'!$E$13+1,1))-AVERAGE(OFFSET($H$3,0,0,'Données projet'!$E$13+1,1))</f>
        <v>486.63673936259465</v>
      </c>
      <c r="CZ171" s="62">
        <f t="shared" si="150"/>
        <v>306.61893266146666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-3.4106051316484809E-13</v>
      </c>
      <c r="O172" s="14">
        <f>N172*VLOOKUP('Données projet'!$B$9,Paramètres!$A$1:$I$89,3,0)*VLOOKUP('Données projet'!$B$9,Paramètres!$A$1:$I$89,5,0)</f>
        <v>-1.9065282685915009E-13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555.15881087162279</v>
      </c>
      <c r="T172" s="62">
        <f t="shared" si="142"/>
        <v>668.20427590250733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1.8269287247862862</v>
      </c>
      <c r="AA172" s="23">
        <f>EXP(-LN(2)/25)*AA171+(1-EXP(-LN(2)/25))/(LN(2)/25)*Calculateur!V172*Calculateur!X172*VLOOKUP('Données projet'!$B$9,Paramètres!$A$1:$I$89,3,0)*0.475*44/12</f>
        <v>0.47968646501689161</v>
      </c>
      <c r="AB172" s="23">
        <f>EXP(-LN(2)/2)*AB171+(1-EXP(-LN(2)/2))/(LN(2)/2)*V172*Y172*VLOOKUP('Données projet'!$B$9,Paramètres!$A$1:$I$89,3,0)*0.475*44/12</f>
        <v>1.6568787037835627E-20</v>
      </c>
      <c r="AC172" s="24">
        <f t="shared" si="163"/>
        <v>2.3066151898031779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>
        <f>AI172*VLOOKUP('Données projet'!$B$10,Paramètres!$A$1:$I$89,3,0)*VLOOKUP('Données projet'!$B$10,Paramètres!$A$1:$I$89,5,0)</f>
        <v>0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195.80903373714432</v>
      </c>
      <c r="AO172" s="62">
        <f t="shared" si="144"/>
        <v>388.30721786668977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6.2986600341607559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3.1861950277998396E-19</v>
      </c>
      <c r="AX172" s="23">
        <f t="shared" si="166"/>
        <v>6.2986600341607559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-5.6843418860808015E-14</v>
      </c>
      <c r="BE172" s="14">
        <f>BD172*VLOOKUP('Données projet'!$B$11,Paramètres!$A$1:$I$89,3,0)*VLOOKUP('Données projet'!$B$11,Paramètres!$A$1:$I$89,5,0)</f>
        <v>-5.1431925385259088E-14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366.86025470473652</v>
      </c>
      <c r="BJ172" s="62">
        <f t="shared" si="146"/>
        <v>513.80016421153414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0.67478499886416066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0.67478499886416066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-5.6843418860808015E-14</v>
      </c>
      <c r="BZ172" s="14">
        <f>BY172*VLOOKUP('Données projet'!$B$12,Paramètres!$A$1:$I$89,3,0)*VLOOKUP('Données projet'!$B$12,Paramètres!$A$1:$I$89,5,0)</f>
        <v>-5.1431925385259088E-14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438.70522838726322</v>
      </c>
      <c r="CE172" s="62">
        <f t="shared" si="148"/>
        <v>278.21741231699929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-5.6843418860808015E-14</v>
      </c>
      <c r="CU172" s="18">
        <f>CT172*VLOOKUP('Données projet'!$B$13,Paramètres!$A$1:$I$89,3,0)*VLOOKUP('Données projet'!$B$13,Paramètres!$A$1:$I$89,5,0)</f>
        <v>-5.7639226724859328E-14</v>
      </c>
      <c r="CV172" s="14" t="e">
        <f t="shared" si="173"/>
        <v>#NUM!</v>
      </c>
      <c r="CW172" s="22" t="e">
        <f t="shared" si="174"/>
        <v>#NUM!</v>
      </c>
      <c r="CX172" s="62" t="e">
        <f t="shared" si="122"/>
        <v>#NUM!</v>
      </c>
      <c r="CY172" s="62">
        <f ca="1">AVERAGE(OFFSET($CX$3,0,0,'Données projet'!$E$13+1,1))-AVERAGE(OFFSET($H$3,0,0,'Données projet'!$E$13+1,1))</f>
        <v>486.63673936259465</v>
      </c>
      <c r="CZ172" s="62">
        <f t="shared" si="150"/>
        <v>306.61893266146666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-3.4106051316484809E-13</v>
      </c>
      <c r="O173" s="14">
        <f>N173*VLOOKUP('Données projet'!$B$9,Paramètres!$A$1:$I$89,3,0)*VLOOKUP('Données projet'!$B$9,Paramètres!$A$1:$I$89,5,0)</f>
        <v>-1.9065282685915009E-13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555.15881087162279</v>
      </c>
      <c r="T173" s="62">
        <f t="shared" si="142"/>
        <v>668.20427590250733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1.7911037668097196</v>
      </c>
      <c r="AA173" s="23">
        <f>EXP(-LN(2)/25)*AA172+(1-EXP(-LN(2)/25))/(LN(2)/25)*Calculateur!V173*Calculateur!X173*VLOOKUP('Données projet'!$B$9,Paramètres!$A$1:$I$89,3,0)*0.475*44/12</f>
        <v>0.46656941340538982</v>
      </c>
      <c r="AB173" s="23">
        <f>EXP(-LN(2)/2)*AB172+(1-EXP(-LN(2)/2))/(LN(2)/2)*V173*Y173*VLOOKUP('Données projet'!$B$9,Paramètres!$A$1:$I$89,3,0)*0.475*44/12</f>
        <v>1.1715901670489342E-20</v>
      </c>
      <c r="AC173" s="24">
        <f t="shared" si="163"/>
        <v>2.2576731802151095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>
        <f>AI173*VLOOKUP('Données projet'!$B$10,Paramètres!$A$1:$I$89,3,0)*VLOOKUP('Données projet'!$B$10,Paramètres!$A$1:$I$89,5,0)</f>
        <v>0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195.80903373714432</v>
      </c>
      <c r="AO173" s="62">
        <f t="shared" si="144"/>
        <v>388.30721786668977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6.1751471526941382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2.2529801103401269E-19</v>
      </c>
      <c r="AX173" s="23">
        <f t="shared" si="166"/>
        <v>6.1751471526941382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-5.6843418860808015E-14</v>
      </c>
      <c r="BE173" s="14">
        <f>BD173*VLOOKUP('Données projet'!$B$11,Paramètres!$A$1:$I$89,3,0)*VLOOKUP('Données projet'!$B$11,Paramètres!$A$1:$I$89,5,0)</f>
        <v>-5.1431925385259088E-14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366.86025470473652</v>
      </c>
      <c r="BJ173" s="62">
        <f t="shared" si="146"/>
        <v>513.80016421153414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0.66155287661464379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0.66155287661464379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-5.6843418860808015E-14</v>
      </c>
      <c r="BZ173" s="14">
        <f>BY173*VLOOKUP('Données projet'!$B$12,Paramètres!$A$1:$I$89,3,0)*VLOOKUP('Données projet'!$B$12,Paramètres!$A$1:$I$89,5,0)</f>
        <v>-5.1431925385259088E-14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438.70522838726322</v>
      </c>
      <c r="CE173" s="62">
        <f t="shared" si="148"/>
        <v>278.21741231699929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-5.6843418860808015E-14</v>
      </c>
      <c r="CU173" s="18">
        <f>CT173*VLOOKUP('Données projet'!$B$13,Paramètres!$A$1:$I$89,3,0)*VLOOKUP('Données projet'!$B$13,Paramètres!$A$1:$I$89,5,0)</f>
        <v>-5.7639226724859328E-14</v>
      </c>
      <c r="CV173" s="14" t="e">
        <f t="shared" si="173"/>
        <v>#NUM!</v>
      </c>
      <c r="CW173" s="22" t="e">
        <f t="shared" si="174"/>
        <v>#NUM!</v>
      </c>
      <c r="CX173" s="62" t="e">
        <f t="shared" si="122"/>
        <v>#NUM!</v>
      </c>
      <c r="CY173" s="62">
        <f ca="1">AVERAGE(OFFSET($CX$3,0,0,'Données projet'!$E$13+1,1))-AVERAGE(OFFSET($H$3,0,0,'Données projet'!$E$13+1,1))</f>
        <v>486.63673936259465</v>
      </c>
      <c r="CZ173" s="62">
        <f t="shared" si="150"/>
        <v>306.61893266146666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-3.4106051316484809E-13</v>
      </c>
      <c r="O174" s="14">
        <f>N174*VLOOKUP('Données projet'!$B$9,Paramètres!$A$1:$I$89,3,0)*VLOOKUP('Données projet'!$B$9,Paramètres!$A$1:$I$89,5,0)</f>
        <v>-1.9065282685915009E-13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555.15881087162279</v>
      </c>
      <c r="T174" s="62">
        <f t="shared" si="142"/>
        <v>668.20427590250733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1.7559813144080068</v>
      </c>
      <c r="AA174" s="23">
        <f>EXP(-LN(2)/25)*AA173+(1-EXP(-LN(2)/25))/(LN(2)/25)*Calculateur!V174*Calculateur!X174*VLOOKUP('Données projet'!$B$9,Paramètres!$A$1:$I$89,3,0)*0.475*44/12</f>
        <v>0.45381104826000035</v>
      </c>
      <c r="AB174" s="23">
        <f>EXP(-LN(2)/2)*AB173+(1-EXP(-LN(2)/2))/(LN(2)/2)*V174*Y174*VLOOKUP('Données projet'!$B$9,Paramètres!$A$1:$I$89,3,0)*0.475*44/12</f>
        <v>8.2843935189178137E-21</v>
      </c>
      <c r="AC174" s="24">
        <f t="shared" si="163"/>
        <v>2.2097923626680069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>
        <f>AI174*VLOOKUP('Données projet'!$B$10,Paramètres!$A$1:$I$89,3,0)*VLOOKUP('Données projet'!$B$10,Paramètres!$A$1:$I$89,5,0)</f>
        <v>0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195.80903373714432</v>
      </c>
      <c r="AO174" s="62">
        <f t="shared" si="144"/>
        <v>388.30721786668977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6.054056283497661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1.5930975138999198E-19</v>
      </c>
      <c r="AX174" s="23">
        <f t="shared" si="166"/>
        <v>6.054056283497661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-5.6843418860808015E-14</v>
      </c>
      <c r="BE174" s="14">
        <f>BD174*VLOOKUP('Données projet'!$B$11,Paramètres!$A$1:$I$89,3,0)*VLOOKUP('Données projet'!$B$11,Paramètres!$A$1:$I$89,5,0)</f>
        <v>-5.1431925385259088E-14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366.86025470473652</v>
      </c>
      <c r="BJ174" s="62">
        <f t="shared" si="146"/>
        <v>513.80016421153414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0.6485802282116423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0.6485802282116423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-5.6843418860808015E-14</v>
      </c>
      <c r="BZ174" s="14">
        <f>BY174*VLOOKUP('Données projet'!$B$12,Paramètres!$A$1:$I$89,3,0)*VLOOKUP('Données projet'!$B$12,Paramètres!$A$1:$I$89,5,0)</f>
        <v>-5.1431925385259088E-14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438.70522838726322</v>
      </c>
      <c r="CE174" s="62">
        <f t="shared" si="148"/>
        <v>278.21741231699929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-5.6843418860808015E-14</v>
      </c>
      <c r="CU174" s="18">
        <f>CT174*VLOOKUP('Données projet'!$B$13,Paramètres!$A$1:$I$89,3,0)*VLOOKUP('Données projet'!$B$13,Paramètres!$A$1:$I$89,5,0)</f>
        <v>-5.7639226724859328E-14</v>
      </c>
      <c r="CV174" s="14" t="e">
        <f t="shared" si="173"/>
        <v>#NUM!</v>
      </c>
      <c r="CW174" s="22" t="e">
        <f t="shared" si="174"/>
        <v>#NUM!</v>
      </c>
      <c r="CX174" s="62" t="e">
        <f t="shared" si="122"/>
        <v>#NUM!</v>
      </c>
      <c r="CY174" s="62">
        <f ca="1">AVERAGE(OFFSET($CX$3,0,0,'Données projet'!$E$13+1,1))-AVERAGE(OFFSET($H$3,0,0,'Données projet'!$E$13+1,1))</f>
        <v>486.63673936259465</v>
      </c>
      <c r="CZ174" s="62">
        <f t="shared" si="150"/>
        <v>306.61893266146666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-3.4106051316484809E-13</v>
      </c>
      <c r="O175" s="14">
        <f>N175*VLOOKUP('Données projet'!$B$9,Paramètres!$A$1:$I$89,3,0)*VLOOKUP('Données projet'!$B$9,Paramètres!$A$1:$I$89,5,0)</f>
        <v>-1.9065282685915009E-13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555.15881087162279</v>
      </c>
      <c r="T175" s="62">
        <f t="shared" si="142"/>
        <v>668.20427590250733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1.7215475918753109</v>
      </c>
      <c r="AA175" s="23">
        <f>EXP(-LN(2)/25)*AA174+(1-EXP(-LN(2)/25))/(LN(2)/25)*Calculateur!V175*Calculateur!X175*VLOOKUP('Données projet'!$B$9,Paramètres!$A$1:$I$89,3,0)*0.475*44/12</f>
        <v>0.44140156128044483</v>
      </c>
      <c r="AB175" s="23">
        <f>EXP(-LN(2)/2)*AB174+(1-EXP(-LN(2)/2))/(LN(2)/2)*V175*Y175*VLOOKUP('Données projet'!$B$9,Paramètres!$A$1:$I$89,3,0)*0.475*44/12</f>
        <v>5.857950835244671E-21</v>
      </c>
      <c r="AC175" s="24">
        <f t="shared" si="163"/>
        <v>2.1629491531557559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>
        <f>AI175*VLOOKUP('Données projet'!$B$10,Paramètres!$A$1:$I$89,3,0)*VLOOKUP('Données projet'!$B$10,Paramètres!$A$1:$I$89,5,0)</f>
        <v>0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195.80903373714432</v>
      </c>
      <c r="AO175" s="62">
        <f t="shared" si="144"/>
        <v>388.30721786668977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5.9353399323879898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1.1264900551700634E-19</v>
      </c>
      <c r="AX175" s="23">
        <f t="shared" si="166"/>
        <v>5.9353399323879898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-5.6843418860808015E-14</v>
      </c>
      <c r="BE175" s="14">
        <f>BD175*VLOOKUP('Données projet'!$B$11,Paramètres!$A$1:$I$89,3,0)*VLOOKUP('Données projet'!$B$11,Paramètres!$A$1:$I$89,5,0)</f>
        <v>-5.1431925385259088E-14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366.86025470473652</v>
      </c>
      <c r="BJ175" s="62">
        <f t="shared" si="146"/>
        <v>513.80016421153414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0.63586196553128949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0.63586196553128949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-5.6843418860808015E-14</v>
      </c>
      <c r="BZ175" s="14">
        <f>BY175*VLOOKUP('Données projet'!$B$12,Paramètres!$A$1:$I$89,3,0)*VLOOKUP('Données projet'!$B$12,Paramètres!$A$1:$I$89,5,0)</f>
        <v>-5.1431925385259088E-14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438.70522838726322</v>
      </c>
      <c r="CE175" s="62">
        <f t="shared" si="148"/>
        <v>278.21741231699929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-5.6843418860808015E-14</v>
      </c>
      <c r="CU175" s="18">
        <f>CT175*VLOOKUP('Données projet'!$B$13,Paramètres!$A$1:$I$89,3,0)*VLOOKUP('Données projet'!$B$13,Paramètres!$A$1:$I$89,5,0)</f>
        <v>-5.7639226724859328E-14</v>
      </c>
      <c r="CV175" s="14" t="e">
        <f t="shared" si="173"/>
        <v>#NUM!</v>
      </c>
      <c r="CW175" s="22" t="e">
        <f t="shared" si="174"/>
        <v>#NUM!</v>
      </c>
      <c r="CX175" s="62" t="e">
        <f t="shared" si="122"/>
        <v>#NUM!</v>
      </c>
      <c r="CY175" s="62">
        <f ca="1">AVERAGE(OFFSET($CX$3,0,0,'Données projet'!$E$13+1,1))-AVERAGE(OFFSET($H$3,0,0,'Données projet'!$E$13+1,1))</f>
        <v>486.63673936259465</v>
      </c>
      <c r="CZ175" s="62">
        <f t="shared" si="150"/>
        <v>306.61893266146666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-3.4106051316484809E-13</v>
      </c>
      <c r="O176" s="14">
        <f>N176*VLOOKUP('Données projet'!$B$9,Paramètres!$A$1:$I$89,3,0)*VLOOKUP('Données projet'!$B$9,Paramètres!$A$1:$I$89,5,0)</f>
        <v>-1.9065282685915009E-13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555.15881087162279</v>
      </c>
      <c r="T176" s="62">
        <f t="shared" si="142"/>
        <v>668.20427590250733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1.6877890936389843</v>
      </c>
      <c r="AA176" s="23">
        <f>EXP(-LN(2)/25)*AA175+(1-EXP(-LN(2)/25))/(LN(2)/25)*Calculateur!V176*Calculateur!X176*VLOOKUP('Données projet'!$B$9,Paramètres!$A$1:$I$89,3,0)*0.475*44/12</f>
        <v>0.42933141237493178</v>
      </c>
      <c r="AB176" s="23">
        <f>EXP(-LN(2)/2)*AB175+(1-EXP(-LN(2)/2))/(LN(2)/2)*V176*Y176*VLOOKUP('Données projet'!$B$9,Paramètres!$A$1:$I$89,3,0)*0.475*44/12</f>
        <v>4.1421967594589068E-21</v>
      </c>
      <c r="AC176" s="24">
        <f t="shared" si="163"/>
        <v>2.117120506013916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>
        <f>AI176*VLOOKUP('Données projet'!$B$10,Paramètres!$A$1:$I$89,3,0)*VLOOKUP('Données projet'!$B$10,Paramètres!$A$1:$I$89,5,0)</f>
        <v>0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195.80903373714432</v>
      </c>
      <c r="AO176" s="62">
        <f t="shared" si="144"/>
        <v>388.30721786668977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5.8189515365137554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7.965487569499599E-20</v>
      </c>
      <c r="AX176" s="23">
        <f t="shared" si="166"/>
        <v>5.8189515365137554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-5.6843418860808015E-14</v>
      </c>
      <c r="BE176" s="14">
        <f>BD176*VLOOKUP('Données projet'!$B$11,Paramètres!$A$1:$I$89,3,0)*VLOOKUP('Données projet'!$B$11,Paramètres!$A$1:$I$89,5,0)</f>
        <v>-5.1431925385259088E-14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366.86025470473652</v>
      </c>
      <c r="BJ176" s="62">
        <f t="shared" si="146"/>
        <v>513.80016421153414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0.62339310022472405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0.62339310022472405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-5.6843418860808015E-14</v>
      </c>
      <c r="BZ176" s="14">
        <f>BY176*VLOOKUP('Données projet'!$B$12,Paramètres!$A$1:$I$89,3,0)*VLOOKUP('Données projet'!$B$12,Paramètres!$A$1:$I$89,5,0)</f>
        <v>-5.1431925385259088E-14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438.70522838726322</v>
      </c>
      <c r="CE176" s="62">
        <f t="shared" si="148"/>
        <v>278.21741231699929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-5.6843418860808015E-14</v>
      </c>
      <c r="CU176" s="18">
        <f>CT176*VLOOKUP('Données projet'!$B$13,Paramètres!$A$1:$I$89,3,0)*VLOOKUP('Données projet'!$B$13,Paramètres!$A$1:$I$89,5,0)</f>
        <v>-5.7639226724859328E-14</v>
      </c>
      <c r="CV176" s="14" t="e">
        <f t="shared" si="173"/>
        <v>#NUM!</v>
      </c>
      <c r="CW176" s="22" t="e">
        <f t="shared" si="174"/>
        <v>#NUM!</v>
      </c>
      <c r="CX176" s="62" t="e">
        <f t="shared" si="122"/>
        <v>#NUM!</v>
      </c>
      <c r="CY176" s="62">
        <f ca="1">AVERAGE(OFFSET($CX$3,0,0,'Données projet'!$E$13+1,1))-AVERAGE(OFFSET($H$3,0,0,'Données projet'!$E$13+1,1))</f>
        <v>486.63673936259465</v>
      </c>
      <c r="CZ176" s="62">
        <f t="shared" si="150"/>
        <v>306.61893266146666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-3.4106051316484809E-13</v>
      </c>
      <c r="O177" s="14">
        <f>N177*VLOOKUP('Données projet'!$B$9,Paramètres!$A$1:$I$89,3,0)*VLOOKUP('Données projet'!$B$9,Paramètres!$A$1:$I$89,5,0)</f>
        <v>-1.9065282685915009E-13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555.15881087162279</v>
      </c>
      <c r="T177" s="62">
        <f t="shared" si="142"/>
        <v>668.20427590250733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1.6546925789624212</v>
      </c>
      <c r="AA177" s="23">
        <f>EXP(-LN(2)/25)*AA176+(1-EXP(-LN(2)/25))/(LN(2)/25)*Calculateur!V177*Calculateur!X177*VLOOKUP('Données projet'!$B$9,Paramètres!$A$1:$I$89,3,0)*0.475*44/12</f>
        <v>0.41759132232598156</v>
      </c>
      <c r="AB177" s="23">
        <f>EXP(-LN(2)/2)*AB176+(1-EXP(-LN(2)/2))/(LN(2)/2)*V177*Y177*VLOOKUP('Données projet'!$B$9,Paramètres!$A$1:$I$89,3,0)*0.475*44/12</f>
        <v>2.9289754176223355E-21</v>
      </c>
      <c r="AC177" s="24">
        <f t="shared" si="163"/>
        <v>2.0722839012884027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>
        <f>AI177*VLOOKUP('Données projet'!$B$10,Paramètres!$A$1:$I$89,3,0)*VLOOKUP('Données projet'!$B$10,Paramètres!$A$1:$I$89,5,0)</f>
        <v>0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195.80903373714432</v>
      </c>
      <c r="AO177" s="62">
        <f t="shared" si="144"/>
        <v>388.30721786668977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5.7048454460927029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5.6324502758503171E-20</v>
      </c>
      <c r="AX177" s="23">
        <f t="shared" si="166"/>
        <v>5.7048454460927029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-5.6843418860808015E-14</v>
      </c>
      <c r="BE177" s="14">
        <f>BD177*VLOOKUP('Données projet'!$B$11,Paramètres!$A$1:$I$89,3,0)*VLOOKUP('Données projet'!$B$11,Paramètres!$A$1:$I$89,5,0)</f>
        <v>-5.1431925385259088E-14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366.86025470473652</v>
      </c>
      <c r="BJ177" s="62">
        <f t="shared" si="146"/>
        <v>513.80016421153414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0.61116874176156355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0.61116874176156355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-5.6843418860808015E-14</v>
      </c>
      <c r="BZ177" s="14">
        <f>BY177*VLOOKUP('Données projet'!$B$12,Paramètres!$A$1:$I$89,3,0)*VLOOKUP('Données projet'!$B$12,Paramètres!$A$1:$I$89,5,0)</f>
        <v>-5.1431925385259088E-14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438.70522838726322</v>
      </c>
      <c r="CE177" s="62">
        <f t="shared" si="148"/>
        <v>278.21741231699929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-5.6843418860808015E-14</v>
      </c>
      <c r="CU177" s="18">
        <f>CT177*VLOOKUP('Données projet'!$B$13,Paramètres!$A$1:$I$89,3,0)*VLOOKUP('Données projet'!$B$13,Paramètres!$A$1:$I$89,5,0)</f>
        <v>-5.7639226724859328E-14</v>
      </c>
      <c r="CV177" s="14" t="e">
        <f t="shared" si="173"/>
        <v>#NUM!</v>
      </c>
      <c r="CW177" s="22" t="e">
        <f t="shared" si="174"/>
        <v>#NUM!</v>
      </c>
      <c r="CX177" s="62" t="e">
        <f t="shared" si="122"/>
        <v>#NUM!</v>
      </c>
      <c r="CY177" s="62">
        <f ca="1">AVERAGE(OFFSET($CX$3,0,0,'Données projet'!$E$13+1,1))-AVERAGE(OFFSET($H$3,0,0,'Données projet'!$E$13+1,1))</f>
        <v>486.63673936259465</v>
      </c>
      <c r="CZ177" s="62">
        <f t="shared" si="150"/>
        <v>306.61893266146666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-3.4106051316484809E-13</v>
      </c>
      <c r="O178" s="14">
        <f>N178*VLOOKUP('Données projet'!$B$9,Paramètres!$A$1:$I$89,3,0)*VLOOKUP('Données projet'!$B$9,Paramètres!$A$1:$I$89,5,0)</f>
        <v>-1.9065282685915009E-13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555.15881087162279</v>
      </c>
      <c r="T178" s="62">
        <f t="shared" si="142"/>
        <v>668.20427590250733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1.6222450667517849</v>
      </c>
      <c r="AA178" s="23">
        <f>EXP(-LN(2)/25)*AA177+(1-EXP(-LN(2)/25))/(LN(2)/25)*Calculateur!V178*Calculateur!X178*VLOOKUP('Données projet'!$B$9,Paramètres!$A$1:$I$89,3,0)*0.475*44/12</f>
        <v>0.40617226565680437</v>
      </c>
      <c r="AB178" s="23">
        <f>EXP(-LN(2)/2)*AB177+(1-EXP(-LN(2)/2))/(LN(2)/2)*V178*Y178*VLOOKUP('Données projet'!$B$9,Paramètres!$A$1:$I$89,3,0)*0.475*44/12</f>
        <v>2.0710983797294534E-21</v>
      </c>
      <c r="AC178" s="24">
        <f t="shared" si="163"/>
        <v>2.0284173324085892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>
        <f>AI178*VLOOKUP('Données projet'!$B$10,Paramètres!$A$1:$I$89,3,0)*VLOOKUP('Données projet'!$B$10,Paramètres!$A$1:$I$89,5,0)</f>
        <v>0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195.80903373714432</v>
      </c>
      <c r="AO178" s="62">
        <f t="shared" si="144"/>
        <v>388.30721786668977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5.5929769065069639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3.9827437847497995E-20</v>
      </c>
      <c r="AX178" s="23">
        <f t="shared" si="166"/>
        <v>5.5929769065069639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-5.6843418860808015E-14</v>
      </c>
      <c r="BE178" s="14">
        <f>BD178*VLOOKUP('Données projet'!$B$11,Paramètres!$A$1:$I$89,3,0)*VLOOKUP('Données projet'!$B$11,Paramètres!$A$1:$I$89,5,0)</f>
        <v>-5.1431925385259088E-14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366.86025470473652</v>
      </c>
      <c r="BJ178" s="62">
        <f t="shared" si="146"/>
        <v>513.80016421153414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0.59918409551174323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0.59918409551174323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-5.6843418860808015E-14</v>
      </c>
      <c r="BZ178" s="14">
        <f>BY178*VLOOKUP('Données projet'!$B$12,Paramètres!$A$1:$I$89,3,0)*VLOOKUP('Données projet'!$B$12,Paramètres!$A$1:$I$89,5,0)</f>
        <v>-5.1431925385259088E-14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438.70522838726322</v>
      </c>
      <c r="CE178" s="62">
        <f t="shared" si="148"/>
        <v>278.21741231699929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-5.6843418860808015E-14</v>
      </c>
      <c r="CU178" s="18">
        <f>CT178*VLOOKUP('Données projet'!$B$13,Paramètres!$A$1:$I$89,3,0)*VLOOKUP('Données projet'!$B$13,Paramètres!$A$1:$I$89,5,0)</f>
        <v>-5.7639226724859328E-14</v>
      </c>
      <c r="CV178" s="14" t="e">
        <f t="shared" si="173"/>
        <v>#NUM!</v>
      </c>
      <c r="CW178" s="22" t="e">
        <f t="shared" si="174"/>
        <v>#NUM!</v>
      </c>
      <c r="CX178" s="62" t="e">
        <f t="shared" si="122"/>
        <v>#NUM!</v>
      </c>
      <c r="CY178" s="62">
        <f ca="1">AVERAGE(OFFSET($CX$3,0,0,'Données projet'!$E$13+1,1))-AVERAGE(OFFSET($H$3,0,0,'Données projet'!$E$13+1,1))</f>
        <v>486.63673936259465</v>
      </c>
      <c r="CZ178" s="62">
        <f t="shared" si="150"/>
        <v>306.61893266146666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-3.4106051316484809E-13</v>
      </c>
      <c r="O179" s="14">
        <f>N179*VLOOKUP('Données projet'!$B$9,Paramètres!$A$1:$I$89,3,0)*VLOOKUP('Données projet'!$B$9,Paramètres!$A$1:$I$89,5,0)</f>
        <v>-1.9065282685915009E-13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555.15881087162279</v>
      </c>
      <c r="T179" s="62">
        <f t="shared" si="142"/>
        <v>668.20427590250733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1.5904338304645709</v>
      </c>
      <c r="AA179" s="23">
        <f>EXP(-LN(2)/25)*AA178+(1-EXP(-LN(2)/25))/(LN(2)/25)*Calculateur!V179*Calculateur!X179*VLOOKUP('Données projet'!$B$9,Paramètres!$A$1:$I$89,3,0)*0.475*44/12</f>
        <v>0.39506546369274792</v>
      </c>
      <c r="AB179" s="23">
        <f>EXP(-LN(2)/2)*AB178+(1-EXP(-LN(2)/2))/(LN(2)/2)*V179*Y179*VLOOKUP('Données projet'!$B$9,Paramètres!$A$1:$I$89,3,0)*0.475*44/12</f>
        <v>1.4644877088111678E-21</v>
      </c>
      <c r="AC179" s="24">
        <f t="shared" si="163"/>
        <v>1.9854992941573189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>
        <f>AI179*VLOOKUP('Données projet'!$B$10,Paramètres!$A$1:$I$89,3,0)*VLOOKUP('Données projet'!$B$10,Paramètres!$A$1:$I$89,5,0)</f>
        <v>0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195.80903373714432</v>
      </c>
      <c r="AO179" s="62">
        <f t="shared" si="144"/>
        <v>388.30721786668977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5.4833020407494297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2.8162251379251586E-20</v>
      </c>
      <c r="AX179" s="23">
        <f t="shared" si="166"/>
        <v>5.4833020407494297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-5.6843418860808015E-14</v>
      </c>
      <c r="BE179" s="14">
        <f>BD179*VLOOKUP('Données projet'!$B$11,Paramètres!$A$1:$I$89,3,0)*VLOOKUP('Données projet'!$B$11,Paramètres!$A$1:$I$89,5,0)</f>
        <v>-5.1431925385259088E-14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366.86025470473652</v>
      </c>
      <c r="BJ179" s="62">
        <f t="shared" si="146"/>
        <v>513.80016421153414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0.58743446086496942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0.58743446086496942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-5.6843418860808015E-14</v>
      </c>
      <c r="BZ179" s="14">
        <f>BY179*VLOOKUP('Données projet'!$B$12,Paramètres!$A$1:$I$89,3,0)*VLOOKUP('Données projet'!$B$12,Paramètres!$A$1:$I$89,5,0)</f>
        <v>-5.1431925385259088E-14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438.70522838726322</v>
      </c>
      <c r="CE179" s="62">
        <f t="shared" si="148"/>
        <v>278.21741231699929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-5.6843418860808015E-14</v>
      </c>
      <c r="CU179" s="18">
        <f>CT179*VLOOKUP('Données projet'!$B$13,Paramètres!$A$1:$I$89,3,0)*VLOOKUP('Données projet'!$B$13,Paramètres!$A$1:$I$89,5,0)</f>
        <v>-5.7639226724859328E-14</v>
      </c>
      <c r="CV179" s="14" t="e">
        <f t="shared" si="173"/>
        <v>#NUM!</v>
      </c>
      <c r="CW179" s="22" t="e">
        <f t="shared" si="174"/>
        <v>#NUM!</v>
      </c>
      <c r="CX179" s="62" t="e">
        <f t="shared" si="122"/>
        <v>#NUM!</v>
      </c>
      <c r="CY179" s="62">
        <f ca="1">AVERAGE(OFFSET($CX$3,0,0,'Données projet'!$E$13+1,1))-AVERAGE(OFFSET($H$3,0,0,'Données projet'!$E$13+1,1))</f>
        <v>486.63673936259465</v>
      </c>
      <c r="CZ179" s="62">
        <f t="shared" si="150"/>
        <v>306.61893266146666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-3.4106051316484809E-13</v>
      </c>
      <c r="O180" s="14">
        <f>N180*VLOOKUP('Données projet'!$B$9,Paramètres!$A$1:$I$89,3,0)*VLOOKUP('Données projet'!$B$9,Paramètres!$A$1:$I$89,5,0)</f>
        <v>-1.9065282685915009E-13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555.15881087162279</v>
      </c>
      <c r="T180" s="62">
        <f t="shared" si="142"/>
        <v>668.20427590250733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1.5592463931180109</v>
      </c>
      <c r="AA180" s="23">
        <f>EXP(-LN(2)/25)*AA179+(1-EXP(-LN(2)/25))/(LN(2)/25)*Calculateur!V180*Calculateur!X180*VLOOKUP('Données projet'!$B$9,Paramètres!$A$1:$I$89,3,0)*0.475*44/12</f>
        <v>0.3842623778124799</v>
      </c>
      <c r="AB180" s="23">
        <f>EXP(-LN(2)/2)*AB179+(1-EXP(-LN(2)/2))/(LN(2)/2)*V180*Y180*VLOOKUP('Données projet'!$B$9,Paramètres!$A$1:$I$89,3,0)*0.475*44/12</f>
        <v>1.0355491898647267E-21</v>
      </c>
      <c r="AC180" s="24">
        <f t="shared" si="163"/>
        <v>1.9435087709304908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>
        <f>AI180*VLOOKUP('Données projet'!$B$10,Paramètres!$A$1:$I$89,3,0)*VLOOKUP('Données projet'!$B$10,Paramètres!$A$1:$I$89,5,0)</f>
        <v>0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195.80903373714432</v>
      </c>
      <c r="AO180" s="62">
        <f t="shared" si="144"/>
        <v>388.30721786668977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5.3757778322143377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1.9913718923748998E-20</v>
      </c>
      <c r="AX180" s="23">
        <f t="shared" si="166"/>
        <v>5.3757778322143377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-5.6843418860808015E-14</v>
      </c>
      <c r="BE180" s="14">
        <f>BD180*VLOOKUP('Données projet'!$B$11,Paramètres!$A$1:$I$89,3,0)*VLOOKUP('Données projet'!$B$11,Paramètres!$A$1:$I$89,5,0)</f>
        <v>-5.1431925385259088E-14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366.86025470473652</v>
      </c>
      <c r="BJ180" s="62">
        <f t="shared" si="146"/>
        <v>513.80016421153414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0.57591522938704931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0.57591522938704931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-5.6843418860808015E-14</v>
      </c>
      <c r="BZ180" s="14">
        <f>BY180*VLOOKUP('Données projet'!$B$12,Paramètres!$A$1:$I$89,3,0)*VLOOKUP('Données projet'!$B$12,Paramètres!$A$1:$I$89,5,0)</f>
        <v>-5.1431925385259088E-14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438.70522838726322</v>
      </c>
      <c r="CE180" s="62">
        <f t="shared" si="148"/>
        <v>278.21741231699929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-5.6843418860808015E-14</v>
      </c>
      <c r="CU180" s="18">
        <f>CT180*VLOOKUP('Données projet'!$B$13,Paramètres!$A$1:$I$89,3,0)*VLOOKUP('Données projet'!$B$13,Paramètres!$A$1:$I$89,5,0)</f>
        <v>-5.7639226724859328E-14</v>
      </c>
      <c r="CV180" s="14" t="e">
        <f t="shared" si="173"/>
        <v>#NUM!</v>
      </c>
      <c r="CW180" s="22" t="e">
        <f t="shared" si="174"/>
        <v>#NUM!</v>
      </c>
      <c r="CX180" s="62" t="e">
        <f t="shared" si="122"/>
        <v>#NUM!</v>
      </c>
      <c r="CY180" s="62">
        <f ca="1">AVERAGE(OFFSET($CX$3,0,0,'Données projet'!$E$13+1,1))-AVERAGE(OFFSET($H$3,0,0,'Données projet'!$E$13+1,1))</f>
        <v>486.63673936259465</v>
      </c>
      <c r="CZ180" s="62">
        <f t="shared" si="150"/>
        <v>306.61893266146666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-3.4106051316484809E-13</v>
      </c>
      <c r="O181" s="14">
        <f>N181*VLOOKUP('Données projet'!$B$9,Paramètres!$A$1:$I$89,3,0)*VLOOKUP('Données projet'!$B$9,Paramètres!$A$1:$I$89,5,0)</f>
        <v>-1.9065282685915009E-13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555.15881087162279</v>
      </c>
      <c r="T181" s="62">
        <f t="shared" si="142"/>
        <v>668.20427590250733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1.5286705223953585</v>
      </c>
      <c r="AA181" s="23">
        <f>EXP(-LN(2)/25)*AA180+(1-EXP(-LN(2)/25))/(LN(2)/25)*Calculateur!V181*Calculateur!X181*VLOOKUP('Données projet'!$B$9,Paramètres!$A$1:$I$89,3,0)*0.475*44/12</f>
        <v>0.37375470288371743</v>
      </c>
      <c r="AB181" s="23">
        <f>EXP(-LN(2)/2)*AB180+(1-EXP(-LN(2)/2))/(LN(2)/2)*V181*Y181*VLOOKUP('Données projet'!$B$9,Paramètres!$A$1:$I$89,3,0)*0.475*44/12</f>
        <v>7.3224385440558388E-22</v>
      </c>
      <c r="AC181" s="24">
        <f t="shared" si="163"/>
        <v>1.9024252252790759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>
        <f>AI181*VLOOKUP('Données projet'!$B$10,Paramètres!$A$1:$I$89,3,0)*VLOOKUP('Données projet'!$B$10,Paramètres!$A$1:$I$89,5,0)</f>
        <v>0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195.80903373714432</v>
      </c>
      <c r="AO181" s="62">
        <f t="shared" si="144"/>
        <v>388.30721786668977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5.2703621078253278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1.4081125689625793E-20</v>
      </c>
      <c r="AX181" s="23">
        <f t="shared" si="166"/>
        <v>5.2703621078253278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-5.6843418860808015E-14</v>
      </c>
      <c r="BE181" s="14">
        <f>BD181*VLOOKUP('Données projet'!$B$11,Paramètres!$A$1:$I$89,3,0)*VLOOKUP('Données projet'!$B$11,Paramètres!$A$1:$I$89,5,0)</f>
        <v>-5.1431925385259088E-14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366.86025470473652</v>
      </c>
      <c r="BJ181" s="62">
        <f t="shared" si="146"/>
        <v>513.80016421153414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0.56462188301237382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0.56462188301237382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-5.6843418860808015E-14</v>
      </c>
      <c r="BZ181" s="14">
        <f>BY181*VLOOKUP('Données projet'!$B$12,Paramètres!$A$1:$I$89,3,0)*VLOOKUP('Données projet'!$B$12,Paramètres!$A$1:$I$89,5,0)</f>
        <v>-5.1431925385259088E-14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438.70522838726322</v>
      </c>
      <c r="CE181" s="62">
        <f t="shared" si="148"/>
        <v>278.21741231699929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-5.6843418860808015E-14</v>
      </c>
      <c r="CU181" s="18">
        <f>CT181*VLOOKUP('Données projet'!$B$13,Paramètres!$A$1:$I$89,3,0)*VLOOKUP('Données projet'!$B$13,Paramètres!$A$1:$I$89,5,0)</f>
        <v>-5.7639226724859328E-14</v>
      </c>
      <c r="CV181" s="14" t="e">
        <f t="shared" si="173"/>
        <v>#NUM!</v>
      </c>
      <c r="CW181" s="22" t="e">
        <f t="shared" si="174"/>
        <v>#NUM!</v>
      </c>
      <c r="CX181" s="62" t="e">
        <f t="shared" si="122"/>
        <v>#NUM!</v>
      </c>
      <c r="CY181" s="62">
        <f ca="1">AVERAGE(OFFSET($CX$3,0,0,'Données projet'!$E$13+1,1))-AVERAGE(OFFSET($H$3,0,0,'Données projet'!$E$13+1,1))</f>
        <v>486.63673936259465</v>
      </c>
      <c r="CZ181" s="62">
        <f t="shared" si="150"/>
        <v>306.61893266146666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-3.4106051316484809E-13</v>
      </c>
      <c r="O182" s="14">
        <f>N182*VLOOKUP('Données projet'!$B$9,Paramètres!$A$1:$I$89,3,0)*VLOOKUP('Données projet'!$B$9,Paramètres!$A$1:$I$89,5,0)</f>
        <v>-1.9065282685915009E-13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555.15881087162279</v>
      </c>
      <c r="T182" s="62">
        <f t="shared" si="142"/>
        <v>668.20427590250733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1.4986942258481377</v>
      </c>
      <c r="AA182" s="23">
        <f>EXP(-LN(2)/25)*AA181+(1-EXP(-LN(2)/25))/(LN(2)/25)*Calculateur!V182*Calculateur!X182*VLOOKUP('Données projet'!$B$9,Paramètres!$A$1:$I$89,3,0)*0.475*44/12</f>
        <v>0.36353436087845659</v>
      </c>
      <c r="AB182" s="23">
        <f>EXP(-LN(2)/2)*AB181+(1-EXP(-LN(2)/2))/(LN(2)/2)*V182*Y182*VLOOKUP('Données projet'!$B$9,Paramètres!$A$1:$I$89,3,0)*0.475*44/12</f>
        <v>5.1777459493236335E-22</v>
      </c>
      <c r="AC182" s="24">
        <f t="shared" si="163"/>
        <v>1.8622285867265944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>
        <f>AI182*VLOOKUP('Données projet'!$B$10,Paramètres!$A$1:$I$89,3,0)*VLOOKUP('Données projet'!$B$10,Paramètres!$A$1:$I$89,5,0)</f>
        <v>0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195.80903373714432</v>
      </c>
      <c r="AO182" s="62">
        <f t="shared" si="144"/>
        <v>388.30721786668977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5.1670135214943436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9.9568594618744988E-21</v>
      </c>
      <c r="AX182" s="23">
        <f t="shared" si="166"/>
        <v>5.1670135214943436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-5.6843418860808015E-14</v>
      </c>
      <c r="BE182" s="14">
        <f>BD182*VLOOKUP('Données projet'!$B$11,Paramètres!$A$1:$I$89,3,0)*VLOOKUP('Données projet'!$B$11,Paramètres!$A$1:$I$89,5,0)</f>
        <v>-5.1431925385259088E-14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366.86025470473652</v>
      </c>
      <c r="BJ182" s="62">
        <f t="shared" si="146"/>
        <v>513.80016421153414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0.55354999227184454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0.55354999227184454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-5.6843418860808015E-14</v>
      </c>
      <c r="BZ182" s="14">
        <f>BY182*VLOOKUP('Données projet'!$B$12,Paramètres!$A$1:$I$89,3,0)*VLOOKUP('Données projet'!$B$12,Paramètres!$A$1:$I$89,5,0)</f>
        <v>-5.1431925385259088E-14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438.70522838726322</v>
      </c>
      <c r="CE182" s="62">
        <f t="shared" si="148"/>
        <v>278.21741231699929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-5.6843418860808015E-14</v>
      </c>
      <c r="CU182" s="18">
        <f>CT182*VLOOKUP('Données projet'!$B$13,Paramètres!$A$1:$I$89,3,0)*VLOOKUP('Données projet'!$B$13,Paramètres!$A$1:$I$89,5,0)</f>
        <v>-5.7639226724859328E-14</v>
      </c>
      <c r="CV182" s="14" t="e">
        <f t="shared" si="173"/>
        <v>#NUM!</v>
      </c>
      <c r="CW182" s="22" t="e">
        <f t="shared" si="174"/>
        <v>#NUM!</v>
      </c>
      <c r="CX182" s="62" t="e">
        <f t="shared" si="122"/>
        <v>#NUM!</v>
      </c>
      <c r="CY182" s="62">
        <f ca="1">AVERAGE(OFFSET($CX$3,0,0,'Données projet'!$E$13+1,1))-AVERAGE(OFFSET($H$3,0,0,'Données projet'!$E$13+1,1))</f>
        <v>486.63673936259465</v>
      </c>
      <c r="CZ182" s="62">
        <f t="shared" si="150"/>
        <v>306.61893266146666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-3.4106051316484809E-13</v>
      </c>
      <c r="O183" s="14">
        <f>N183*VLOOKUP('Données projet'!$B$9,Paramètres!$A$1:$I$89,3,0)*VLOOKUP('Données projet'!$B$9,Paramètres!$A$1:$I$89,5,0)</f>
        <v>-1.9065282685915009E-13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555.15881087162279</v>
      </c>
      <c r="T183" s="62">
        <f t="shared" si="142"/>
        <v>668.20427590250733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1.4693057461924723</v>
      </c>
      <c r="AA183" s="23">
        <f>EXP(-LN(2)/25)*AA182+(1-EXP(-LN(2)/25))/(LN(2)/25)*Calculateur!V183*Calculateur!X183*VLOOKUP('Données projet'!$B$9,Paramètres!$A$1:$I$89,3,0)*0.475*44/12</f>
        <v>0.35359349466279399</v>
      </c>
      <c r="AB183" s="23">
        <f>EXP(-LN(2)/2)*AB182+(1-EXP(-LN(2)/2))/(LN(2)/2)*V183*Y183*VLOOKUP('Données projet'!$B$9,Paramètres!$A$1:$I$89,3,0)*0.475*44/12</f>
        <v>3.6612192720279194E-22</v>
      </c>
      <c r="AC183" s="24">
        <f t="shared" si="163"/>
        <v>1.8228992408552664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>
        <f>AI183*VLOOKUP('Données projet'!$B$10,Paramètres!$A$1:$I$89,3,0)*VLOOKUP('Données projet'!$B$10,Paramètres!$A$1:$I$89,5,0)</f>
        <v>0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195.80903373714432</v>
      </c>
      <c r="AO183" s="62">
        <f t="shared" si="144"/>
        <v>388.30721786668977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5.0656915379048959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7.0405628448128964E-21</v>
      </c>
      <c r="AX183" s="23">
        <f t="shared" si="166"/>
        <v>5.0656915379048959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-5.6843418860808015E-14</v>
      </c>
      <c r="BE183" s="14">
        <f>BD183*VLOOKUP('Données projet'!$B$11,Paramètres!$A$1:$I$89,3,0)*VLOOKUP('Données projet'!$B$11,Paramètres!$A$1:$I$89,5,0)</f>
        <v>-5.1431925385259088E-14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366.86025470473652</v>
      </c>
      <c r="BJ183" s="62">
        <f t="shared" si="146"/>
        <v>513.80016421153414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0.54269521455555059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0.54269521455555059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-5.6843418860808015E-14</v>
      </c>
      <c r="BZ183" s="14">
        <f>BY183*VLOOKUP('Données projet'!$B$12,Paramètres!$A$1:$I$89,3,0)*VLOOKUP('Données projet'!$B$12,Paramètres!$A$1:$I$89,5,0)</f>
        <v>-5.1431925385259088E-14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438.70522838726322</v>
      </c>
      <c r="CE183" s="62">
        <f t="shared" si="148"/>
        <v>278.21741231699929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-5.6843418860808015E-14</v>
      </c>
      <c r="CU183" s="18">
        <f>CT183*VLOOKUP('Données projet'!$B$13,Paramètres!$A$1:$I$89,3,0)*VLOOKUP('Données projet'!$B$13,Paramètres!$A$1:$I$89,5,0)</f>
        <v>-5.7639226724859328E-14</v>
      </c>
      <c r="CV183" s="14" t="e">
        <f t="shared" si="173"/>
        <v>#NUM!</v>
      </c>
      <c r="CW183" s="22" t="e">
        <f t="shared" si="174"/>
        <v>#NUM!</v>
      </c>
      <c r="CX183" s="62" t="e">
        <f t="shared" si="122"/>
        <v>#NUM!</v>
      </c>
      <c r="CY183" s="62">
        <f ca="1">AVERAGE(OFFSET($CX$3,0,0,'Données projet'!$E$13+1,1))-AVERAGE(OFFSET($H$3,0,0,'Données projet'!$E$13+1,1))</f>
        <v>486.63673936259465</v>
      </c>
      <c r="CZ183" s="62">
        <f t="shared" si="150"/>
        <v>306.61893266146666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-3.4106051316484809E-13</v>
      </c>
      <c r="O184" s="14">
        <f>N184*VLOOKUP('Données projet'!$B$9,Paramètres!$A$1:$I$89,3,0)*VLOOKUP('Données projet'!$B$9,Paramètres!$A$1:$I$89,5,0)</f>
        <v>-1.9065282685915009E-13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555.15881087162279</v>
      </c>
      <c r="T184" s="62">
        <f t="shared" si="142"/>
        <v>668.20427590250733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1.440493556697652</v>
      </c>
      <c r="AA184" s="23">
        <f>EXP(-LN(2)/25)*AA183+(1-EXP(-LN(2)/25))/(LN(2)/25)*Calculateur!V184*Calculateur!X184*VLOOKUP('Données projet'!$B$9,Paramètres!$A$1:$I$89,3,0)*0.475*44/12</f>
        <v>0.34392446195656617</v>
      </c>
      <c r="AB184" s="23">
        <f>EXP(-LN(2)/2)*AB183+(1-EXP(-LN(2)/2))/(LN(2)/2)*V184*Y184*VLOOKUP('Données projet'!$B$9,Paramètres!$A$1:$I$89,3,0)*0.475*44/12</f>
        <v>2.5888729746618168E-22</v>
      </c>
      <c r="AC184" s="24">
        <f t="shared" si="163"/>
        <v>1.7844180186542182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>
        <f>AI184*VLOOKUP('Données projet'!$B$10,Paramètres!$A$1:$I$89,3,0)*VLOOKUP('Données projet'!$B$10,Paramètres!$A$1:$I$89,5,0)</f>
        <v>0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195.80903373714432</v>
      </c>
      <c r="AO184" s="62">
        <f t="shared" si="144"/>
        <v>388.30721786668977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4.9663564166133298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4.9784297309372494E-21</v>
      </c>
      <c r="AX184" s="23">
        <f t="shared" si="166"/>
        <v>4.9663564166133298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-5.6843418860808015E-14</v>
      </c>
      <c r="BE184" s="14">
        <f>BD184*VLOOKUP('Données projet'!$B$11,Paramètres!$A$1:$I$89,3,0)*VLOOKUP('Données projet'!$B$11,Paramètres!$A$1:$I$89,5,0)</f>
        <v>-5.1431925385259088E-14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366.86025470473652</v>
      </c>
      <c r="BJ184" s="62">
        <f t="shared" si="146"/>
        <v>513.80016421153414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0.53205329240951249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0.53205329240951249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-5.6843418860808015E-14</v>
      </c>
      <c r="BZ184" s="14">
        <f>BY184*VLOOKUP('Données projet'!$B$12,Paramètres!$A$1:$I$89,3,0)*VLOOKUP('Données projet'!$B$12,Paramètres!$A$1:$I$89,5,0)</f>
        <v>-5.1431925385259088E-14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438.70522838726322</v>
      </c>
      <c r="CE184" s="62">
        <f t="shared" si="148"/>
        <v>278.21741231699929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-5.6843418860808015E-14</v>
      </c>
      <c r="CU184" s="18">
        <f>CT184*VLOOKUP('Données projet'!$B$13,Paramètres!$A$1:$I$89,3,0)*VLOOKUP('Données projet'!$B$13,Paramètres!$A$1:$I$89,5,0)</f>
        <v>-5.7639226724859328E-14</v>
      </c>
      <c r="CV184" s="14" t="e">
        <f t="shared" si="173"/>
        <v>#NUM!</v>
      </c>
      <c r="CW184" s="22" t="e">
        <f t="shared" si="174"/>
        <v>#NUM!</v>
      </c>
      <c r="CX184" s="62" t="e">
        <f t="shared" si="122"/>
        <v>#NUM!</v>
      </c>
      <c r="CY184" s="62">
        <f ca="1">AVERAGE(OFFSET($CX$3,0,0,'Données projet'!$E$13+1,1))-AVERAGE(OFFSET($H$3,0,0,'Données projet'!$E$13+1,1))</f>
        <v>486.63673936259465</v>
      </c>
      <c r="CZ184" s="62">
        <f t="shared" si="150"/>
        <v>306.61893266146666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-3.4106051316484809E-13</v>
      </c>
      <c r="O185" s="14">
        <f>N185*VLOOKUP('Données projet'!$B$9,Paramètres!$A$1:$I$89,3,0)*VLOOKUP('Données projet'!$B$9,Paramètres!$A$1:$I$89,5,0)</f>
        <v>-1.9065282685915009E-13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555.15881087162279</v>
      </c>
      <c r="T185" s="62">
        <f t="shared" si="142"/>
        <v>668.20427590250733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1.4122463566651247</v>
      </c>
      <c r="AA185" s="23">
        <f>EXP(-LN(2)/25)*AA184+(1-EXP(-LN(2)/25))/(LN(2)/25)*Calculateur!V185*Calculateur!X185*VLOOKUP('Données projet'!$B$9,Paramètres!$A$1:$I$89,3,0)*0.475*44/12</f>
        <v>0.33451982945816244</v>
      </c>
      <c r="AB185" s="23">
        <f>EXP(-LN(2)/2)*AB184+(1-EXP(-LN(2)/2))/(LN(2)/2)*V185*Y185*VLOOKUP('Données projet'!$B$9,Paramètres!$A$1:$I$89,3,0)*0.475*44/12</f>
        <v>1.8306096360139597E-22</v>
      </c>
      <c r="AC185" s="24">
        <f t="shared" si="163"/>
        <v>1.746766186123287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>
        <f>AI185*VLOOKUP('Données projet'!$B$10,Paramètres!$A$1:$I$89,3,0)*VLOOKUP('Données projet'!$B$10,Paramètres!$A$1:$I$89,5,0)</f>
        <v>0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195.80903373714432</v>
      </c>
      <c r="AO185" s="62">
        <f t="shared" si="144"/>
        <v>388.30721786668977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4.8689691964618502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3.5202814224064482E-21</v>
      </c>
      <c r="AX185" s="23">
        <f t="shared" si="166"/>
        <v>4.8689691964618502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-5.6843418860808015E-14</v>
      </c>
      <c r="BE185" s="14">
        <f>BD185*VLOOKUP('Données projet'!$B$11,Paramètres!$A$1:$I$89,3,0)*VLOOKUP('Données projet'!$B$11,Paramètres!$A$1:$I$89,5,0)</f>
        <v>-5.1431925385259088E-14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366.86025470473652</v>
      </c>
      <c r="BJ185" s="62">
        <f t="shared" si="146"/>
        <v>513.80016421153414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0.52162005186582661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0.52162005186582661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-5.6843418860808015E-14</v>
      </c>
      <c r="BZ185" s="14">
        <f>BY185*VLOOKUP('Données projet'!$B$12,Paramètres!$A$1:$I$89,3,0)*VLOOKUP('Données projet'!$B$12,Paramètres!$A$1:$I$89,5,0)</f>
        <v>-5.1431925385259088E-14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438.70522838726322</v>
      </c>
      <c r="CE185" s="62">
        <f t="shared" si="148"/>
        <v>278.21741231699929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-5.6843418860808015E-14</v>
      </c>
      <c r="CU185" s="18">
        <f>CT185*VLOOKUP('Données projet'!$B$13,Paramètres!$A$1:$I$89,3,0)*VLOOKUP('Données projet'!$B$13,Paramètres!$A$1:$I$89,5,0)</f>
        <v>-5.7639226724859328E-14</v>
      </c>
      <c r="CV185" s="14" t="e">
        <f t="shared" si="173"/>
        <v>#NUM!</v>
      </c>
      <c r="CW185" s="22" t="e">
        <f t="shared" si="174"/>
        <v>#NUM!</v>
      </c>
      <c r="CX185" s="62" t="e">
        <f t="shared" si="122"/>
        <v>#NUM!</v>
      </c>
      <c r="CY185" s="62">
        <f ca="1">AVERAGE(OFFSET($CX$3,0,0,'Données projet'!$E$13+1,1))-AVERAGE(OFFSET($H$3,0,0,'Données projet'!$E$13+1,1))</f>
        <v>486.63673936259465</v>
      </c>
      <c r="CZ185" s="62">
        <f t="shared" si="150"/>
        <v>306.61893266146666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-3.4106051316484809E-13</v>
      </c>
      <c r="O186" s="14">
        <f>N186*VLOOKUP('Données projet'!$B$9,Paramètres!$A$1:$I$89,3,0)*VLOOKUP('Données projet'!$B$9,Paramètres!$A$1:$I$89,5,0)</f>
        <v>-1.9065282685915009E-13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555.15881087162279</v>
      </c>
      <c r="T186" s="62">
        <f t="shared" si="142"/>
        <v>668.20427590250733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1.3845530669961443</v>
      </c>
      <c r="AA186" s="23">
        <f>EXP(-LN(2)/25)*AA185+(1-EXP(-LN(2)/25))/(LN(2)/25)*Calculateur!V186*Calculateur!X186*VLOOKUP('Données projet'!$B$9,Paramètres!$A$1:$I$89,3,0)*0.475*44/12</f>
        <v>0.32537236712999573</v>
      </c>
      <c r="AB186" s="23">
        <f>EXP(-LN(2)/2)*AB185+(1-EXP(-LN(2)/2))/(LN(2)/2)*V186*Y186*VLOOKUP('Données projet'!$B$9,Paramètres!$A$1:$I$89,3,0)*0.475*44/12</f>
        <v>1.2944364873309084E-22</v>
      </c>
      <c r="AC186" s="24">
        <f t="shared" si="163"/>
        <v>1.7099254341261401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>
        <f>AI186*VLOOKUP('Données projet'!$B$10,Paramètres!$A$1:$I$89,3,0)*VLOOKUP('Données projet'!$B$10,Paramètres!$A$1:$I$89,5,0)</f>
        <v>0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195.80903373714432</v>
      </c>
      <c r="AO186" s="62">
        <f t="shared" si="144"/>
        <v>388.30721786668977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4.7734916802972016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2.4892148654686247E-21</v>
      </c>
      <c r="AX186" s="23">
        <f t="shared" si="166"/>
        <v>4.7734916802972016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-5.6843418860808015E-14</v>
      </c>
      <c r="BE186" s="14">
        <f>BD186*VLOOKUP('Données projet'!$B$11,Paramètres!$A$1:$I$89,3,0)*VLOOKUP('Données projet'!$B$11,Paramètres!$A$1:$I$89,5,0)</f>
        <v>-5.1431925385259088E-14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366.86025470473652</v>
      </c>
      <c r="BJ186" s="62">
        <f t="shared" si="146"/>
        <v>513.80016421153414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0.51139140080555401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0.51139140080555401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-5.6843418860808015E-14</v>
      </c>
      <c r="BZ186" s="14">
        <f>BY186*VLOOKUP('Données projet'!$B$12,Paramètres!$A$1:$I$89,3,0)*VLOOKUP('Données projet'!$B$12,Paramètres!$A$1:$I$89,5,0)</f>
        <v>-5.1431925385259088E-14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438.70522838726322</v>
      </c>
      <c r="CE186" s="62">
        <f t="shared" si="148"/>
        <v>278.21741231699929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-5.6843418860808015E-14</v>
      </c>
      <c r="CU186" s="18">
        <f>CT186*VLOOKUP('Données projet'!$B$13,Paramètres!$A$1:$I$89,3,0)*VLOOKUP('Données projet'!$B$13,Paramètres!$A$1:$I$89,5,0)</f>
        <v>-5.7639226724859328E-14</v>
      </c>
      <c r="CV186" s="14" t="e">
        <f t="shared" si="173"/>
        <v>#NUM!</v>
      </c>
      <c r="CW186" s="22" t="e">
        <f t="shared" si="174"/>
        <v>#NUM!</v>
      </c>
      <c r="CX186" s="62" t="e">
        <f t="shared" si="122"/>
        <v>#NUM!</v>
      </c>
      <c r="CY186" s="62">
        <f ca="1">AVERAGE(OFFSET($CX$3,0,0,'Données projet'!$E$13+1,1))-AVERAGE(OFFSET($H$3,0,0,'Données projet'!$E$13+1,1))</f>
        <v>486.63673936259465</v>
      </c>
      <c r="CZ186" s="62">
        <f t="shared" si="150"/>
        <v>306.61893266146666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-3.4106051316484809E-13</v>
      </c>
      <c r="O187" s="14">
        <f>N187*VLOOKUP('Données projet'!$B$9,Paramètres!$A$1:$I$89,3,0)*VLOOKUP('Données projet'!$B$9,Paramètres!$A$1:$I$89,5,0)</f>
        <v>-1.9065282685915009E-13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555.15881087162279</v>
      </c>
      <c r="T187" s="62">
        <f t="shared" si="142"/>
        <v>668.20427590250733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1.357402825846334</v>
      </c>
      <c r="AA187" s="23">
        <f>EXP(-LN(2)/25)*AA186+(1-EXP(-LN(2)/25))/(LN(2)/25)*Calculateur!V187*Calculateur!X187*VLOOKUP('Données projet'!$B$9,Paramètres!$A$1:$I$89,3,0)*0.475*44/12</f>
        <v>0.31647504264023685</v>
      </c>
      <c r="AB187" s="23">
        <f>EXP(-LN(2)/2)*AB186+(1-EXP(-LN(2)/2))/(LN(2)/2)*V187*Y187*VLOOKUP('Données projet'!$B$9,Paramètres!$A$1:$I$89,3,0)*0.475*44/12</f>
        <v>9.1530481800697985E-23</v>
      </c>
      <c r="AC187" s="24">
        <f t="shared" si="163"/>
        <v>1.6738778684865707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>
        <f>AI187*VLOOKUP('Données projet'!$B$10,Paramètres!$A$1:$I$89,3,0)*VLOOKUP('Données projet'!$B$10,Paramètres!$A$1:$I$89,5,0)</f>
        <v>0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195.80903373714432</v>
      </c>
      <c r="AO187" s="62">
        <f t="shared" si="144"/>
        <v>388.30721786668977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4.6798864199890078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1.7601407112032241E-21</v>
      </c>
      <c r="AX187" s="23">
        <f t="shared" si="166"/>
        <v>4.6798864199890078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-5.6843418860808015E-14</v>
      </c>
      <c r="BE187" s="14">
        <f>BD187*VLOOKUP('Données projet'!$B$11,Paramètres!$A$1:$I$89,3,0)*VLOOKUP('Données projet'!$B$11,Paramètres!$A$1:$I$89,5,0)</f>
        <v>-5.1431925385259088E-14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366.86025470473652</v>
      </c>
      <c r="BJ187" s="62">
        <f t="shared" si="146"/>
        <v>513.80016421153414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0.50136332735371225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0.50136332735371225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-5.6843418860808015E-14</v>
      </c>
      <c r="BZ187" s="14">
        <f>BY187*VLOOKUP('Données projet'!$B$12,Paramètres!$A$1:$I$89,3,0)*VLOOKUP('Données projet'!$B$12,Paramètres!$A$1:$I$89,5,0)</f>
        <v>-5.1431925385259088E-14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438.70522838726322</v>
      </c>
      <c r="CE187" s="62">
        <f t="shared" si="148"/>
        <v>278.21741231699929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-5.6843418860808015E-14</v>
      </c>
      <c r="CU187" s="18">
        <f>CT187*VLOOKUP('Données projet'!$B$13,Paramètres!$A$1:$I$89,3,0)*VLOOKUP('Données projet'!$B$13,Paramètres!$A$1:$I$89,5,0)</f>
        <v>-5.7639226724859328E-14</v>
      </c>
      <c r="CV187" s="14" t="e">
        <f t="shared" si="173"/>
        <v>#NUM!</v>
      </c>
      <c r="CW187" s="22" t="e">
        <f t="shared" si="174"/>
        <v>#NUM!</v>
      </c>
      <c r="CX187" s="62" t="e">
        <f t="shared" si="122"/>
        <v>#NUM!</v>
      </c>
      <c r="CY187" s="62">
        <f ca="1">AVERAGE(OFFSET($CX$3,0,0,'Données projet'!$E$13+1,1))-AVERAGE(OFFSET($H$3,0,0,'Données projet'!$E$13+1,1))</f>
        <v>486.63673936259465</v>
      </c>
      <c r="CZ187" s="62">
        <f t="shared" si="150"/>
        <v>306.61893266146666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-3.4106051316484809E-13</v>
      </c>
      <c r="O188" s="14">
        <f>N188*VLOOKUP('Données projet'!$B$9,Paramètres!$A$1:$I$89,3,0)*VLOOKUP('Données projet'!$B$9,Paramètres!$A$1:$I$89,5,0)</f>
        <v>-1.9065282685915009E-13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555.15881087162279</v>
      </c>
      <c r="T188" s="62">
        <f t="shared" si="142"/>
        <v>668.20427590250733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1.3307849843654596</v>
      </c>
      <c r="AA188" s="23">
        <f>EXP(-LN(2)/25)*AA187+(1-EXP(-LN(2)/25))/(LN(2)/25)*Calculateur!V188*Calculateur!X188*VLOOKUP('Données projet'!$B$9,Paramètres!$A$1:$I$89,3,0)*0.475*44/12</f>
        <v>0.30782101595654038</v>
      </c>
      <c r="AB188" s="23">
        <f>EXP(-LN(2)/2)*AB187+(1-EXP(-LN(2)/2))/(LN(2)/2)*V188*Y188*VLOOKUP('Données projet'!$B$9,Paramètres!$A$1:$I$89,3,0)*0.475*44/12</f>
        <v>6.4721824366545419E-23</v>
      </c>
      <c r="AC188" s="24">
        <f t="shared" si="163"/>
        <v>1.638606000322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>
        <f>AI188*VLOOKUP('Données projet'!$B$10,Paramètres!$A$1:$I$89,3,0)*VLOOKUP('Données projet'!$B$10,Paramètres!$A$1:$I$89,5,0)</f>
        <v>0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195.80903373714432</v>
      </c>
      <c r="AO188" s="62">
        <f t="shared" si="144"/>
        <v>388.30721786668977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4.5881167017418862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1.2446074327343123E-21</v>
      </c>
      <c r="AX188" s="23">
        <f t="shared" si="166"/>
        <v>4.5881167017418862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-5.6843418860808015E-14</v>
      </c>
      <c r="BE188" s="14">
        <f>BD188*VLOOKUP('Données projet'!$B$11,Paramètres!$A$1:$I$89,3,0)*VLOOKUP('Données projet'!$B$11,Paramètres!$A$1:$I$89,5,0)</f>
        <v>-5.1431925385259088E-14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366.86025470473652</v>
      </c>
      <c r="BJ188" s="62">
        <f t="shared" si="146"/>
        <v>513.80016421153414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0.49153189830574023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0.49153189830574023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-5.6843418860808015E-14</v>
      </c>
      <c r="BZ188" s="14">
        <f>BY188*VLOOKUP('Données projet'!$B$12,Paramètres!$A$1:$I$89,3,0)*VLOOKUP('Données projet'!$B$12,Paramètres!$A$1:$I$89,5,0)</f>
        <v>-5.1431925385259088E-14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438.70522838726322</v>
      </c>
      <c r="CE188" s="62">
        <f t="shared" si="148"/>
        <v>278.21741231699929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-5.6843418860808015E-14</v>
      </c>
      <c r="CU188" s="18">
        <f>CT188*VLOOKUP('Données projet'!$B$13,Paramètres!$A$1:$I$89,3,0)*VLOOKUP('Données projet'!$B$13,Paramètres!$A$1:$I$89,5,0)</f>
        <v>-5.7639226724859328E-14</v>
      </c>
      <c r="CV188" s="14" t="e">
        <f t="shared" si="173"/>
        <v>#NUM!</v>
      </c>
      <c r="CW188" s="22" t="e">
        <f t="shared" si="174"/>
        <v>#NUM!</v>
      </c>
      <c r="CX188" s="62" t="e">
        <f t="shared" si="122"/>
        <v>#NUM!</v>
      </c>
      <c r="CY188" s="62">
        <f ca="1">AVERAGE(OFFSET($CX$3,0,0,'Données projet'!$E$13+1,1))-AVERAGE(OFFSET($H$3,0,0,'Données projet'!$E$13+1,1))</f>
        <v>486.63673936259465</v>
      </c>
      <c r="CZ188" s="62">
        <f t="shared" si="150"/>
        <v>306.61893266146666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-3.4106051316484809E-13</v>
      </c>
      <c r="O189" s="14">
        <f>N189*VLOOKUP('Données projet'!$B$9,Paramètres!$A$1:$I$89,3,0)*VLOOKUP('Données projet'!$B$9,Paramètres!$A$1:$I$89,5,0)</f>
        <v>-1.9065282685915009E-13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555.15881087162279</v>
      </c>
      <c r="T189" s="62">
        <f t="shared" si="142"/>
        <v>668.20427590250733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1.3046891025207448</v>
      </c>
      <c r="AA189" s="23">
        <f>EXP(-LN(2)/25)*AA188+(1-EXP(-LN(2)/25))/(LN(2)/25)*Calculateur!V189*Calculateur!X189*VLOOKUP('Données projet'!$B$9,Paramètres!$A$1:$I$89,3,0)*0.475*44/12</f>
        <v>0.29940363408760506</v>
      </c>
      <c r="AB189" s="23">
        <f>EXP(-LN(2)/2)*AB188+(1-EXP(-LN(2)/2))/(LN(2)/2)*V189*Y189*VLOOKUP('Données projet'!$B$9,Paramètres!$A$1:$I$89,3,0)*0.475*44/12</f>
        <v>4.5765240900348992E-23</v>
      </c>
      <c r="AC189" s="24">
        <f t="shared" si="163"/>
        <v>1.6040927366083499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>
        <f>AI189*VLOOKUP('Données projet'!$B$10,Paramètres!$A$1:$I$89,3,0)*VLOOKUP('Données projet'!$B$10,Paramètres!$A$1:$I$89,5,0)</f>
        <v>0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195.80903373714432</v>
      </c>
      <c r="AO189" s="62">
        <f t="shared" si="144"/>
        <v>388.30721786668977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4.4981465316955891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8.8007035560161205E-22</v>
      </c>
      <c r="AX189" s="23">
        <f t="shared" si="166"/>
        <v>4.4981465316955891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-5.6843418860808015E-14</v>
      </c>
      <c r="BE189" s="14">
        <f>BD189*VLOOKUP('Données projet'!$B$11,Paramètres!$A$1:$I$89,3,0)*VLOOKUP('Données projet'!$B$11,Paramètres!$A$1:$I$89,5,0)</f>
        <v>-5.1431925385259088E-14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366.86025470473652</v>
      </c>
      <c r="BJ189" s="62">
        <f t="shared" si="146"/>
        <v>513.80016421153414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0.48189325758481938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0.48189325758481938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-5.6843418860808015E-14</v>
      </c>
      <c r="BZ189" s="14">
        <f>BY189*VLOOKUP('Données projet'!$B$12,Paramètres!$A$1:$I$89,3,0)*VLOOKUP('Données projet'!$B$12,Paramètres!$A$1:$I$89,5,0)</f>
        <v>-5.1431925385259088E-14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438.70522838726322</v>
      </c>
      <c r="CE189" s="62">
        <f t="shared" si="148"/>
        <v>278.21741231699929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-5.6843418860808015E-14</v>
      </c>
      <c r="CU189" s="18">
        <f>CT189*VLOOKUP('Données projet'!$B$13,Paramètres!$A$1:$I$89,3,0)*VLOOKUP('Données projet'!$B$13,Paramètres!$A$1:$I$89,5,0)</f>
        <v>-5.7639226724859328E-14</v>
      </c>
      <c r="CV189" s="14" t="e">
        <f t="shared" si="173"/>
        <v>#NUM!</v>
      </c>
      <c r="CW189" s="22" t="e">
        <f t="shared" si="174"/>
        <v>#NUM!</v>
      </c>
      <c r="CX189" s="62" t="e">
        <f t="shared" si="122"/>
        <v>#NUM!</v>
      </c>
      <c r="CY189" s="62">
        <f ca="1">AVERAGE(OFFSET($CX$3,0,0,'Données projet'!$E$13+1,1))-AVERAGE(OFFSET($H$3,0,0,'Données projet'!$E$13+1,1))</f>
        <v>486.63673936259465</v>
      </c>
      <c r="CZ189" s="62">
        <f t="shared" si="150"/>
        <v>306.61893266146666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-3.4106051316484809E-13</v>
      </c>
      <c r="O190" s="14">
        <f>N190*VLOOKUP('Données projet'!$B$9,Paramètres!$A$1:$I$89,3,0)*VLOOKUP('Données projet'!$B$9,Paramètres!$A$1:$I$89,5,0)</f>
        <v>-1.9065282685915009E-13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555.15881087162279</v>
      </c>
      <c r="T190" s="62">
        <f t="shared" si="142"/>
        <v>668.20427590250733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1.2791049450020886</v>
      </c>
      <c r="AA190" s="23">
        <f>EXP(-LN(2)/25)*AA189+(1-EXP(-LN(2)/25))/(LN(2)/25)*Calculateur!V190*Calculateur!X190*VLOOKUP('Données projet'!$B$9,Paramètres!$A$1:$I$89,3,0)*0.475*44/12</f>
        <v>0.2912164259685267</v>
      </c>
      <c r="AB190" s="23">
        <f>EXP(-LN(2)/2)*AB189+(1-EXP(-LN(2)/2))/(LN(2)/2)*V190*Y190*VLOOKUP('Données projet'!$B$9,Paramètres!$A$1:$I$89,3,0)*0.475*44/12</f>
        <v>3.236091218327271E-23</v>
      </c>
      <c r="AC190" s="24">
        <f t="shared" si="163"/>
        <v>1.5703213709706154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>
        <f>AI190*VLOOKUP('Données projet'!$B$10,Paramètres!$A$1:$I$89,3,0)*VLOOKUP('Données projet'!$B$10,Paramètres!$A$1:$I$89,5,0)</f>
        <v>0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195.80903373714432</v>
      </c>
      <c r="AO190" s="62">
        <f t="shared" si="144"/>
        <v>388.30721786668977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4.4099406218075154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6.2230371636715617E-22</v>
      </c>
      <c r="AX190" s="23">
        <f t="shared" si="166"/>
        <v>4.4099406218075154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-5.6843418860808015E-14</v>
      </c>
      <c r="BE190" s="14">
        <f>BD190*VLOOKUP('Données projet'!$B$11,Paramètres!$A$1:$I$89,3,0)*VLOOKUP('Données projet'!$B$11,Paramètres!$A$1:$I$89,5,0)</f>
        <v>-5.1431925385259088E-14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366.86025470473652</v>
      </c>
      <c r="BJ190" s="62">
        <f t="shared" si="146"/>
        <v>513.80016421153414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0.47244362472944545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0.47244362472944545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-5.6843418860808015E-14</v>
      </c>
      <c r="BZ190" s="14">
        <f>BY190*VLOOKUP('Données projet'!$B$12,Paramètres!$A$1:$I$89,3,0)*VLOOKUP('Données projet'!$B$12,Paramètres!$A$1:$I$89,5,0)</f>
        <v>-5.1431925385259088E-14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438.70522838726322</v>
      </c>
      <c r="CE190" s="62">
        <f t="shared" si="148"/>
        <v>278.21741231699929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-5.6843418860808015E-14</v>
      </c>
      <c r="CU190" s="18">
        <f>CT190*VLOOKUP('Données projet'!$B$13,Paramètres!$A$1:$I$89,3,0)*VLOOKUP('Données projet'!$B$13,Paramètres!$A$1:$I$89,5,0)</f>
        <v>-5.7639226724859328E-14</v>
      </c>
      <c r="CV190" s="14" t="e">
        <f t="shared" si="173"/>
        <v>#NUM!</v>
      </c>
      <c r="CW190" s="22" t="e">
        <f t="shared" si="174"/>
        <v>#NUM!</v>
      </c>
      <c r="CX190" s="62" t="e">
        <f t="shared" si="122"/>
        <v>#NUM!</v>
      </c>
      <c r="CY190" s="62">
        <f ca="1">AVERAGE(OFFSET($CX$3,0,0,'Données projet'!$E$13+1,1))-AVERAGE(OFFSET($H$3,0,0,'Données projet'!$E$13+1,1))</f>
        <v>486.63673936259465</v>
      </c>
      <c r="CZ190" s="62">
        <f t="shared" si="150"/>
        <v>306.61893266146666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-3.4106051316484809E-13</v>
      </c>
      <c r="O191" s="14">
        <f>N191*VLOOKUP('Données projet'!$B$9,Paramètres!$A$1:$I$89,3,0)*VLOOKUP('Données projet'!$B$9,Paramètres!$A$1:$I$89,5,0)</f>
        <v>-1.9065282685915009E-13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555.15881087162279</v>
      </c>
      <c r="T191" s="62">
        <f t="shared" si="142"/>
        <v>668.20427590250733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1.2540224772075781</v>
      </c>
      <c r="AA191" s="23">
        <f>EXP(-LN(2)/25)*AA190+(1-EXP(-LN(2)/25))/(LN(2)/25)*Calculateur!V191*Calculateur!X191*VLOOKUP('Données projet'!$B$9,Paramètres!$A$1:$I$89,3,0)*0.475*44/12</f>
        <v>0.28325309748601107</v>
      </c>
      <c r="AB191" s="23">
        <f>EXP(-LN(2)/2)*AB190+(1-EXP(-LN(2)/2))/(LN(2)/2)*V191*Y191*VLOOKUP('Données projet'!$B$9,Paramètres!$A$1:$I$89,3,0)*0.475*44/12</f>
        <v>2.2882620450174496E-23</v>
      </c>
      <c r="AC191" s="24">
        <f t="shared" si="163"/>
        <v>1.5372755746935891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>
        <f>AI191*VLOOKUP('Données projet'!$B$10,Paramètres!$A$1:$I$89,3,0)*VLOOKUP('Données projet'!$B$10,Paramètres!$A$1:$I$89,5,0)</f>
        <v>0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195.80903373714432</v>
      </c>
      <c r="AO191" s="62">
        <f t="shared" si="144"/>
        <v>388.30721786668977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4.3234643760120539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4.4003517780080603E-22</v>
      </c>
      <c r="AX191" s="23">
        <f t="shared" si="166"/>
        <v>4.3234643760120539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-5.6843418860808015E-14</v>
      </c>
      <c r="BE191" s="14">
        <f>BD191*VLOOKUP('Données projet'!$B$11,Paramètres!$A$1:$I$89,3,0)*VLOOKUP('Données projet'!$B$11,Paramètres!$A$1:$I$89,5,0)</f>
        <v>-5.1431925385259088E-14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366.86025470473652</v>
      </c>
      <c r="BJ191" s="62">
        <f t="shared" si="146"/>
        <v>513.80016421153414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0.46317929341065844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0.46317929341065844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-5.6843418860808015E-14</v>
      </c>
      <c r="BZ191" s="14">
        <f>BY191*VLOOKUP('Données projet'!$B$12,Paramètres!$A$1:$I$89,3,0)*VLOOKUP('Données projet'!$B$12,Paramètres!$A$1:$I$89,5,0)</f>
        <v>-5.1431925385259088E-14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438.70522838726322</v>
      </c>
      <c r="CE191" s="62">
        <f t="shared" si="148"/>
        <v>278.21741231699929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-5.6843418860808015E-14</v>
      </c>
      <c r="CU191" s="18">
        <f>CT191*VLOOKUP('Données projet'!$B$13,Paramètres!$A$1:$I$89,3,0)*VLOOKUP('Données projet'!$B$13,Paramètres!$A$1:$I$89,5,0)</f>
        <v>-5.7639226724859328E-14</v>
      </c>
      <c r="CV191" s="14" t="e">
        <f t="shared" si="173"/>
        <v>#NUM!</v>
      </c>
      <c r="CW191" s="22" t="e">
        <f t="shared" si="174"/>
        <v>#NUM!</v>
      </c>
      <c r="CX191" s="62" t="e">
        <f t="shared" si="122"/>
        <v>#NUM!</v>
      </c>
      <c r="CY191" s="62">
        <f ca="1">AVERAGE(OFFSET($CX$3,0,0,'Données projet'!$E$13+1,1))-AVERAGE(OFFSET($H$3,0,0,'Données projet'!$E$13+1,1))</f>
        <v>486.63673936259465</v>
      </c>
      <c r="CZ191" s="62">
        <f t="shared" si="150"/>
        <v>306.61893266146666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-3.4106051316484809E-13</v>
      </c>
      <c r="O192" s="14">
        <f>N192*VLOOKUP('Données projet'!$B$9,Paramètres!$A$1:$I$89,3,0)*VLOOKUP('Données projet'!$B$9,Paramètres!$A$1:$I$89,5,0)</f>
        <v>-1.9065282685915009E-13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555.15881087162279</v>
      </c>
      <c r="T192" s="62">
        <f t="shared" si="142"/>
        <v>668.20427590250733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1.2294318613077231</v>
      </c>
      <c r="AA192" s="23">
        <f>EXP(-LN(2)/25)*AA191+(1-EXP(-LN(2)/25))/(LN(2)/25)*Calculateur!V192*Calculateur!X192*VLOOKUP('Données projet'!$B$9,Paramètres!$A$1:$I$89,3,0)*0.475*44/12</f>
        <v>0.27550752663962308</v>
      </c>
      <c r="AB192" s="23">
        <f>EXP(-LN(2)/2)*AB191+(1-EXP(-LN(2)/2))/(LN(2)/2)*V192*Y192*VLOOKUP('Données projet'!$B$9,Paramètres!$A$1:$I$89,3,0)*0.475*44/12</f>
        <v>1.6180456091636355E-23</v>
      </c>
      <c r="AC192" s="24">
        <f t="shared" si="163"/>
        <v>1.5049393879473461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>
        <f>AI192*VLOOKUP('Données projet'!$B$10,Paramètres!$A$1:$I$89,3,0)*VLOOKUP('Données projet'!$B$10,Paramètres!$A$1:$I$89,5,0)</f>
        <v>0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195.80903373714432</v>
      </c>
      <c r="AO192" s="62">
        <f t="shared" si="144"/>
        <v>388.30721786668977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4.2386838766513399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3.1115185818357809E-22</v>
      </c>
      <c r="AX192" s="23">
        <f t="shared" si="166"/>
        <v>4.2386838766513399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-5.6843418860808015E-14</v>
      </c>
      <c r="BE192" s="14">
        <f>BD192*VLOOKUP('Données projet'!$B$11,Paramètres!$A$1:$I$89,3,0)*VLOOKUP('Données projet'!$B$11,Paramètres!$A$1:$I$89,5,0)</f>
        <v>-5.1431925385259088E-14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366.86025470473652</v>
      </c>
      <c r="BJ192" s="62">
        <f t="shared" si="146"/>
        <v>513.80016421153414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0.45409662997834871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0.45409662997834871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-5.6843418860808015E-14</v>
      </c>
      <c r="BZ192" s="14">
        <f>BY192*VLOOKUP('Données projet'!$B$12,Paramètres!$A$1:$I$89,3,0)*VLOOKUP('Données projet'!$B$12,Paramètres!$A$1:$I$89,5,0)</f>
        <v>-5.1431925385259088E-14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438.70522838726322</v>
      </c>
      <c r="CE192" s="62">
        <f t="shared" si="148"/>
        <v>278.21741231699929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-5.6843418860808015E-14</v>
      </c>
      <c r="CU192" s="18">
        <f>CT192*VLOOKUP('Données projet'!$B$13,Paramètres!$A$1:$I$89,3,0)*VLOOKUP('Données projet'!$B$13,Paramètres!$A$1:$I$89,5,0)</f>
        <v>-5.7639226724859328E-14</v>
      </c>
      <c r="CV192" s="14" t="e">
        <f t="shared" si="173"/>
        <v>#NUM!</v>
      </c>
      <c r="CW192" s="22" t="e">
        <f t="shared" si="174"/>
        <v>#NUM!</v>
      </c>
      <c r="CX192" s="62" t="e">
        <f t="shared" si="122"/>
        <v>#NUM!</v>
      </c>
      <c r="CY192" s="62">
        <f ca="1">AVERAGE(OFFSET($CX$3,0,0,'Données projet'!$E$13+1,1))-AVERAGE(OFFSET($H$3,0,0,'Données projet'!$E$13+1,1))</f>
        <v>486.63673936259465</v>
      </c>
      <c r="CZ192" s="62">
        <f t="shared" si="150"/>
        <v>306.61893266146666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-3.4106051316484809E-13</v>
      </c>
      <c r="O193" s="14">
        <f>N193*VLOOKUP('Données projet'!$B$9,Paramètres!$A$1:$I$89,3,0)*VLOOKUP('Données projet'!$B$9,Paramètres!$A$1:$I$89,5,0)</f>
        <v>-1.9065282685915009E-13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555.15881087162279</v>
      </c>
      <c r="T193" s="62">
        <f t="shared" si="142"/>
        <v>668.20427590250733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1.2053234523868697</v>
      </c>
      <c r="AA193" s="23">
        <f>EXP(-LN(2)/25)*AA192+(1-EXP(-LN(2)/25))/(LN(2)/25)*Calculateur!V193*Calculateur!X193*VLOOKUP('Données projet'!$B$9,Paramètres!$A$1:$I$89,3,0)*0.475*44/12</f>
        <v>0.26797375883535146</v>
      </c>
      <c r="AB193" s="23">
        <f>EXP(-LN(2)/2)*AB192+(1-EXP(-LN(2)/2))/(LN(2)/2)*V193*Y193*VLOOKUP('Données projet'!$B$9,Paramètres!$A$1:$I$89,3,0)*0.475*44/12</f>
        <v>1.1441310225087248E-23</v>
      </c>
      <c r="AC193" s="24">
        <f t="shared" si="163"/>
        <v>1.4732972112222211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>
        <f>AI193*VLOOKUP('Données projet'!$B$10,Paramètres!$A$1:$I$89,3,0)*VLOOKUP('Données projet'!$B$10,Paramètres!$A$1:$I$89,5,0)</f>
        <v>0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195.80903373714432</v>
      </c>
      <c r="AO193" s="62">
        <f t="shared" si="144"/>
        <v>388.30721786668977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4.1555658711720902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2.2001758890040301E-22</v>
      </c>
      <c r="AX193" s="23">
        <f t="shared" si="166"/>
        <v>4.1555658711720902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-5.6843418860808015E-14</v>
      </c>
      <c r="BE193" s="14">
        <f>BD193*VLOOKUP('Données projet'!$B$11,Paramètres!$A$1:$I$89,3,0)*VLOOKUP('Données projet'!$B$11,Paramètres!$A$1:$I$89,5,0)</f>
        <v>-5.1431925385259088E-14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366.86025470473652</v>
      </c>
      <c r="BJ193" s="62">
        <f t="shared" si="146"/>
        <v>513.80016421153414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0.44519207203606892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0.44519207203606892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-5.6843418860808015E-14</v>
      </c>
      <c r="BZ193" s="14">
        <f>BY193*VLOOKUP('Données projet'!$B$12,Paramètres!$A$1:$I$89,3,0)*VLOOKUP('Données projet'!$B$12,Paramètres!$A$1:$I$89,5,0)</f>
        <v>-5.1431925385259088E-14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438.70522838726322</v>
      </c>
      <c r="CE193" s="62">
        <f t="shared" si="148"/>
        <v>278.21741231699929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-5.6843418860808015E-14</v>
      </c>
      <c r="CU193" s="18">
        <f>CT193*VLOOKUP('Données projet'!$B$13,Paramètres!$A$1:$I$89,3,0)*VLOOKUP('Données projet'!$B$13,Paramètres!$A$1:$I$89,5,0)</f>
        <v>-5.7639226724859328E-14</v>
      </c>
      <c r="CV193" s="14" t="e">
        <f t="shared" si="173"/>
        <v>#NUM!</v>
      </c>
      <c r="CW193" s="22" t="e">
        <f t="shared" si="174"/>
        <v>#NUM!</v>
      </c>
      <c r="CX193" s="62" t="e">
        <f t="shared" si="122"/>
        <v>#NUM!</v>
      </c>
      <c r="CY193" s="62">
        <f ca="1">AVERAGE(OFFSET($CX$3,0,0,'Données projet'!$E$13+1,1))-AVERAGE(OFFSET($H$3,0,0,'Données projet'!$E$13+1,1))</f>
        <v>486.63673936259465</v>
      </c>
      <c r="CZ193" s="62">
        <f t="shared" si="150"/>
        <v>306.61893266146666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-3.4106051316484809E-13</v>
      </c>
      <c r="O194" s="14">
        <f>N194*VLOOKUP('Données projet'!$B$9,Paramètres!$A$1:$I$89,3,0)*VLOOKUP('Données projet'!$B$9,Paramètres!$A$1:$I$89,5,0)</f>
        <v>-1.9065282685915009E-13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555.15881087162279</v>
      </c>
      <c r="T194" s="62">
        <f t="shared" si="142"/>
        <v>668.20427590250733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1.1816877946602766</v>
      </c>
      <c r="AA194" s="23">
        <f>EXP(-LN(2)/25)*AA193+(1-EXP(-LN(2)/25))/(LN(2)/25)*Calculateur!V194*Calculateur!X194*VLOOKUP('Données projet'!$B$9,Paramètres!$A$1:$I$89,3,0)*0.475*44/12</f>
        <v>0.26064600230787127</v>
      </c>
      <c r="AB194" s="23">
        <f>EXP(-LN(2)/2)*AB193+(1-EXP(-LN(2)/2))/(LN(2)/2)*V194*Y194*VLOOKUP('Données projet'!$B$9,Paramètres!$A$1:$I$89,3,0)*0.475*44/12</f>
        <v>8.0902280458181774E-24</v>
      </c>
      <c r="AC194" s="24">
        <f t="shared" si="163"/>
        <v>1.442333796968148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>
        <f>AI194*VLOOKUP('Données projet'!$B$10,Paramètres!$A$1:$I$89,3,0)*VLOOKUP('Données projet'!$B$10,Paramètres!$A$1:$I$89,5,0)</f>
        <v>0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195.80903373714432</v>
      </c>
      <c r="AO194" s="62">
        <f t="shared" si="144"/>
        <v>388.30721786668977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4.0740777590833117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1.5557592909178904E-22</v>
      </c>
      <c r="AX194" s="23">
        <f t="shared" si="166"/>
        <v>4.0740777590833117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-5.6843418860808015E-14</v>
      </c>
      <c r="BE194" s="14">
        <f>BD194*VLOOKUP('Données projet'!$B$11,Paramètres!$A$1:$I$89,3,0)*VLOOKUP('Données projet'!$B$11,Paramètres!$A$1:$I$89,5,0)</f>
        <v>-5.1431925385259088E-14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366.86025470473652</v>
      </c>
      <c r="BJ194" s="62">
        <f t="shared" si="146"/>
        <v>513.80016421153414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0.43646212704379317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0.43646212704379317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-5.6843418860808015E-14</v>
      </c>
      <c r="BZ194" s="14">
        <f>BY194*VLOOKUP('Données projet'!$B$12,Paramètres!$A$1:$I$89,3,0)*VLOOKUP('Données projet'!$B$12,Paramètres!$A$1:$I$89,5,0)</f>
        <v>-5.1431925385259088E-14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438.70522838726322</v>
      </c>
      <c r="CE194" s="62">
        <f t="shared" si="148"/>
        <v>278.21741231699929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-5.6843418860808015E-14</v>
      </c>
      <c r="CU194" s="18">
        <f>CT194*VLOOKUP('Données projet'!$B$13,Paramètres!$A$1:$I$89,3,0)*VLOOKUP('Données projet'!$B$13,Paramètres!$A$1:$I$89,5,0)</f>
        <v>-5.7639226724859328E-14</v>
      </c>
      <c r="CV194" s="14" t="e">
        <f t="shared" si="173"/>
        <v>#NUM!</v>
      </c>
      <c r="CW194" s="22" t="e">
        <f t="shared" si="174"/>
        <v>#NUM!</v>
      </c>
      <c r="CX194" s="62" t="e">
        <f t="shared" si="122"/>
        <v>#NUM!</v>
      </c>
      <c r="CY194" s="62">
        <f ca="1">AVERAGE(OFFSET($CX$3,0,0,'Données projet'!$E$13+1,1))-AVERAGE(OFFSET($H$3,0,0,'Données projet'!$E$13+1,1))</f>
        <v>486.63673936259465</v>
      </c>
      <c r="CZ194" s="62">
        <f t="shared" si="150"/>
        <v>306.61893266146666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-3.4106051316484809E-13</v>
      </c>
      <c r="O195" s="14">
        <f>N195*VLOOKUP('Données projet'!$B$9,Paramètres!$A$1:$I$89,3,0)*VLOOKUP('Données projet'!$B$9,Paramètres!$A$1:$I$89,5,0)</f>
        <v>-1.9065282685915009E-13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555.15881087162279</v>
      </c>
      <c r="T195" s="62">
        <f t="shared" si="142"/>
        <v>668.20427590250733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1.1585156177653744</v>
      </c>
      <c r="AA195" s="23">
        <f>EXP(-LN(2)/25)*AA194+(1-EXP(-LN(2)/25))/(LN(2)/25)*Calculateur!V195*Calculateur!X195*VLOOKUP('Données projet'!$B$9,Paramètres!$A$1:$I$89,3,0)*0.475*44/12</f>
        <v>0.253518623667985</v>
      </c>
      <c r="AB195" s="23">
        <f>EXP(-LN(2)/2)*AB194+(1-EXP(-LN(2)/2))/(LN(2)/2)*V195*Y195*VLOOKUP('Données projet'!$B$9,Paramètres!$A$1:$I$89,3,0)*0.475*44/12</f>
        <v>5.7206551125436241E-24</v>
      </c>
      <c r="AC195" s="24">
        <f t="shared" si="163"/>
        <v>1.4120342414333593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>
        <f>AI195*VLOOKUP('Données projet'!$B$10,Paramètres!$A$1:$I$89,3,0)*VLOOKUP('Données projet'!$B$10,Paramètres!$A$1:$I$89,5,0)</f>
        <v>0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195.80903373714432</v>
      </c>
      <c r="AO195" s="62">
        <f t="shared" si="144"/>
        <v>388.30721786668977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3.9941875791697532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1.1000879445020151E-22</v>
      </c>
      <c r="AX195" s="23">
        <f t="shared" si="166"/>
        <v>3.9941875791697532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-5.6843418860808015E-14</v>
      </c>
      <c r="BE195" s="14">
        <f>BD195*VLOOKUP('Données projet'!$B$11,Paramètres!$A$1:$I$89,3,0)*VLOOKUP('Données projet'!$B$11,Paramètres!$A$1:$I$89,5,0)</f>
        <v>-5.1431925385259088E-14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366.86025470473652</v>
      </c>
      <c r="BJ195" s="62">
        <f t="shared" si="146"/>
        <v>513.80016421153414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0.42790337094807529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0.42790337094807529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-5.6843418860808015E-14</v>
      </c>
      <c r="BZ195" s="14">
        <f>BY195*VLOOKUP('Données projet'!$B$12,Paramètres!$A$1:$I$89,3,0)*VLOOKUP('Données projet'!$B$12,Paramètres!$A$1:$I$89,5,0)</f>
        <v>-5.1431925385259088E-14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438.70522838726322</v>
      </c>
      <c r="CE195" s="62">
        <f t="shared" si="148"/>
        <v>278.21741231699929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-5.6843418860808015E-14</v>
      </c>
      <c r="CU195" s="18">
        <f>CT195*VLOOKUP('Données projet'!$B$13,Paramètres!$A$1:$I$89,3,0)*VLOOKUP('Données projet'!$B$13,Paramètres!$A$1:$I$89,5,0)</f>
        <v>-5.7639226724859328E-14</v>
      </c>
      <c r="CV195" s="14" t="e">
        <f t="shared" si="173"/>
        <v>#NUM!</v>
      </c>
      <c r="CW195" s="22" t="e">
        <f t="shared" si="174"/>
        <v>#NUM!</v>
      </c>
      <c r="CX195" s="62" t="e">
        <f t="shared" si="122"/>
        <v>#NUM!</v>
      </c>
      <c r="CY195" s="62">
        <f ca="1">AVERAGE(OFFSET($CX$3,0,0,'Données projet'!$E$13+1,1))-AVERAGE(OFFSET($H$3,0,0,'Données projet'!$E$13+1,1))</f>
        <v>486.63673936259465</v>
      </c>
      <c r="CZ195" s="62">
        <f t="shared" si="150"/>
        <v>306.61893266146666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-3.4106051316484809E-13</v>
      </c>
      <c r="O196" s="14">
        <f>N196*VLOOKUP('Données projet'!$B$9,Paramètres!$A$1:$I$89,3,0)*VLOOKUP('Données projet'!$B$9,Paramètres!$A$1:$I$89,5,0)</f>
        <v>-1.9065282685915009E-13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555.15881087162279</v>
      </c>
      <c r="T196" s="62">
        <f t="shared" si="142"/>
        <v>668.20427590250733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1.1357978331257488</v>
      </c>
      <c r="AA196" s="23">
        <f>EXP(-LN(2)/25)*AA195+(1-EXP(-LN(2)/25))/(LN(2)/25)*Calculateur!V196*Calculateur!X196*VLOOKUP('Données projet'!$B$9,Paramètres!$A$1:$I$89,3,0)*0.475*44/12</f>
        <v>0.24658614357181896</v>
      </c>
      <c r="AB196" s="23">
        <f>EXP(-LN(2)/2)*AB195+(1-EXP(-LN(2)/2))/(LN(2)/2)*V196*Y196*VLOOKUP('Données projet'!$B$9,Paramètres!$A$1:$I$89,3,0)*0.475*44/12</f>
        <v>4.0451140229090887E-24</v>
      </c>
      <c r="AC196" s="24">
        <f t="shared" si="163"/>
        <v>1.3823839766975676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>
        <f>AI196*VLOOKUP('Données projet'!$B$10,Paramètres!$A$1:$I$89,3,0)*VLOOKUP('Données projet'!$B$10,Paramètres!$A$1:$I$89,5,0)</f>
        <v>0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195.80903373714432</v>
      </c>
      <c r="AO196" s="62">
        <f t="shared" si="144"/>
        <v>388.30721786668977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3.9158639969561015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7.7787964545894522E-23</v>
      </c>
      <c r="AX196" s="23">
        <f t="shared" si="166"/>
        <v>3.9158639969561015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-5.6843418860808015E-14</v>
      </c>
      <c r="BE196" s="14">
        <f>BD196*VLOOKUP('Données projet'!$B$11,Paramètres!$A$1:$I$89,3,0)*VLOOKUP('Données projet'!$B$11,Paramètres!$A$1:$I$89,5,0)</f>
        <v>-5.1431925385259088E-14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366.86025470473652</v>
      </c>
      <c r="BJ196" s="62">
        <f t="shared" si="146"/>
        <v>513.80016421153414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0.41951244683906869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0.41951244683906869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-5.6843418860808015E-14</v>
      </c>
      <c r="BZ196" s="14">
        <f>BY196*VLOOKUP('Données projet'!$B$12,Paramètres!$A$1:$I$89,3,0)*VLOOKUP('Données projet'!$B$12,Paramètres!$A$1:$I$89,5,0)</f>
        <v>-5.1431925385259088E-14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438.70522838726322</v>
      </c>
      <c r="CE196" s="62">
        <f t="shared" si="148"/>
        <v>278.21741231699929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-5.6843418860808015E-14</v>
      </c>
      <c r="CU196" s="18">
        <f>CT196*VLOOKUP('Données projet'!$B$13,Paramètres!$A$1:$I$89,3,0)*VLOOKUP('Données projet'!$B$13,Paramètres!$A$1:$I$89,5,0)</f>
        <v>-5.7639226724859328E-14</v>
      </c>
      <c r="CV196" s="14" t="e">
        <f t="shared" si="173"/>
        <v>#NUM!</v>
      </c>
      <c r="CW196" s="22" t="e">
        <f t="shared" si="174"/>
        <v>#NUM!</v>
      </c>
      <c r="CX196" s="62" t="e">
        <f t="shared" ref="CX196:CX203" si="196">CW196+(CO196+CP196)*44/12</f>
        <v>#NUM!</v>
      </c>
      <c r="CY196" s="62">
        <f ca="1">AVERAGE(OFFSET($CX$3,0,0,'Données projet'!$E$13+1,1))-AVERAGE(OFFSET($H$3,0,0,'Données projet'!$E$13+1,1))</f>
        <v>486.63673936259465</v>
      </c>
      <c r="CZ196" s="62">
        <f t="shared" si="150"/>
        <v>306.61893266146666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-3.4106051316484809E-13</v>
      </c>
      <c r="O197" s="14">
        <f>N197*VLOOKUP('Données projet'!$B$9,Paramètres!$A$1:$I$89,3,0)*VLOOKUP('Données projet'!$B$9,Paramètres!$A$1:$I$89,5,0)</f>
        <v>-1.9065282685915009E-13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555.15881087162279</v>
      </c>
      <c r="T197" s="62">
        <f t="shared" ref="T197:T203" si="204">$T$3</f>
        <v>668.20427590250733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1.1135255303864258</v>
      </c>
      <c r="AA197" s="23">
        <f>EXP(-LN(2)/25)*AA196+(1-EXP(-LN(2)/25))/(LN(2)/25)*Calculateur!V197*Calculateur!X197*VLOOKUP('Données projet'!$B$9,Paramètres!$A$1:$I$89,3,0)*0.475*44/12</f>
        <v>0.23984323250844586</v>
      </c>
      <c r="AB197" s="23">
        <f>EXP(-LN(2)/2)*AB196+(1-EXP(-LN(2)/2))/(LN(2)/2)*V197*Y197*VLOOKUP('Données projet'!$B$9,Paramètres!$A$1:$I$89,3,0)*0.475*44/12</f>
        <v>2.860327556271812E-24</v>
      </c>
      <c r="AC197" s="24">
        <f t="shared" si="163"/>
        <v>1.3533687628948716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>
        <f>AI197*VLOOKUP('Données projet'!$B$10,Paramètres!$A$1:$I$89,3,0)*VLOOKUP('Données projet'!$B$10,Paramètres!$A$1:$I$89,5,0)</f>
        <v>0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195.80903373714432</v>
      </c>
      <c r="AO197" s="62">
        <f t="shared" ref="AO197:AO203" si="205">$AO$3</f>
        <v>388.30721786668977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3.8390762924169914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5.5004397225100753E-23</v>
      </c>
      <c r="AX197" s="23">
        <f t="shared" si="166"/>
        <v>3.8390762924169914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-5.6843418860808015E-14</v>
      </c>
      <c r="BE197" s="14">
        <f>BD197*VLOOKUP('Données projet'!$B$11,Paramètres!$A$1:$I$89,3,0)*VLOOKUP('Données projet'!$B$11,Paramètres!$A$1:$I$89,5,0)</f>
        <v>-5.1431925385259088E-14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366.86025470473652</v>
      </c>
      <c r="BJ197" s="62">
        <f t="shared" ref="BJ197:BJ203" si="206">$BJ$3</f>
        <v>513.80016421153414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0.41128606363388132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0.41128606363388132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-5.6843418860808015E-14</v>
      </c>
      <c r="BZ197" s="14">
        <f>BY197*VLOOKUP('Données projet'!$B$12,Paramètres!$A$1:$I$89,3,0)*VLOOKUP('Données projet'!$B$12,Paramètres!$A$1:$I$89,5,0)</f>
        <v>-5.1431925385259088E-14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438.70522838726322</v>
      </c>
      <c r="CE197" s="62">
        <f t="shared" ref="CE197:CE203" si="207">$CE$3</f>
        <v>278.21741231699929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-5.6843418860808015E-14</v>
      </c>
      <c r="CU197" s="18">
        <f>CT197*VLOOKUP('Données projet'!$B$13,Paramètres!$A$1:$I$89,3,0)*VLOOKUP('Données projet'!$B$13,Paramètres!$A$1:$I$89,5,0)</f>
        <v>-5.7639226724859328E-14</v>
      </c>
      <c r="CV197" s="14" t="e">
        <f t="shared" si="173"/>
        <v>#NUM!</v>
      </c>
      <c r="CW197" s="22" t="e">
        <f t="shared" si="174"/>
        <v>#NUM!</v>
      </c>
      <c r="CX197" s="62" t="e">
        <f t="shared" si="196"/>
        <v>#NUM!</v>
      </c>
      <c r="CY197" s="62">
        <f ca="1">AVERAGE(OFFSET($CX$3,0,0,'Données projet'!$E$13+1,1))-AVERAGE(OFFSET($H$3,0,0,'Données projet'!$E$13+1,1))</f>
        <v>486.63673936259465</v>
      </c>
      <c r="CZ197" s="62">
        <f t="shared" ref="CZ197:CZ203" si="208">$CZ$3</f>
        <v>306.61893266146666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-3.4106051316484809E-13</v>
      </c>
      <c r="O198" s="14">
        <f>N198*VLOOKUP('Données projet'!$B$9,Paramètres!$A$1:$I$89,3,0)*VLOOKUP('Données projet'!$B$9,Paramètres!$A$1:$I$89,5,0)</f>
        <v>-1.9065282685915009E-13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555.15881087162279</v>
      </c>
      <c r="T198" s="62">
        <f t="shared" si="204"/>
        <v>668.20427590250733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1.0916899739190578</v>
      </c>
      <c r="AA198" s="23">
        <f>EXP(-LN(2)/25)*AA197+(1-EXP(-LN(2)/25))/(LN(2)/25)*Calculateur!V198*Calculateur!X198*VLOOKUP('Données projet'!$B$9,Paramètres!$A$1:$I$89,3,0)*0.475*44/12</f>
        <v>0.23328470670269497</v>
      </c>
      <c r="AB198" s="23">
        <f>EXP(-LN(2)/2)*AB197+(1-EXP(-LN(2)/2))/(LN(2)/2)*V198*Y198*VLOOKUP('Données projet'!$B$9,Paramètres!$A$1:$I$89,3,0)*0.475*44/12</f>
        <v>2.0225570114545444E-24</v>
      </c>
      <c r="AC198" s="24">
        <f t="shared" si="163"/>
        <v>1.3249746806217528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>
        <f>AI198*VLOOKUP('Données projet'!$B$10,Paramètres!$A$1:$I$89,3,0)*VLOOKUP('Données projet'!$B$10,Paramètres!$A$1:$I$89,5,0)</f>
        <v>0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195.80903373714432</v>
      </c>
      <c r="AO198" s="62">
        <f t="shared" si="205"/>
        <v>388.30721786668977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3.7637943479280183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3.8893982272947261E-23</v>
      </c>
      <c r="AX198" s="23">
        <f t="shared" si="166"/>
        <v>3.7637943479280183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-5.6843418860808015E-14</v>
      </c>
      <c r="BE198" s="14">
        <f>BD198*VLOOKUP('Données projet'!$B$11,Paramètres!$A$1:$I$89,3,0)*VLOOKUP('Données projet'!$B$11,Paramètres!$A$1:$I$89,5,0)</f>
        <v>-5.1431925385259088E-14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366.86025470473652</v>
      </c>
      <c r="BJ198" s="62">
        <f t="shared" si="206"/>
        <v>513.80016421153414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0.40322099478574935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0.40322099478574935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-5.6843418860808015E-14</v>
      </c>
      <c r="BZ198" s="14">
        <f>BY198*VLOOKUP('Données projet'!$B$12,Paramètres!$A$1:$I$89,3,0)*VLOOKUP('Données projet'!$B$12,Paramètres!$A$1:$I$89,5,0)</f>
        <v>-5.1431925385259088E-14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438.70522838726322</v>
      </c>
      <c r="CE198" s="62">
        <f t="shared" si="207"/>
        <v>278.21741231699929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-5.6843418860808015E-14</v>
      </c>
      <c r="CU198" s="18">
        <f>CT198*VLOOKUP('Données projet'!$B$13,Paramètres!$A$1:$I$89,3,0)*VLOOKUP('Données projet'!$B$13,Paramètres!$A$1:$I$89,5,0)</f>
        <v>-5.7639226724859328E-14</v>
      </c>
      <c r="CV198" s="14" t="e">
        <f t="shared" si="173"/>
        <v>#NUM!</v>
      </c>
      <c r="CW198" s="22" t="e">
        <f t="shared" si="174"/>
        <v>#NUM!</v>
      </c>
      <c r="CX198" s="62" t="e">
        <f t="shared" si="196"/>
        <v>#NUM!</v>
      </c>
      <c r="CY198" s="62">
        <f ca="1">AVERAGE(OFFSET($CX$3,0,0,'Données projet'!$E$13+1,1))-AVERAGE(OFFSET($H$3,0,0,'Données projet'!$E$13+1,1))</f>
        <v>486.63673936259465</v>
      </c>
      <c r="CZ198" s="62">
        <f t="shared" si="208"/>
        <v>306.61893266146666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-3.4106051316484809E-13</v>
      </c>
      <c r="O199" s="14">
        <f>N199*VLOOKUP('Données projet'!$B$9,Paramètres!$A$1:$I$89,3,0)*VLOOKUP('Données projet'!$B$9,Paramètres!$A$1:$I$89,5,0)</f>
        <v>-1.9065282685915009E-13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555.15881087162279</v>
      </c>
      <c r="T199" s="62">
        <f t="shared" si="204"/>
        <v>668.20427590250733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1.0702825993956404</v>
      </c>
      <c r="AA199" s="23">
        <f>EXP(-LN(2)/25)*AA198+(1-EXP(-LN(2)/25))/(LN(2)/25)*Calculateur!V199*Calculateur!X199*VLOOKUP('Données projet'!$B$9,Paramètres!$A$1:$I$89,3,0)*0.475*44/12</f>
        <v>0.22690552413000023</v>
      </c>
      <c r="AB199" s="23">
        <f>EXP(-LN(2)/2)*AB198+(1-EXP(-LN(2)/2))/(LN(2)/2)*V199*Y199*VLOOKUP('Données projet'!$B$9,Paramètres!$A$1:$I$89,3,0)*0.475*44/12</f>
        <v>1.430163778135906E-24</v>
      </c>
      <c r="AC199" s="24">
        <f t="shared" si="163"/>
        <v>1.2971881235256406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>
        <f>AI199*VLOOKUP('Données projet'!$B$10,Paramètres!$A$1:$I$89,3,0)*VLOOKUP('Données projet'!$B$10,Paramètres!$A$1:$I$89,5,0)</f>
        <v>0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195.80903373714432</v>
      </c>
      <c r="AO199" s="62">
        <f t="shared" si="205"/>
        <v>388.30721786668977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3.6899886364530219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2.7502198612550377E-23</v>
      </c>
      <c r="AX199" s="23">
        <f t="shared" si="166"/>
        <v>3.6899886364530219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-5.6843418860808015E-14</v>
      </c>
      <c r="BE199" s="14">
        <f>BD199*VLOOKUP('Données projet'!$B$11,Paramètres!$A$1:$I$89,3,0)*VLOOKUP('Données projet'!$B$11,Paramètres!$A$1:$I$89,5,0)</f>
        <v>-5.1431925385259088E-14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366.86025470473652</v>
      </c>
      <c r="BJ199" s="62">
        <f t="shared" si="206"/>
        <v>513.80016421153414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0.395314077018523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0.395314077018523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-5.6843418860808015E-14</v>
      </c>
      <c r="BZ199" s="14">
        <f>BY199*VLOOKUP('Données projet'!$B$12,Paramètres!$A$1:$I$89,3,0)*VLOOKUP('Données projet'!$B$12,Paramètres!$A$1:$I$89,5,0)</f>
        <v>-5.1431925385259088E-14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438.70522838726322</v>
      </c>
      <c r="CE199" s="62">
        <f t="shared" si="207"/>
        <v>278.21741231699929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-5.6843418860808015E-14</v>
      </c>
      <c r="CU199" s="18">
        <f>CT199*VLOOKUP('Données projet'!$B$13,Paramètres!$A$1:$I$89,3,0)*VLOOKUP('Données projet'!$B$13,Paramètres!$A$1:$I$89,5,0)</f>
        <v>-5.7639226724859328E-14</v>
      </c>
      <c r="CV199" s="14" t="e">
        <f t="shared" si="173"/>
        <v>#NUM!</v>
      </c>
      <c r="CW199" s="22" t="e">
        <f t="shared" si="174"/>
        <v>#NUM!</v>
      </c>
      <c r="CX199" s="62" t="e">
        <f t="shared" si="196"/>
        <v>#NUM!</v>
      </c>
      <c r="CY199" s="62">
        <f ca="1">AVERAGE(OFFSET($CX$3,0,0,'Données projet'!$E$13+1,1))-AVERAGE(OFFSET($H$3,0,0,'Données projet'!$E$13+1,1))</f>
        <v>486.63673936259465</v>
      </c>
      <c r="CZ199" s="62">
        <f t="shared" si="208"/>
        <v>306.61893266146666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-3.4106051316484809E-13</v>
      </c>
      <c r="O200" s="14">
        <f>N200*VLOOKUP('Données projet'!$B$9,Paramètres!$A$1:$I$89,3,0)*VLOOKUP('Données projet'!$B$9,Paramètres!$A$1:$I$89,5,0)</f>
        <v>-1.9065282685915009E-13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555.15881087162279</v>
      </c>
      <c r="T200" s="62">
        <f t="shared" si="204"/>
        <v>668.20427590250733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1.0492950104294181</v>
      </c>
      <c r="AA200" s="23">
        <f>EXP(-LN(2)/25)*AA199+(1-EXP(-LN(2)/25))/(LN(2)/25)*Calculateur!V200*Calculateur!X200*VLOOKUP('Données projet'!$B$9,Paramètres!$A$1:$I$89,3,0)*0.475*44/12</f>
        <v>0.22070078064022247</v>
      </c>
      <c r="AB200" s="23">
        <f>EXP(-LN(2)/2)*AB199+(1-EXP(-LN(2)/2))/(LN(2)/2)*V200*Y200*VLOOKUP('Données projet'!$B$9,Paramètres!$A$1:$I$89,3,0)*0.475*44/12</f>
        <v>1.0112785057272722E-24</v>
      </c>
      <c r="AC200" s="24">
        <f t="shared" si="163"/>
        <v>1.2699957910696407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>
        <f>AI200*VLOOKUP('Données projet'!$B$10,Paramètres!$A$1:$I$89,3,0)*VLOOKUP('Données projet'!$B$10,Paramètres!$A$1:$I$89,5,0)</f>
        <v>0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195.80903373714432</v>
      </c>
      <c r="AO200" s="62">
        <f t="shared" si="205"/>
        <v>388.30721786668977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3.6176302099630111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1.944699113647363E-23</v>
      </c>
      <c r="AX200" s="23">
        <f t="shared" si="166"/>
        <v>3.6176302099630111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-5.6843418860808015E-14</v>
      </c>
      <c r="BE200" s="14">
        <f>BD200*VLOOKUP('Données projet'!$B$11,Paramètres!$A$1:$I$89,3,0)*VLOOKUP('Données projet'!$B$11,Paramètres!$A$1:$I$89,5,0)</f>
        <v>-5.1431925385259088E-14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366.86025470473652</v>
      </c>
      <c r="BJ200" s="62">
        <f t="shared" si="206"/>
        <v>513.80016421153414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0.38756220908596833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0.38756220908596833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-5.6843418860808015E-14</v>
      </c>
      <c r="BZ200" s="14">
        <f>BY200*VLOOKUP('Données projet'!$B$12,Paramètres!$A$1:$I$89,3,0)*VLOOKUP('Données projet'!$B$12,Paramètres!$A$1:$I$89,5,0)</f>
        <v>-5.1431925385259088E-14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438.70522838726322</v>
      </c>
      <c r="CE200" s="62">
        <f t="shared" si="207"/>
        <v>278.21741231699929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-5.6843418860808015E-14</v>
      </c>
      <c r="CU200" s="18">
        <f>CT200*VLOOKUP('Données projet'!$B$13,Paramètres!$A$1:$I$89,3,0)*VLOOKUP('Données projet'!$B$13,Paramètres!$A$1:$I$89,5,0)</f>
        <v>-5.7639226724859328E-14</v>
      </c>
      <c r="CV200" s="14" t="e">
        <f t="shared" si="173"/>
        <v>#NUM!</v>
      </c>
      <c r="CW200" s="22" t="e">
        <f t="shared" si="174"/>
        <v>#NUM!</v>
      </c>
      <c r="CX200" s="62" t="e">
        <f t="shared" si="196"/>
        <v>#NUM!</v>
      </c>
      <c r="CY200" s="62">
        <f ca="1">AVERAGE(OFFSET($CX$3,0,0,'Données projet'!$E$13+1,1))-AVERAGE(OFFSET($H$3,0,0,'Données projet'!$E$13+1,1))</f>
        <v>486.63673936259465</v>
      </c>
      <c r="CZ200" s="62">
        <f t="shared" si="208"/>
        <v>306.61893266146666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-3.4106051316484809E-13</v>
      </c>
      <c r="O201" s="14">
        <f>N201*VLOOKUP('Données projet'!$B$9,Paramètres!$A$1:$I$89,3,0)*VLOOKUP('Données projet'!$B$9,Paramètres!$A$1:$I$89,5,0)</f>
        <v>-1.9065282685915009E-13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555.15881087162279</v>
      </c>
      <c r="T201" s="62">
        <f t="shared" si="204"/>
        <v>668.20427590250733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1.0287189752816581</v>
      </c>
      <c r="AA201" s="23">
        <f>EXP(-LN(2)/25)*AA200+(1-EXP(-LN(2)/25))/(LN(2)/25)*Calculateur!V201*Calculateur!X201*VLOOKUP('Données projet'!$B$9,Paramètres!$A$1:$I$89,3,0)*0.475*44/12</f>
        <v>0.21466570618746594</v>
      </c>
      <c r="AB201" s="23">
        <f>EXP(-LN(2)/2)*AB200+(1-EXP(-LN(2)/2))/(LN(2)/2)*V201*Y201*VLOOKUP('Données projet'!$B$9,Paramètres!$A$1:$I$89,3,0)*0.475*44/12</f>
        <v>7.1508188906795301E-25</v>
      </c>
      <c r="AC201" s="24">
        <f t="shared" si="163"/>
        <v>1.2433846814691241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>
        <f>AI201*VLOOKUP('Données projet'!$B$10,Paramètres!$A$1:$I$89,3,0)*VLOOKUP('Données projet'!$B$10,Paramètres!$A$1:$I$89,5,0)</f>
        <v>0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195.80903373714432</v>
      </c>
      <c r="AO201" s="62">
        <f t="shared" si="205"/>
        <v>388.30721786668977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3.5466906880821871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1.3751099306275188E-23</v>
      </c>
      <c r="AX201" s="23">
        <f t="shared" si="166"/>
        <v>3.5466906880821871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-5.6843418860808015E-14</v>
      </c>
      <c r="BE201" s="14">
        <f>BD201*VLOOKUP('Données projet'!$B$11,Paramètres!$A$1:$I$89,3,0)*VLOOKUP('Données projet'!$B$11,Paramètres!$A$1:$I$89,5,0)</f>
        <v>-5.1431925385259088E-14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366.86025470473652</v>
      </c>
      <c r="BJ201" s="62">
        <f t="shared" si="206"/>
        <v>513.80016421153414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0.37996235055539851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0.37996235055539851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-5.6843418860808015E-14</v>
      </c>
      <c r="BZ201" s="14">
        <f>BY201*VLOOKUP('Données projet'!$B$12,Paramètres!$A$1:$I$89,3,0)*VLOOKUP('Données projet'!$B$12,Paramètres!$A$1:$I$89,5,0)</f>
        <v>-5.1431925385259088E-14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438.70522838726322</v>
      </c>
      <c r="CE201" s="62">
        <f t="shared" si="207"/>
        <v>278.21741231699929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-5.6843418860808015E-14</v>
      </c>
      <c r="CU201" s="18">
        <f>CT201*VLOOKUP('Données projet'!$B$13,Paramètres!$A$1:$I$89,3,0)*VLOOKUP('Données projet'!$B$13,Paramètres!$A$1:$I$89,5,0)</f>
        <v>-5.7639226724859328E-14</v>
      </c>
      <c r="CV201" s="14" t="e">
        <f t="shared" si="173"/>
        <v>#NUM!</v>
      </c>
      <c r="CW201" s="22" t="e">
        <f t="shared" si="174"/>
        <v>#NUM!</v>
      </c>
      <c r="CX201" s="62" t="e">
        <f t="shared" si="196"/>
        <v>#NUM!</v>
      </c>
      <c r="CY201" s="62">
        <f ca="1">AVERAGE(OFFSET($CX$3,0,0,'Données projet'!$E$13+1,1))-AVERAGE(OFFSET($H$3,0,0,'Données projet'!$E$13+1,1))</f>
        <v>486.63673936259465</v>
      </c>
      <c r="CZ201" s="62">
        <f t="shared" si="208"/>
        <v>306.61893266146666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-3.4106051316484809E-13</v>
      </c>
      <c r="O202" s="14">
        <f>N202*VLOOKUP('Données projet'!$B$9,Paramètres!$A$1:$I$89,3,0)*VLOOKUP('Données projet'!$B$9,Paramètres!$A$1:$I$89,5,0)</f>
        <v>-1.9065282685915009E-13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555.15881087162279</v>
      </c>
      <c r="T202" s="62">
        <f t="shared" si="204"/>
        <v>668.20427590250733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1.0085464236330035</v>
      </c>
      <c r="AA202" s="23">
        <f>EXP(-LN(2)/25)*AA201+(1-EXP(-LN(2)/25))/(LN(2)/25)*Calculateur!V202*Calculateur!X202*VLOOKUP('Données projet'!$B$9,Paramètres!$A$1:$I$89,3,0)*0.475*44/12</f>
        <v>0.20879566116299084</v>
      </c>
      <c r="AB202" s="23">
        <f>EXP(-LN(2)/2)*AB201+(1-EXP(-LN(2)/2))/(LN(2)/2)*V202*Y202*VLOOKUP('Données projet'!$B$9,Paramètres!$A$1:$I$89,3,0)*0.475*44/12</f>
        <v>5.0563925286363609E-25</v>
      </c>
      <c r="AC202" s="24">
        <f t="shared" si="163"/>
        <v>1.2173420847959944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>
        <f>AI202*VLOOKUP('Données projet'!$B$10,Paramètres!$A$1:$I$89,3,0)*VLOOKUP('Données projet'!$B$10,Paramètres!$A$1:$I$89,5,0)</f>
        <v>0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195.80903373714432</v>
      </c>
      <c r="AO202" s="62">
        <f t="shared" si="205"/>
        <v>388.30721786668977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3.47714224695661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9.7234955682368152E-24</v>
      </c>
      <c r="AX202" s="23">
        <f t="shared" si="166"/>
        <v>3.47714224695661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-5.6843418860808015E-14</v>
      </c>
      <c r="BE202" s="14">
        <f>BD202*VLOOKUP('Données projet'!$B$11,Paramètres!$A$1:$I$89,3,0)*VLOOKUP('Données projet'!$B$11,Paramètres!$A$1:$I$89,5,0)</f>
        <v>-5.1431925385259088E-14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366.86025470473652</v>
      </c>
      <c r="BJ202" s="62">
        <f t="shared" si="206"/>
        <v>513.80016421153414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0.37251152061515719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0.37251152061515719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-5.6843418860808015E-14</v>
      </c>
      <c r="BZ202" s="14">
        <f>BY202*VLOOKUP('Données projet'!$B$12,Paramètres!$A$1:$I$89,3,0)*VLOOKUP('Données projet'!$B$12,Paramètres!$A$1:$I$89,5,0)</f>
        <v>-5.1431925385259088E-14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438.70522838726322</v>
      </c>
      <c r="CE202" s="62">
        <f t="shared" si="207"/>
        <v>278.21741231699929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-5.6843418860808015E-14</v>
      </c>
      <c r="CU202" s="18">
        <f>CT202*VLOOKUP('Données projet'!$B$13,Paramètres!$A$1:$I$89,3,0)*VLOOKUP('Données projet'!$B$13,Paramètres!$A$1:$I$89,5,0)</f>
        <v>-5.7639226724859328E-14</v>
      </c>
      <c r="CV202" s="14" t="e">
        <f t="shared" si="173"/>
        <v>#NUM!</v>
      </c>
      <c r="CW202" s="22" t="e">
        <f t="shared" si="174"/>
        <v>#NUM!</v>
      </c>
      <c r="CX202" s="62" t="e">
        <f t="shared" si="196"/>
        <v>#NUM!</v>
      </c>
      <c r="CY202" s="62">
        <f ca="1">AVERAGE(OFFSET($CX$3,0,0,'Données projet'!$E$13+1,1))-AVERAGE(OFFSET($H$3,0,0,'Données projet'!$E$13+1,1))</f>
        <v>486.63673936259465</v>
      </c>
      <c r="CZ202" s="62">
        <f t="shared" si="208"/>
        <v>306.61893266146666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-3.4106051316484809E-13</v>
      </c>
      <c r="O203" s="14">
        <f>N203*VLOOKUP('Données projet'!$B$9,Paramètres!$A$1:$I$89,3,0)*VLOOKUP('Données projet'!$B$9,Paramètres!$A$1:$I$89,5,0)</f>
        <v>-1.9065282685915009E-13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555.15881087162279</v>
      </c>
      <c r="T203" s="62">
        <f t="shared" si="204"/>
        <v>668.20427590250733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0.98876944341813744</v>
      </c>
      <c r="AA203" s="23">
        <f>EXP(-LN(2)/25)*AA202+(1-EXP(-LN(2)/25))/(LN(2)/25)*Calculateur!V203*Calculateur!X203*VLOOKUP('Données projet'!$B$9,Paramètres!$A$1:$I$89,3,0)*0.475*44/12</f>
        <v>0.20308613282840224</v>
      </c>
      <c r="AB203" s="23">
        <f>EXP(-LN(2)/2)*AB202+(1-EXP(-LN(2)/2))/(LN(2)/2)*V203*Y203*VLOOKUP('Données projet'!$B$9,Paramètres!$A$1:$I$89,3,0)*0.475*44/12</f>
        <v>3.575409445339765E-25</v>
      </c>
      <c r="AC203" s="24">
        <f t="shared" si="163"/>
        <v>1.1918555762465397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>
        <f>AI203*VLOOKUP('Données projet'!$B$10,Paramètres!$A$1:$I$89,3,0)*VLOOKUP('Données projet'!$B$10,Paramètres!$A$1:$I$89,5,0)</f>
        <v>0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195.80903373714432</v>
      </c>
      <c r="AO203" s="62">
        <f t="shared" si="205"/>
        <v>388.30721786668977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3.408957608341145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6.8755496531375942E-24</v>
      </c>
      <c r="AX203" s="23">
        <f t="shared" si="166"/>
        <v>3.408957608341145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-5.6843418860808015E-14</v>
      </c>
      <c r="BE203" s="14">
        <f>BD203*VLOOKUP('Données projet'!$B$11,Paramètres!$A$1:$I$89,3,0)*VLOOKUP('Données projet'!$B$11,Paramètres!$A$1:$I$89,5,0)</f>
        <v>-5.1431925385259088E-14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366.86025470473652</v>
      </c>
      <c r="BJ203" s="62">
        <f t="shared" si="206"/>
        <v>513.80016421153414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0.36520679690548646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0.36520679690548646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-5.6843418860808015E-14</v>
      </c>
      <c r="BZ203" s="14">
        <f>BY203*VLOOKUP('Données projet'!$B$12,Paramètres!$A$1:$I$89,3,0)*VLOOKUP('Données projet'!$B$12,Paramètres!$A$1:$I$89,5,0)</f>
        <v>-5.1431925385259088E-14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438.70522838726322</v>
      </c>
      <c r="CE203" s="62">
        <f t="shared" si="207"/>
        <v>278.21741231699929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-5.6843418860808015E-14</v>
      </c>
      <c r="CU203" s="18">
        <f>CT203*VLOOKUP('Données projet'!$B$13,Paramètres!$A$1:$I$89,3,0)*VLOOKUP('Données projet'!$B$13,Paramètres!$A$1:$I$89,5,0)</f>
        <v>-5.7639226724859328E-14</v>
      </c>
      <c r="CV203" s="14" t="e">
        <f t="shared" si="173"/>
        <v>#NUM!</v>
      </c>
      <c r="CW203" s="22" t="e">
        <f t="shared" si="174"/>
        <v>#NUM!</v>
      </c>
      <c r="CX203" s="62" t="e">
        <f t="shared" si="196"/>
        <v>#NUM!</v>
      </c>
      <c r="CY203" s="62">
        <f ca="1">AVERAGE(OFFSET($CX$3,0,0,'Données projet'!$E$13+1,1))-AVERAGE(OFFSET($H$3,0,0,'Données projet'!$E$13+1,1))</f>
        <v>486.63673936259465</v>
      </c>
      <c r="CZ203" s="62">
        <f t="shared" si="208"/>
        <v>306.61893266146666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1.4037863041747067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1.4261938757879591</v>
      </c>
      <c r="BA205" s="88">
        <f>EXP(LN('Données projet'!B88)/'Données projet'!A88)</f>
        <v>2.0243974584998852</v>
      </c>
      <c r="BV205" s="88">
        <f>EXP(LN('Données projet'!B114)/'Données projet'!A114)</f>
        <v>1.2392705892426346</v>
      </c>
      <c r="CQ205" s="88">
        <f>EXP(LN('Données projet'!B140)/'Données projet'!A140)</f>
        <v>1.2392705892426346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" workbookViewId="0">
      <selection activeCell="M18" sqref="M1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Douglas</v>
      </c>
      <c r="B6" s="155">
        <f>'Données projet'!D9</f>
        <v>3.9990000000000001</v>
      </c>
      <c r="C6" s="156">
        <f ca="1">IF(OR('Données projet'!B9="",'Données projet'!C9="",'Données projet'!C9=0%),0,Calculateur!S3)</f>
        <v>555.15881087162279</v>
      </c>
      <c r="D6" s="156">
        <f>IF(OR('Données projet'!B9="",'Données projet'!C9="",'Données projet'!C9=0%),0,Calculateur!T3)</f>
        <v>668.20427590250733</v>
      </c>
      <c r="E6" s="156">
        <f ca="1">MIN(C6,D6)</f>
        <v>555.15881087162279</v>
      </c>
      <c r="F6" s="156">
        <f ca="1">E6*B6</f>
        <v>2220.0800846756197</v>
      </c>
      <c r="G6" s="156">
        <f ca="1">F6*(100%-'Données projet'!$C$24)*(100%-'Données projet'!$C$25)*(100%-'Données projet'!$C$26)*(100%-'Données projet'!$C$27)</f>
        <v>1998.0720762080578</v>
      </c>
      <c r="H6" s="157">
        <f>IF(OR('Données projet'!B9="",'Données projet'!C9="",'Données projet'!C9=0%),0,AVERAGE(Calculateur!$AC$3:$AC$33)*B6)</f>
        <v>38.927901234748177</v>
      </c>
      <c r="I6" s="158">
        <f>H6*(100%-'Données projet'!$C$24)*(100%-'Données projet'!$C$25)*(100%-'Données projet'!$C$26)*(100%-'Données projet'!$C$27)</f>
        <v>35.035111111273359</v>
      </c>
      <c r="J6" s="159">
        <f>IF(OR('Données projet'!B9="",'Données projet'!C9="",'Données projet'!C9=0%),0,SUM(Calculateur!$V$3:$V$33)*VLOOKUP('Données projet'!$B$9,Paramètres!$A$1:$I$89,9,0)*B6)</f>
        <v>331.87700999999998</v>
      </c>
      <c r="K6" s="160">
        <f>J6*(100%-'Données projet'!$C$24)*(100%-'Données projet'!$C$25)*(100%-'Données projet'!$C$26)*(100%-'Données projet'!$C$27)</f>
        <v>298.68930899999998</v>
      </c>
      <c r="L6" s="161">
        <f ca="1">G6+I6+K6</f>
        <v>2331.7964963193313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taeda</v>
      </c>
      <c r="B7" s="163">
        <f>'Données projet'!D10</f>
        <v>1.9999500000000001</v>
      </c>
      <c r="C7" s="156">
        <f ca="1">IF(OR('Données projet'!B10="",'Données projet'!C10="",'Données projet'!C10=0%),0,Calculateur!AN3)</f>
        <v>195.80903373714432</v>
      </c>
      <c r="D7" s="156">
        <f>IF(OR('Données projet'!B10="",'Données projet'!C10="",'Données projet'!C10=0%),0,Calculateur!AO3)</f>
        <v>388.30721786668977</v>
      </c>
      <c r="E7" s="156">
        <f t="shared" ref="E7:E15" ca="1" si="0">MIN(C7,D7)</f>
        <v>195.80903373714432</v>
      </c>
      <c r="F7" s="156">
        <f t="shared" ref="F7:F15" ca="1" si="1">E7*B7</f>
        <v>391.60827702260178</v>
      </c>
      <c r="G7" s="156">
        <f ca="1">F7*(100%-'Données projet'!$C$24)*(100%-'Données projet'!$C$25)*(100%-'Données projet'!$C$26)*(100%-'Données projet'!$C$27)</f>
        <v>352.4474493203416</v>
      </c>
      <c r="H7" s="164">
        <f>IF(OR('Données projet'!B10="",'Données projet'!C10="",'Données projet'!C10=0%),0,AVERAGE(Calculateur!$AX$3:$AX$33)*B7)</f>
        <v>19.367479770428851</v>
      </c>
      <c r="I7" s="158">
        <f>H7*(100%-'Données projet'!$C$24)*(100%-'Données projet'!$C$25)*(100%-'Données projet'!$C$26)*(100%-'Données projet'!$C$27)</f>
        <v>17.430731793385966</v>
      </c>
      <c r="J7" s="159">
        <f>IF(OR('Données projet'!B10="",'Données projet'!C10="",'Données projet'!C10=0%),0,SUM(Calculateur!$AQ$3:$AQ$33)*VLOOKUP('Données projet'!$B$10,Paramètres!$A$1:$I$89,9,0)*B7)</f>
        <v>103.19742000000001</v>
      </c>
      <c r="K7" s="160">
        <f>J7*(100%-'Données projet'!$C$24)*(100%-'Données projet'!$C$25)*(100%-'Données projet'!$C$26)*(100%-'Données projet'!$C$27)</f>
        <v>92.877678000000003</v>
      </c>
      <c r="L7" s="161">
        <f t="shared" ref="L7:L15" ca="1" si="2">G7+I7+K7</f>
        <v>462.75585911372758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Robinier faux-acacia</v>
      </c>
      <c r="B8" s="163">
        <f>'Données projet'!D11</f>
        <v>1.05</v>
      </c>
      <c r="C8" s="156">
        <f ca="1">IF(OR('Données projet'!B11="",'Données projet'!C11="",'Données projet'!C11=0%),0,Calculateur!BI3)</f>
        <v>366.86025470473652</v>
      </c>
      <c r="D8" s="156">
        <f>IF(OR('Données projet'!B11="",'Données projet'!C11="",'Données projet'!C11=0%),0,Calculateur!BJ3)</f>
        <v>513.80016421153414</v>
      </c>
      <c r="E8" s="156">
        <f t="shared" ca="1" si="0"/>
        <v>366.86025470473652</v>
      </c>
      <c r="F8" s="156">
        <f t="shared" ca="1" si="1"/>
        <v>385.20326743997339</v>
      </c>
      <c r="G8" s="156">
        <f ca="1">F8*(100%-'Données projet'!$C$24)*(100%-'Données projet'!$C$25)*(100%-'Données projet'!$C$26)*(100%-'Données projet'!$C$27)</f>
        <v>346.68294069597607</v>
      </c>
      <c r="H8" s="164">
        <f>IF(OR('Données projet'!B11="",'Données projet'!C11="",'Données projet'!C11=0%),0,AVERAGE(Calculateur!$BS$3:$BS$33)*B8)</f>
        <v>2.859479887334079</v>
      </c>
      <c r="I8" s="158">
        <f>H8*(100%-'Données projet'!$C$24)*(100%-'Données projet'!$C$25)*(100%-'Données projet'!$C$26)*(100%-'Données projet'!$C$27)</f>
        <v>2.5735318986006712</v>
      </c>
      <c r="J8" s="159">
        <f>IF(OR('Données projet'!B11="",'Données projet'!C11="",'Données projet'!C11=0%),0,SUM(Calculateur!$BL$3:$BL$33)*VLOOKUP('Données projet'!$B$11,Paramètres!$A$1:$I$89,9,0)*B8)</f>
        <v>26.25</v>
      </c>
      <c r="K8" s="160">
        <f>J8*(100%-'Données projet'!$C$24)*(100%-'Données projet'!$C$25)*(100%-'Données projet'!$C$26)*(100%-'Données projet'!$C$27)</f>
        <v>23.625</v>
      </c>
      <c r="L8" s="161">
        <f t="shared" ca="1" si="2"/>
        <v>372.88147259457673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>Chêne sessile</v>
      </c>
      <c r="B9" s="163">
        <f>'Données projet'!D12</f>
        <v>2.6999999999999997</v>
      </c>
      <c r="C9" s="156">
        <f ca="1">IF(OR('Données projet'!B12="",'Données projet'!C12="",'Données projet'!C12=0%),0,Calculateur!CD3)</f>
        <v>438.70522838726322</v>
      </c>
      <c r="D9" s="156">
        <f>IF(OR('Données projet'!B12="",'Données projet'!C12="",'Données projet'!C12=0%),0,Calculateur!CE3)</f>
        <v>278.21741231699929</v>
      </c>
      <c r="E9" s="156">
        <f t="shared" ca="1" si="0"/>
        <v>278.21741231699929</v>
      </c>
      <c r="F9" s="156">
        <f t="shared" ca="1" si="1"/>
        <v>751.18701325589802</v>
      </c>
      <c r="G9" s="156">
        <f ca="1">F9*(100%-'Données projet'!$C$24)*(100%-'Données projet'!$C$25)*(100%-'Données projet'!$C$26)*(100%-'Données projet'!$C$27)</f>
        <v>676.06831193030825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41.849999999999994</v>
      </c>
      <c r="K9" s="160">
        <f>J9*(100%-'Données projet'!$C$24)*(100%-'Données projet'!$C$25)*(100%-'Données projet'!$C$26)*(100%-'Données projet'!$C$27)</f>
        <v>37.664999999999999</v>
      </c>
      <c r="L9" s="161">
        <f t="shared" ca="1" si="2"/>
        <v>713.73331193030822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>Chêne pubescent</v>
      </c>
      <c r="B10" s="163">
        <f>'Données projet'!D13</f>
        <v>1.9999500000000001</v>
      </c>
      <c r="C10" s="156">
        <f ca="1">IF(OR('Données projet'!B13="",'Données projet'!C13="",'Données projet'!C13=0%),0,Calculateur!CY3)</f>
        <v>486.63673936259465</v>
      </c>
      <c r="D10" s="156">
        <f>IF(OR('Données projet'!B13="",'Données projet'!C13="",'Données projet'!C13=0%),0,Calculateur!CZ3)</f>
        <v>306.61893266146666</v>
      </c>
      <c r="E10" s="156">
        <f t="shared" ca="1" si="0"/>
        <v>306.61893266146666</v>
      </c>
      <c r="F10" s="156">
        <f t="shared" ca="1" si="1"/>
        <v>613.22253437630025</v>
      </c>
      <c r="G10" s="156">
        <f ca="1">F10*(100%-'Données projet'!$C$24)*(100%-'Données projet'!$C$25)*(100%-'Données projet'!$C$26)*(100%-'Données projet'!$C$27)</f>
        <v>551.90028093867022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30.999225000000003</v>
      </c>
      <c r="K10" s="160">
        <f>J10*(100%-'Données projet'!$C$24)*(100%-'Données projet'!$C$25)*(100%-'Données projet'!$C$26)*(100%-'Données projet'!$C$27)</f>
        <v>27.899302500000005</v>
      </c>
      <c r="L10" s="161">
        <f t="shared" ca="1" si="2"/>
        <v>579.7995834386702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4361.3011767703929</v>
      </c>
      <c r="G16" s="175">
        <f t="shared" ca="1" si="3"/>
        <v>3925.1710590933535</v>
      </c>
      <c r="H16" s="176">
        <f t="shared" si="3"/>
        <v>61.15486089251111</v>
      </c>
      <c r="I16" s="176">
        <f t="shared" si="3"/>
        <v>55.039374803259996</v>
      </c>
      <c r="J16" s="177">
        <f t="shared" si="3"/>
        <v>534.17365500000005</v>
      </c>
      <c r="K16" s="177">
        <f t="shared" si="3"/>
        <v>480.75628949999998</v>
      </c>
      <c r="L16" s="178">
        <f t="shared" ca="1" si="3"/>
        <v>4460.9667233966138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Douglas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taeda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Robinier faux-acacia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>Chêne sessile</v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>Chêne pubescent</v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I1" zoomScale="90" zoomScaleNormal="90" workbookViewId="0">
      <selection activeCell="W34" sqref="W34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Douglas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6498.9858016226553</v>
      </c>
      <c r="U10" s="190">
        <f>'Données projet'!D9</f>
        <v>3.9990000000000001</v>
      </c>
      <c r="V10" s="189">
        <f>U10*T10</f>
        <v>25989.444220688998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taeda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2605.4998985009361</v>
      </c>
      <c r="U11" s="190">
        <f>'Données projet'!D10</f>
        <v>1.9999500000000001</v>
      </c>
      <c r="V11" s="189">
        <f t="shared" ref="V11" si="0">U11*T11</f>
        <v>5210.8695220069476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Robinier faux-acacia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1117.9063162947593</v>
      </c>
      <c r="U12" s="190">
        <f>'Données projet'!D11</f>
        <v>1.05</v>
      </c>
      <c r="V12" s="189">
        <f t="shared" ref="V12:V19" si="1">U12*T12</f>
        <v>1173.8016321094974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>Chêne sessile</v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901.56288615561471</v>
      </c>
      <c r="U13" s="190">
        <f>'Données projet'!D12</f>
        <v>2.6999999999999997</v>
      </c>
      <c r="V13" s="189">
        <f t="shared" si="1"/>
        <v>2434.2197926201593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Douglas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>Chêne pubescent</v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901.56288615561471</v>
      </c>
      <c r="U14" s="190">
        <f>'Données projet'!D13</f>
        <v>1.9999500000000001</v>
      </c>
      <c r="V14" s="189">
        <f t="shared" si="1"/>
        <v>1803.0806941669218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v>3241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1300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v>1300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15</v>
      </c>
      <c r="B23" s="193">
        <f>'Données projet'!D36</f>
        <v>0</v>
      </c>
      <c r="C23" s="206"/>
      <c r="D23" s="194">
        <f>B23*C23</f>
        <v>0</v>
      </c>
      <c r="E23" s="206"/>
      <c r="F23" s="261"/>
      <c r="H23" s="203">
        <v>3</v>
      </c>
      <c r="I23" s="204">
        <v>620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-71931.578914460013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20</v>
      </c>
      <c r="B24" s="193">
        <f>'Données projet'!D37</f>
        <v>43</v>
      </c>
      <c r="C24" s="206">
        <v>15</v>
      </c>
      <c r="D24" s="194">
        <f t="shared" ref="D24:D42" si="2">B24*C24</f>
        <v>645</v>
      </c>
      <c r="E24" s="206"/>
      <c r="F24" s="264"/>
      <c r="H24" s="203">
        <v>4</v>
      </c>
      <c r="I24" s="204">
        <v>620</v>
      </c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60</v>
      </c>
      <c r="C25" s="206">
        <v>20</v>
      </c>
      <c r="D25" s="194">
        <f t="shared" si="2"/>
        <v>1200</v>
      </c>
      <c r="E25" s="206"/>
      <c r="F25" s="264"/>
      <c r="G25" s="1"/>
      <c r="H25" s="203">
        <v>5</v>
      </c>
      <c r="I25" s="204">
        <v>620</v>
      </c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6">
        <f ca="1">T23-T24</f>
        <v>-71931.578914460013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90</v>
      </c>
      <c r="C26" s="206">
        <v>28</v>
      </c>
      <c r="D26" s="194">
        <f t="shared" si="2"/>
        <v>2520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35</v>
      </c>
      <c r="B27" s="193">
        <f>'Données projet'!D40</f>
        <v>72</v>
      </c>
      <c r="C27" s="206">
        <v>28</v>
      </c>
      <c r="D27" s="194">
        <f t="shared" si="2"/>
        <v>2016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40</v>
      </c>
      <c r="B28" s="193">
        <f>'Données projet'!D41</f>
        <v>77</v>
      </c>
      <c r="C28" s="206">
        <v>28</v>
      </c>
      <c r="D28" s="194">
        <f t="shared" si="2"/>
        <v>2156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45</v>
      </c>
      <c r="B29" s="193">
        <f>'Données projet'!D42</f>
        <v>64</v>
      </c>
      <c r="C29" s="206">
        <v>35</v>
      </c>
      <c r="D29" s="194">
        <f t="shared" si="2"/>
        <v>2240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50</v>
      </c>
      <c r="B30" s="193">
        <f>'Données projet'!D43</f>
        <v>62</v>
      </c>
      <c r="C30" s="206">
        <v>35</v>
      </c>
      <c r="D30" s="194">
        <f t="shared" si="2"/>
        <v>2170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55</v>
      </c>
      <c r="B31" s="193">
        <f>'Données projet'!D44</f>
        <v>46</v>
      </c>
      <c r="C31" s="206">
        <v>40</v>
      </c>
      <c r="D31" s="194">
        <f t="shared" si="2"/>
        <v>1840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60</v>
      </c>
      <c r="B32" s="193">
        <f>'Données projet'!D45</f>
        <v>35</v>
      </c>
      <c r="C32" s="206">
        <v>50</v>
      </c>
      <c r="D32" s="194">
        <f t="shared" si="2"/>
        <v>1750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65</v>
      </c>
      <c r="B33" s="193">
        <f>'Données projet'!D46</f>
        <v>769</v>
      </c>
      <c r="C33" s="206">
        <v>80</v>
      </c>
      <c r="D33" s="194">
        <f t="shared" si="2"/>
        <v>61520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taeda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13</v>
      </c>
      <c r="B54" s="193">
        <f>'Données projet'!D62</f>
        <v>28</v>
      </c>
      <c r="C54" s="204">
        <v>10</v>
      </c>
      <c r="D54" s="191">
        <f>B54*C54</f>
        <v>280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18</v>
      </c>
      <c r="B55" s="193">
        <f>'Données projet'!D63</f>
        <v>40</v>
      </c>
      <c r="C55" s="204">
        <v>12</v>
      </c>
      <c r="D55" s="191">
        <f t="shared" ref="D55:D73" si="4">B55*C55</f>
        <v>480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23</v>
      </c>
      <c r="B56" s="193">
        <f>'Données projet'!D64</f>
        <v>52</v>
      </c>
      <c r="C56" s="204">
        <v>14</v>
      </c>
      <c r="D56" s="191">
        <f t="shared" si="4"/>
        <v>728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0</v>
      </c>
      <c r="C57" s="204">
        <v>17</v>
      </c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34</v>
      </c>
      <c r="B58" s="193">
        <f>'Données projet'!D66</f>
        <v>325</v>
      </c>
      <c r="C58" s="204">
        <v>30</v>
      </c>
      <c r="D58" s="191">
        <f t="shared" si="4"/>
        <v>9750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Robinier faux-acacia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5</v>
      </c>
      <c r="B85" s="193">
        <f>'Données projet'!D88</f>
        <v>6</v>
      </c>
      <c r="C85" s="204">
        <v>8</v>
      </c>
      <c r="D85" s="191">
        <f>B85*C85</f>
        <v>48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10</v>
      </c>
      <c r="B86" s="193">
        <f>'Données projet'!D89</f>
        <v>28</v>
      </c>
      <c r="C86" s="204">
        <v>8</v>
      </c>
      <c r="D86" s="191">
        <f t="shared" ref="D86:D104" si="6">B86*C86</f>
        <v>224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15</v>
      </c>
      <c r="B87" s="193">
        <f>'Données projet'!D90</f>
        <v>23</v>
      </c>
      <c r="C87" s="204">
        <v>9</v>
      </c>
      <c r="D87" s="191">
        <f t="shared" si="6"/>
        <v>207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20</v>
      </c>
      <c r="B88" s="193">
        <f>'Données projet'!D91</f>
        <v>18</v>
      </c>
      <c r="C88" s="204">
        <v>12</v>
      </c>
      <c r="D88" s="191">
        <f t="shared" si="6"/>
        <v>216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25</v>
      </c>
      <c r="B89" s="193">
        <f>'Données projet'!D92</f>
        <v>14</v>
      </c>
      <c r="C89" s="204">
        <v>12</v>
      </c>
      <c r="D89" s="191">
        <f t="shared" si="6"/>
        <v>168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30</v>
      </c>
      <c r="B90" s="193">
        <f>'Données projet'!D93</f>
        <v>11</v>
      </c>
      <c r="C90" s="204">
        <v>13</v>
      </c>
      <c r="D90" s="191">
        <f t="shared" si="6"/>
        <v>143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35</v>
      </c>
      <c r="B91" s="193">
        <f>'Données projet'!D94</f>
        <v>9</v>
      </c>
      <c r="C91" s="204">
        <v>13</v>
      </c>
      <c r="D91" s="191">
        <f t="shared" si="6"/>
        <v>117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40</v>
      </c>
      <c r="B92" s="193">
        <f>'Données projet'!D95</f>
        <v>7</v>
      </c>
      <c r="C92" s="204">
        <v>14</v>
      </c>
      <c r="D92" s="191">
        <f t="shared" si="6"/>
        <v>98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45</v>
      </c>
      <c r="B93" s="193">
        <f>'Données projet'!D96</f>
        <v>312</v>
      </c>
      <c r="C93" s="204">
        <v>14</v>
      </c>
      <c r="D93" s="191">
        <f t="shared" si="6"/>
        <v>4368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>Chêne sessile</v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20</v>
      </c>
      <c r="B116" s="193">
        <f>'Données projet'!D114</f>
        <v>6</v>
      </c>
      <c r="C116" s="204">
        <v>4</v>
      </c>
      <c r="D116" s="191">
        <f>B116*C116</f>
        <v>24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25</v>
      </c>
      <c r="B117" s="193">
        <f>'Données projet'!D115</f>
        <v>28</v>
      </c>
      <c r="C117" s="204">
        <v>8</v>
      </c>
      <c r="D117" s="191">
        <f t="shared" ref="D117:D135" si="8">B117*C117</f>
        <v>224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30</v>
      </c>
      <c r="B118" s="193">
        <f>'Données projet'!D116</f>
        <v>28</v>
      </c>
      <c r="C118" s="204">
        <v>10</v>
      </c>
      <c r="D118" s="191">
        <f t="shared" si="8"/>
        <v>280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35</v>
      </c>
      <c r="B119" s="193">
        <f>'Données projet'!D117</f>
        <v>28</v>
      </c>
      <c r="C119" s="204">
        <v>10</v>
      </c>
      <c r="D119" s="191">
        <f t="shared" si="8"/>
        <v>280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40</v>
      </c>
      <c r="B120" s="193">
        <f>'Données projet'!D118</f>
        <v>28</v>
      </c>
      <c r="C120" s="204">
        <v>10</v>
      </c>
      <c r="D120" s="191">
        <f t="shared" si="8"/>
        <v>280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45</v>
      </c>
      <c r="B121" s="193">
        <f>'Données projet'!D119</f>
        <v>28</v>
      </c>
      <c r="C121" s="204">
        <v>10</v>
      </c>
      <c r="D121" s="191">
        <f t="shared" si="8"/>
        <v>280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50</v>
      </c>
      <c r="B122" s="193">
        <f>'Données projet'!D120</f>
        <v>28</v>
      </c>
      <c r="C122" s="204">
        <v>15</v>
      </c>
      <c r="D122" s="191">
        <f t="shared" si="8"/>
        <v>420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55</v>
      </c>
      <c r="B123" s="193">
        <f>'Données projet'!D121</f>
        <v>28</v>
      </c>
      <c r="C123" s="204">
        <v>15</v>
      </c>
      <c r="D123" s="191">
        <f t="shared" si="8"/>
        <v>420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60</v>
      </c>
      <c r="B124" s="193">
        <f>'Données projet'!D122</f>
        <v>28</v>
      </c>
      <c r="C124" s="204">
        <v>15</v>
      </c>
      <c r="D124" s="191">
        <f t="shared" si="8"/>
        <v>420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65</v>
      </c>
      <c r="B125" s="193">
        <f>'Données projet'!D123</f>
        <v>28</v>
      </c>
      <c r="C125" s="204">
        <v>20</v>
      </c>
      <c r="D125" s="191">
        <f t="shared" si="8"/>
        <v>560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70</v>
      </c>
      <c r="B126" s="193">
        <f>'Données projet'!D124</f>
        <v>28</v>
      </c>
      <c r="C126" s="204">
        <v>20</v>
      </c>
      <c r="D126" s="191">
        <f t="shared" si="8"/>
        <v>560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75</v>
      </c>
      <c r="B127" s="193">
        <f>'Données projet'!D125</f>
        <v>28</v>
      </c>
      <c r="C127" s="204">
        <v>20</v>
      </c>
      <c r="D127" s="191">
        <f t="shared" si="8"/>
        <v>560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80</v>
      </c>
      <c r="B128" s="193">
        <f>'Données projet'!D126</f>
        <v>28</v>
      </c>
      <c r="C128" s="204">
        <v>20</v>
      </c>
      <c r="D128" s="191">
        <f t="shared" si="8"/>
        <v>560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85</v>
      </c>
      <c r="B129" s="193">
        <f>'Données projet'!D127</f>
        <v>28</v>
      </c>
      <c r="C129" s="204">
        <v>20</v>
      </c>
      <c r="D129" s="191">
        <f t="shared" si="8"/>
        <v>560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90</v>
      </c>
      <c r="B130" s="193">
        <f>'Données projet'!D128</f>
        <v>28</v>
      </c>
      <c r="C130" s="204">
        <v>30</v>
      </c>
      <c r="D130" s="191">
        <f t="shared" si="8"/>
        <v>840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95</v>
      </c>
      <c r="B131" s="193">
        <f>'Données projet'!D129</f>
        <v>28</v>
      </c>
      <c r="C131" s="204">
        <v>30</v>
      </c>
      <c r="D131" s="191">
        <f t="shared" si="8"/>
        <v>840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100</v>
      </c>
      <c r="B132" s="193">
        <f>'Données projet'!D130</f>
        <v>27</v>
      </c>
      <c r="C132" s="204">
        <v>40</v>
      </c>
      <c r="D132" s="191">
        <f t="shared" si="8"/>
        <v>1080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105</v>
      </c>
      <c r="B133" s="193">
        <f>'Données projet'!D131</f>
        <v>26</v>
      </c>
      <c r="C133" s="204">
        <v>50</v>
      </c>
      <c r="D133" s="191">
        <f t="shared" si="8"/>
        <v>1300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110</v>
      </c>
      <c r="B134" s="193">
        <f>'Données projet'!D132</f>
        <v>25</v>
      </c>
      <c r="C134" s="204">
        <v>70</v>
      </c>
      <c r="D134" s="191">
        <f t="shared" si="8"/>
        <v>1750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115</v>
      </c>
      <c r="B135" s="193">
        <f>'Données projet'!D133</f>
        <v>321</v>
      </c>
      <c r="C135" s="204">
        <v>150</v>
      </c>
      <c r="D135" s="191">
        <f t="shared" si="8"/>
        <v>48150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>Chêne pubescent</v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20</v>
      </c>
      <c r="B147" s="187">
        <f>'Données projet'!D140</f>
        <v>6</v>
      </c>
      <c r="C147" s="204">
        <v>4</v>
      </c>
      <c r="D147" s="194">
        <f>B147*C147</f>
        <v>24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25</v>
      </c>
      <c r="B148" s="187">
        <f>'Données projet'!D141</f>
        <v>28</v>
      </c>
      <c r="C148" s="204">
        <v>8</v>
      </c>
      <c r="D148" s="194">
        <f t="shared" ref="D148:D166" si="10">B148*C148</f>
        <v>224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30</v>
      </c>
      <c r="B149" s="187">
        <f>'Données projet'!D142</f>
        <v>28</v>
      </c>
      <c r="C149" s="204">
        <v>10</v>
      </c>
      <c r="D149" s="194">
        <f t="shared" si="10"/>
        <v>280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35</v>
      </c>
      <c r="B150" s="187">
        <f>'Données projet'!D143</f>
        <v>28</v>
      </c>
      <c r="C150" s="204">
        <v>10</v>
      </c>
      <c r="D150" s="194">
        <f t="shared" si="10"/>
        <v>280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40</v>
      </c>
      <c r="B151" s="187">
        <f>'Données projet'!D144</f>
        <v>28</v>
      </c>
      <c r="C151" s="204">
        <v>10</v>
      </c>
      <c r="D151" s="194">
        <f t="shared" si="10"/>
        <v>280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45</v>
      </c>
      <c r="B152" s="187">
        <f>'Données projet'!D145</f>
        <v>28</v>
      </c>
      <c r="C152" s="204">
        <v>10</v>
      </c>
      <c r="D152" s="194">
        <f t="shared" si="10"/>
        <v>280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50</v>
      </c>
      <c r="B153" s="187">
        <f>'Données projet'!D146</f>
        <v>28</v>
      </c>
      <c r="C153" s="204">
        <v>15</v>
      </c>
      <c r="D153" s="194">
        <f t="shared" si="10"/>
        <v>420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55</v>
      </c>
      <c r="B154" s="187">
        <f>'Données projet'!D147</f>
        <v>28</v>
      </c>
      <c r="C154" s="204">
        <v>15</v>
      </c>
      <c r="D154" s="194">
        <f t="shared" si="10"/>
        <v>420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60</v>
      </c>
      <c r="B155" s="187">
        <f>'Données projet'!D148</f>
        <v>28</v>
      </c>
      <c r="C155" s="204">
        <v>15</v>
      </c>
      <c r="D155" s="194">
        <f t="shared" si="10"/>
        <v>420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65</v>
      </c>
      <c r="B156" s="187">
        <f>'Données projet'!D149</f>
        <v>28</v>
      </c>
      <c r="C156" s="204">
        <v>20</v>
      </c>
      <c r="D156" s="194">
        <f t="shared" si="10"/>
        <v>560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70</v>
      </c>
      <c r="B157" s="187">
        <f>'Données projet'!D150</f>
        <v>28</v>
      </c>
      <c r="C157" s="204">
        <v>20</v>
      </c>
      <c r="D157" s="194">
        <f t="shared" si="10"/>
        <v>560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75</v>
      </c>
      <c r="B158" s="187">
        <f>'Données projet'!D151</f>
        <v>28</v>
      </c>
      <c r="C158" s="204">
        <v>20</v>
      </c>
      <c r="D158" s="194">
        <f t="shared" si="10"/>
        <v>560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80</v>
      </c>
      <c r="B159" s="187">
        <f>'Données projet'!D152</f>
        <v>28</v>
      </c>
      <c r="C159" s="204">
        <v>20</v>
      </c>
      <c r="D159" s="194">
        <f t="shared" si="10"/>
        <v>560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85</v>
      </c>
      <c r="B160" s="187">
        <f>'Données projet'!D153</f>
        <v>28</v>
      </c>
      <c r="C160" s="204">
        <v>20</v>
      </c>
      <c r="D160" s="194">
        <f t="shared" si="10"/>
        <v>560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90</v>
      </c>
      <c r="B161" s="187">
        <f>'Données projet'!D154</f>
        <v>28</v>
      </c>
      <c r="C161" s="204">
        <v>30</v>
      </c>
      <c r="D161" s="194">
        <f t="shared" si="10"/>
        <v>840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95</v>
      </c>
      <c r="B162" s="187">
        <f>'Données projet'!D155</f>
        <v>28</v>
      </c>
      <c r="C162" s="204">
        <v>30</v>
      </c>
      <c r="D162" s="194">
        <f t="shared" si="10"/>
        <v>840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100</v>
      </c>
      <c r="B163" s="187">
        <f>'Données projet'!D156</f>
        <v>27</v>
      </c>
      <c r="C163" s="204">
        <v>40</v>
      </c>
      <c r="D163" s="194">
        <f t="shared" si="10"/>
        <v>1080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105</v>
      </c>
      <c r="B164" s="187">
        <f>'Données projet'!D157</f>
        <v>26</v>
      </c>
      <c r="C164" s="204">
        <v>50</v>
      </c>
      <c r="D164" s="194">
        <f t="shared" si="10"/>
        <v>1300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110</v>
      </c>
      <c r="B165" s="187">
        <f>'Données projet'!D158</f>
        <v>25</v>
      </c>
      <c r="C165" s="204">
        <v>70</v>
      </c>
      <c r="D165" s="194">
        <f t="shared" si="10"/>
        <v>1750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115</v>
      </c>
      <c r="B166" s="187">
        <f>'Données projet'!D159</f>
        <v>321</v>
      </c>
      <c r="C166" s="204">
        <v>150</v>
      </c>
      <c r="D166" s="194">
        <f t="shared" si="10"/>
        <v>48150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2024-01-24T10:28:15Z</dcterms:modified>
</cp:coreProperties>
</file>