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Gascogne-Pyrénées\St Jean Pla de Corts (66) - GFR DES 4 CHENES Nicolas\Doc fin\"/>
    </mc:Choice>
  </mc:AlternateContent>
  <xr:revisionPtr revIDLastSave="0" documentId="13_ncr:1_{F256DBF3-E897-4DA1-9D66-F120702F2706}" xr6:coauthVersionLast="36" xr6:coauthVersionMax="36" xr10:uidLastSave="{00000000-0000-0000-0000-000000000000}"/>
  <bookViews>
    <workbookView xWindow="0" yWindow="0" windowWidth="28800" windowHeight="12615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90" i="2" a="1"/>
  <c r="AH90" i="2" s="1"/>
  <c r="AH199" i="2" a="1"/>
  <c r="AH199" i="2" s="1"/>
  <c r="BC68" i="2" a="1"/>
  <c r="BC68" i="2" s="1"/>
  <c r="BC58" i="2" a="1"/>
  <c r="BC58" i="2" s="1"/>
  <c r="BC34" i="2" a="1"/>
  <c r="BC34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<sst xmlns="http://schemas.openxmlformats.org/spreadsheetml/2006/main" count="1171" uniqueCount="324">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</sst>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3.2877822830537951</c:v>
                </c:pt>
                <c:pt idx="2">
                  <c:v>3.7486563824478041</c:v>
                </c:pt>
                <c:pt idx="3">
                  <c:v>4.2743621988779381</c:v>
                </c:pt>
                <c:pt idx="4">
                  <c:v>4.8740498871689484</c:v>
                </c:pt>
                <c:pt idx="5">
                  <c:v>5.5581650240281348</c:v>
                </c:pt>
                <c:pt idx="6">
                  <c:v>6.3386325329171171</c:v>
                </c:pt>
                <c:pt idx="7">
                  <c:v>7.2290667920123957</c:v>
                </c:pt>
                <c:pt idx="8">
                  <c:v>8.2450116617021205</c:v>
                </c:pt>
                <c:pt idx="9">
                  <c:v>9.4042147024631397</c:v>
                </c:pt>
                <c:pt idx="10">
                  <c:v>10.72694046494486</c:v>
                </c:pt>
                <c:pt idx="11">
                  <c:v>12.236328432650803</c:v>
                </c:pt>
                <c:pt idx="12">
                  <c:v>13.958801996331969</c:v>
                </c:pt>
                <c:pt idx="13">
                  <c:v>15.924535752475025</c:v>
                </c:pt>
                <c:pt idx="14">
                  <c:v>18.16798946253861</c:v>
                </c:pt>
                <c:pt idx="15">
                  <c:v>20.728518203687273</c:v>
                </c:pt>
                <c:pt idx="16">
                  <c:v>23.651069607227843</c:v>
                </c:pt>
                <c:pt idx="17">
                  <c:v>26.986980642400102</c:v>
                </c:pt>
                <c:pt idx="18">
                  <c:v>30.794888188792299</c:v>
                </c:pt>
                <c:pt idx="19">
                  <c:v>35.141769682679019</c:v>
                </c:pt>
                <c:pt idx="20">
                  <c:v>40.104132457894728</c:v>
                </c:pt>
                <c:pt idx="21">
                  <c:v>45.769373072652449</c:v>
                </c:pt>
                <c:pt idx="22">
                  <c:v>52.237330968265496</c:v>
                </c:pt>
                <c:pt idx="23">
                  <c:v>59.622064299257012</c:v>
                </c:pt>
                <c:pt idx="24">
                  <c:v>68.053879770033035</c:v>
                </c:pt>
                <c:pt idx="25">
                  <c:v>77.681652883443277</c:v>
                </c:pt>
                <c:pt idx="26">
                  <c:v>89.749527295102055</c:v>
                </c:pt>
                <c:pt idx="27">
                  <c:v>101.77669150071307</c:v>
                </c:pt>
                <c:pt idx="28">
                  <c:v>113.76864450731324</c:v>
                </c:pt>
                <c:pt idx="29">
                  <c:v>125.72962687559315</c:v>
                </c:pt>
                <c:pt idx="30">
                  <c:v>137.6630039822968</c:v>
                </c:pt>
                <c:pt idx="31">
                  <c:v>150.06719138513347</c:v>
                </c:pt>
                <c:pt idx="32">
                  <c:v>162.44693439980156</c:v>
                </c:pt>
                <c:pt idx="33">
                  <c:v>174.80435986940384</c:v>
                </c:pt>
                <c:pt idx="34">
                  <c:v>187.14126892541751</c:v>
                </c:pt>
                <c:pt idx="35">
                  <c:v>199.45920552954112</c:v>
                </c:pt>
                <c:pt idx="36">
                  <c:v>180.72853624887799</c:v>
                </c:pt>
                <c:pt idx="37">
                  <c:v>194.04156088484288</c:v>
                </c:pt>
                <c:pt idx="38">
                  <c:v>207.33335324915291</c:v>
                </c:pt>
                <c:pt idx="39">
                  <c:v>220.60546688889869</c:v>
                </c:pt>
                <c:pt idx="40">
                  <c:v>233.85925299408595</c:v>
                </c:pt>
                <c:pt idx="41">
                  <c:v>213.23441535885948</c:v>
                </c:pt>
                <c:pt idx="42">
                  <c:v>226.9891306675197</c:v>
                </c:pt>
                <c:pt idx="43">
                  <c:v>240.72476870476387</c:v>
                </c:pt>
                <c:pt idx="44">
                  <c:v>254.44257166922989</c:v>
                </c:pt>
                <c:pt idx="45">
                  <c:v>268.14363680502896</c:v>
                </c:pt>
                <c:pt idx="46">
                  <c:v>247.58582789971763</c:v>
                </c:pt>
                <c:pt idx="47">
                  <c:v>261.29513286819559</c:v>
                </c:pt>
                <c:pt idx="48">
                  <c:v>274.98820185643041</c:v>
                </c:pt>
                <c:pt idx="49">
                  <c:v>288.66595739666019</c:v>
                </c:pt>
                <c:pt idx="50">
                  <c:v>302.32922742731336</c:v>
                </c:pt>
                <c:pt idx="51">
                  <c:v>281.82894001768091</c:v>
                </c:pt>
                <c:pt idx="52">
                  <c:v>295.49935465856674</c:v>
                </c:pt>
                <c:pt idx="53">
                  <c:v>309.15566664872</c:v>
                </c:pt>
                <c:pt idx="54">
                  <c:v>322.79858678882687</c:v>
                </c:pt>
                <c:pt idx="55">
                  <c:v>336.42876087816643</c:v>
                </c:pt>
                <c:pt idx="56">
                  <c:v>315.49150440002353</c:v>
                </c:pt>
                <c:pt idx="57">
                  <c:v>328.64161514294386</c:v>
                </c:pt>
                <c:pt idx="58">
                  <c:v>341.7801151340143</c:v>
                </c:pt>
                <c:pt idx="59">
                  <c:v>354.90751364999682</c:v>
                </c:pt>
                <c:pt idx="60">
                  <c:v>368.02427921214581</c:v>
                </c:pt>
                <c:pt idx="61">
                  <c:v>347.12962722715201</c:v>
                </c:pt>
                <c:pt idx="62">
                  <c:v>360.25263938461012</c:v>
                </c:pt>
                <c:pt idx="63">
                  <c:v>373.36519887198909</c:v>
                </c:pt>
                <c:pt idx="64">
                  <c:v>386.46772453378168</c:v>
                </c:pt>
                <c:pt idx="65">
                  <c:v>399.56060449432636</c:v>
                </c:pt>
                <c:pt idx="66">
                  <c:v>377.73380252948976</c:v>
                </c:pt>
                <c:pt idx="67">
                  <c:v>389.86308609918143</c:v>
                </c:pt>
                <c:pt idx="68">
                  <c:v>401.98418262418681</c:v>
                </c:pt>
                <c:pt idx="69">
                  <c:v>414.09737378838713</c:v>
                </c:pt>
                <c:pt idx="70">
                  <c:v>426.20292344968493</c:v>
                </c:pt>
                <c:pt idx="71">
                  <c:v>404.40744459656599</c:v>
                </c:pt>
                <c:pt idx="72">
                  <c:v>416.51908689232135</c:v>
                </c:pt>
                <c:pt idx="73">
                  <c:v>428.62313846306932</c:v>
                </c:pt>
                <c:pt idx="74">
                  <c:v>440.71984388784927</c:v>
                </c:pt>
                <c:pt idx="75">
                  <c:v>452.80943322358308</c:v>
                </c:pt>
                <c:pt idx="76">
                  <c:v>430.07512632625327</c:v>
                </c:pt>
                <c:pt idx="77">
                  <c:v>441.20356260557975</c:v>
                </c:pt>
                <c:pt idx="78">
                  <c:v>452.32598351877181</c:v>
                </c:pt>
                <c:pt idx="79">
                  <c:v>463.44255784559732</c:v>
                </c:pt>
                <c:pt idx="80">
                  <c:v>474.55344560757021</c:v>
                </c:pt>
                <c:pt idx="81">
                  <c:v>447.97443726246587</c:v>
                </c:pt>
                <c:pt idx="82">
                  <c:v>455.22651645684351</c:v>
                </c:pt>
                <c:pt idx="83">
                  <c:v>462.47612719521175</c:v>
                </c:pt>
                <c:pt idx="84">
                  <c:v>469.72331365057761</c:v>
                </c:pt>
                <c:pt idx="85">
                  <c:v>476.9681185209983</c:v>
                </c:pt>
                <c:pt idx="86">
                  <c:v>456.67663464562247</c:v>
                </c:pt>
                <c:pt idx="87">
                  <c:v>470.20637427155265</c:v>
                </c:pt>
                <c:pt idx="88">
                  <c:v>483.72782412993865</c:v>
                </c:pt>
                <c:pt idx="89">
                  <c:v>497.24124854369626</c:v>
                </c:pt>
                <c:pt idx="90">
                  <c:v>510.74689630015132</c:v>
                </c:pt>
                <c:pt idx="91">
                  <c:v>486.14151686903097</c:v>
                </c:pt>
                <c:pt idx="92">
                  <c:v>495.31124110642372</c:v>
                </c:pt>
                <c:pt idx="93">
                  <c:v>504.47736885760304</c:v>
                </c:pt>
                <c:pt idx="94">
                  <c:v>513.63997469556205</c:v>
                </c:pt>
                <c:pt idx="95">
                  <c:v>522.79913031527781</c:v>
                </c:pt>
                <c:pt idx="96">
                  <c:v>497.24124854369643</c:v>
                </c:pt>
                <c:pt idx="97">
                  <c:v>505.44201826757507</c:v>
                </c:pt>
                <c:pt idx="98">
                  <c:v>513.63997469556216</c:v>
                </c:pt>
                <c:pt idx="99">
                  <c:v>521.83516907361627</c:v>
                </c:pt>
                <c:pt idx="100">
                  <c:v>530.02765090640935</c:v>
                </c:pt>
                <c:pt idx="101">
                  <c:v>505.92432836615734</c:v>
                </c:pt>
                <c:pt idx="102">
                  <c:v>513.15781891487757</c:v>
                </c:pt>
                <c:pt idx="103">
                  <c:v>520.38915679508375</c:v>
                </c:pt>
                <c:pt idx="104">
                  <c:v>527.61837615010916</c:v>
                </c:pt>
                <c:pt idx="105">
                  <c:v>534.84551011101007</c:v>
                </c:pt>
                <c:pt idx="106">
                  <c:v>510.7468963001516</c:v>
                </c:pt>
                <c:pt idx="107">
                  <c:v>517.97894789153122</c:v>
                </c:pt>
                <c:pt idx="108">
                  <c:v>525.20886969132073</c:v>
                </c:pt>
                <c:pt idx="109">
                  <c:v>532.43669516303316</c:v>
                </c:pt>
                <c:pt idx="110">
                  <c:v>539.6624567872409</c:v>
                </c:pt>
                <c:pt idx="111">
                  <c:v>515.56850235292211</c:v>
                </c:pt>
                <c:pt idx="112">
                  <c:v>522.79913031527792</c:v>
                </c:pt>
                <c:pt idx="113">
                  <c:v>530.02765090640935</c:v>
                </c:pt>
                <c:pt idx="114">
                  <c:v>537.25409692975609</c:v>
                </c:pt>
                <c:pt idx="115">
                  <c:v>544.47850023404123</c:v>
                </c:pt>
                <c:pt idx="116">
                  <c:v>519.42510154947911</c:v>
                </c:pt>
                <c:pt idx="117">
                  <c:v>525.6907895774126</c:v>
                </c:pt>
                <c:pt idx="118">
                  <c:v>531.95490469434469</c:v>
                </c:pt>
                <c:pt idx="119">
                  <c:v>538.21746804307611</c:v>
                </c:pt>
                <c:pt idx="120">
                  <c:v>544.47850023404101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235.19675671623455</c:v>
                </c:pt>
                <c:pt idx="25">
                  <c:v>254.68019125492972</c:v>
                </c:pt>
                <c:pt idx="26">
                  <c:v>274.129893403339</c:v>
                </c:pt>
                <c:pt idx="27">
                  <c:v>293.54859261186851</c:v>
                </c:pt>
                <c:pt idx="28">
                  <c:v>312.93862766627666</c:v>
                </c:pt>
                <c:pt idx="29">
                  <c:v>332.30202385642195</c:v>
                </c:pt>
                <c:pt idx="30">
                  <c:v>351.64055120002314</c:v>
                </c:pt>
                <c:pt idx="31">
                  <c:v>369.4987981688775</c:v>
                </c:pt>
                <c:pt idx="32">
                  <c:v>387.33822121677053</c:v>
                </c:pt>
                <c:pt idx="33">
                  <c:v>405.15980898705612</c:v>
                </c:pt>
                <c:pt idx="34">
                  <c:v>422.96445608157745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3" zoomScale="90" zoomScaleNormal="90" workbookViewId="0">
      <selection activeCell="E42" sqref="E42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6.75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16</v>
      </c>
      <c r="C9" s="35">
        <v>0.68200000000000005</v>
      </c>
      <c r="D9" s="36">
        <f t="shared" ref="D9:D18" si="0">C9*$C$5</f>
        <v>4.6035000000000004</v>
      </c>
      <c r="E9" s="37">
        <v>120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36</v>
      </c>
      <c r="C10" s="35">
        <v>0.318</v>
      </c>
      <c r="D10" s="36">
        <f t="shared" si="0"/>
        <v>2.1465000000000001</v>
      </c>
      <c r="E10" s="37">
        <v>34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6.75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vert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25</v>
      </c>
      <c r="B36" s="63">
        <v>30</v>
      </c>
      <c r="C36" s="63">
        <v>1</v>
      </c>
      <c r="D36" s="63">
        <v>0</v>
      </c>
      <c r="E36" s="54"/>
      <c r="F36" s="54"/>
      <c r="G36" s="54"/>
      <c r="H36" s="54"/>
      <c r="I36" s="52">
        <f>IFERROR(B36/A36,"")</f>
        <v>1.2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v>54</v>
      </c>
      <c r="C37" s="63">
        <v>2</v>
      </c>
      <c r="D37" s="63">
        <v>0</v>
      </c>
      <c r="E37" s="54"/>
      <c r="F37" s="54"/>
      <c r="G37" s="54"/>
      <c r="H37" s="54"/>
      <c r="I37" s="56">
        <f t="shared" ref="I37:I55" si="1">IF(A37&lt;&gt;0,(B37-(B36-D36))/(A37-A36),"")</f>
        <v>4.8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35</v>
      </c>
      <c r="B38" s="63">
        <v>79</v>
      </c>
      <c r="C38" s="63">
        <v>3</v>
      </c>
      <c r="D38" s="63">
        <v>13</v>
      </c>
      <c r="E38" s="54"/>
      <c r="F38" s="54"/>
      <c r="G38" s="54"/>
      <c r="H38" s="54"/>
      <c r="I38" s="56">
        <f t="shared" si="1"/>
        <v>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40</v>
      </c>
      <c r="B39" s="63">
        <v>93</v>
      </c>
      <c r="C39" s="63">
        <v>4</v>
      </c>
      <c r="D39" s="63">
        <v>14</v>
      </c>
      <c r="E39" s="54"/>
      <c r="F39" s="54"/>
      <c r="G39" s="54"/>
      <c r="H39" s="54"/>
      <c r="I39" s="52">
        <f t="shared" si="1"/>
        <v>5.4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45</v>
      </c>
      <c r="B40" s="63">
        <v>107</v>
      </c>
      <c r="C40" s="63">
        <v>5</v>
      </c>
      <c r="D40" s="63">
        <v>14</v>
      </c>
      <c r="E40" s="54"/>
      <c r="F40" s="54"/>
      <c r="G40" s="54"/>
      <c r="H40" s="54"/>
      <c r="I40" s="52">
        <f t="shared" si="1"/>
        <v>5.6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50</v>
      </c>
      <c r="B41" s="63">
        <v>121</v>
      </c>
      <c r="C41" s="63">
        <v>6</v>
      </c>
      <c r="D41" s="63">
        <v>14</v>
      </c>
      <c r="E41" s="54"/>
      <c r="F41" s="54"/>
      <c r="G41" s="54"/>
      <c r="H41" s="54"/>
      <c r="I41" s="56">
        <f t="shared" si="1"/>
        <v>5.6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55</v>
      </c>
      <c r="B42" s="63">
        <v>135</v>
      </c>
      <c r="C42" s="63">
        <v>7</v>
      </c>
      <c r="D42" s="63">
        <v>14</v>
      </c>
      <c r="E42" s="54"/>
      <c r="F42" s="54"/>
      <c r="G42" s="54"/>
      <c r="H42" s="54"/>
      <c r="I42" s="56">
        <f t="shared" si="1"/>
        <v>5.6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60</v>
      </c>
      <c r="B43" s="63">
        <v>148</v>
      </c>
      <c r="C43" s="63">
        <v>8</v>
      </c>
      <c r="D43" s="63">
        <v>14</v>
      </c>
      <c r="E43" s="54"/>
      <c r="F43" s="54"/>
      <c r="G43" s="54"/>
      <c r="H43" s="54"/>
      <c r="I43" s="52">
        <f t="shared" si="1"/>
        <v>5.4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65</v>
      </c>
      <c r="B44" s="63">
        <v>161</v>
      </c>
      <c r="C44" s="63">
        <v>9</v>
      </c>
      <c r="D44" s="63">
        <v>14</v>
      </c>
      <c r="E44" s="54"/>
      <c r="F44" s="54"/>
      <c r="G44" s="54"/>
      <c r="H44" s="54"/>
      <c r="I44" s="52">
        <f t="shared" si="1"/>
        <v>5.4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70</v>
      </c>
      <c r="B45" s="63">
        <v>172</v>
      </c>
      <c r="C45" s="63">
        <v>10</v>
      </c>
      <c r="D45" s="63">
        <v>14</v>
      </c>
      <c r="E45" s="54"/>
      <c r="F45" s="54"/>
      <c r="G45" s="54"/>
      <c r="H45" s="54"/>
      <c r="I45" s="52">
        <f t="shared" si="1"/>
        <v>5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75</v>
      </c>
      <c r="B46" s="63">
        <v>183</v>
      </c>
      <c r="C46" s="63">
        <v>11</v>
      </c>
      <c r="D46" s="63">
        <v>14</v>
      </c>
      <c r="E46" s="54"/>
      <c r="F46" s="54"/>
      <c r="G46" s="54"/>
      <c r="H46" s="54"/>
      <c r="I46" s="52">
        <f t="shared" si="1"/>
        <v>5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80</v>
      </c>
      <c r="B47" s="63">
        <v>192</v>
      </c>
      <c r="C47" s="63">
        <v>12</v>
      </c>
      <c r="D47" s="63">
        <v>14</v>
      </c>
      <c r="E47" s="54"/>
      <c r="F47" s="54"/>
      <c r="G47" s="54"/>
      <c r="H47" s="54"/>
      <c r="I47" s="52">
        <f t="shared" si="1"/>
        <v>4.5999999999999996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85</v>
      </c>
      <c r="B48" s="63">
        <v>193</v>
      </c>
      <c r="C48" s="63">
        <v>13</v>
      </c>
      <c r="D48" s="63">
        <v>14</v>
      </c>
      <c r="E48" s="54"/>
      <c r="F48" s="54"/>
      <c r="G48" s="54"/>
      <c r="H48" s="54"/>
      <c r="I48" s="52">
        <f t="shared" si="1"/>
        <v>3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90</v>
      </c>
      <c r="B49" s="63">
        <v>207</v>
      </c>
      <c r="C49" s="63">
        <v>14</v>
      </c>
      <c r="D49" s="63">
        <v>14</v>
      </c>
      <c r="E49" s="54"/>
      <c r="F49" s="54"/>
      <c r="G49" s="54"/>
      <c r="H49" s="54"/>
      <c r="I49" s="52">
        <f t="shared" si="1"/>
        <v>5.6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95</v>
      </c>
      <c r="B50" s="53">
        <v>212</v>
      </c>
      <c r="C50" s="53">
        <v>15</v>
      </c>
      <c r="D50" s="53">
        <v>14</v>
      </c>
      <c r="E50" s="54"/>
      <c r="F50" s="54"/>
      <c r="G50" s="54"/>
      <c r="H50" s="54"/>
      <c r="I50" s="52">
        <f t="shared" si="1"/>
        <v>3.8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100</v>
      </c>
      <c r="B51" s="53">
        <v>215</v>
      </c>
      <c r="C51" s="53">
        <v>16</v>
      </c>
      <c r="D51" s="53">
        <v>13</v>
      </c>
      <c r="E51" s="54"/>
      <c r="F51" s="54"/>
      <c r="G51" s="54"/>
      <c r="H51" s="54"/>
      <c r="I51" s="52">
        <f t="shared" si="1"/>
        <v>3.4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>
        <v>105</v>
      </c>
      <c r="B52" s="53">
        <v>217</v>
      </c>
      <c r="C52" s="53">
        <v>17</v>
      </c>
      <c r="D52" s="53">
        <v>13</v>
      </c>
      <c r="E52" s="54"/>
      <c r="F52" s="54"/>
      <c r="G52" s="54"/>
      <c r="H52" s="54"/>
      <c r="I52" s="52">
        <f t="shared" si="1"/>
        <v>3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>
        <v>110</v>
      </c>
      <c r="B53" s="53">
        <v>219</v>
      </c>
      <c r="C53" s="53">
        <v>18</v>
      </c>
      <c r="D53" s="53">
        <v>13</v>
      </c>
      <c r="E53" s="54"/>
      <c r="F53" s="54"/>
      <c r="G53" s="54"/>
      <c r="H53" s="54"/>
      <c r="I53" s="52">
        <f t="shared" si="1"/>
        <v>3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>
        <v>115</v>
      </c>
      <c r="B54" s="53">
        <v>221</v>
      </c>
      <c r="C54" s="53">
        <v>19</v>
      </c>
      <c r="D54" s="53">
        <v>13</v>
      </c>
      <c r="E54" s="54"/>
      <c r="F54" s="54"/>
      <c r="G54" s="54"/>
      <c r="H54" s="54"/>
      <c r="I54" s="52">
        <f t="shared" si="1"/>
        <v>3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>
        <v>120</v>
      </c>
      <c r="B55" s="53">
        <v>221</v>
      </c>
      <c r="C55" s="53">
        <v>20</v>
      </c>
      <c r="D55" s="53">
        <v>221</v>
      </c>
      <c r="E55" s="54"/>
      <c r="F55" s="54"/>
      <c r="G55" s="54"/>
      <c r="H55" s="54"/>
      <c r="I55" s="52">
        <f t="shared" si="1"/>
        <v>2.6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Pin maritime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13</v>
      </c>
      <c r="B62" s="63">
        <v>101</v>
      </c>
      <c r="C62" s="63">
        <v>1</v>
      </c>
      <c r="D62" s="63">
        <v>28</v>
      </c>
      <c r="E62" s="54"/>
      <c r="F62" s="54"/>
      <c r="G62" s="54">
        <v>1</v>
      </c>
      <c r="H62" s="54"/>
      <c r="I62" s="56">
        <f>IFERROR(B62/A62,"")</f>
        <v>7.7692307692307692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18</v>
      </c>
      <c r="B63" s="63">
        <v>166</v>
      </c>
      <c r="C63" s="63">
        <v>2</v>
      </c>
      <c r="D63" s="63">
        <v>40</v>
      </c>
      <c r="E63" s="54">
        <v>0.25</v>
      </c>
      <c r="F63" s="54"/>
      <c r="G63" s="54">
        <v>0.75</v>
      </c>
      <c r="H63" s="54"/>
      <c r="I63" s="52">
        <f>IF(A63&lt;&gt;0,(B63-(B62-D62))/(A63-A62),"")</f>
        <v>18.600000000000001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23</v>
      </c>
      <c r="B64" s="63">
        <v>215</v>
      </c>
      <c r="C64" s="63">
        <v>3</v>
      </c>
      <c r="D64" s="63">
        <v>52</v>
      </c>
      <c r="E64" s="54">
        <v>0.5</v>
      </c>
      <c r="F64" s="54"/>
      <c r="G64" s="54">
        <v>0.5</v>
      </c>
      <c r="H64" s="54"/>
      <c r="I64" s="52">
        <f>IF(A64&lt;&gt;0,(B64-(B63-D63))/(A64-A63),"")</f>
        <v>17.8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30</v>
      </c>
      <c r="B65" s="63">
        <v>269</v>
      </c>
      <c r="C65" s="63">
        <v>4</v>
      </c>
      <c r="D65" s="63">
        <v>0</v>
      </c>
      <c r="E65" s="54"/>
      <c r="F65" s="54"/>
      <c r="G65" s="54"/>
      <c r="H65" s="54"/>
      <c r="I65" s="52">
        <f>IF(A65&lt;&gt;0,(B65-(B64-D64))/(A65-A64),"")</f>
        <v>15.142857142857142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34</v>
      </c>
      <c r="B66" s="63">
        <v>325</v>
      </c>
      <c r="C66" s="63">
        <v>5</v>
      </c>
      <c r="D66" s="63">
        <v>325</v>
      </c>
      <c r="E66" s="54">
        <v>0.7</v>
      </c>
      <c r="F66" s="54"/>
      <c r="G66" s="54">
        <v>0.3</v>
      </c>
      <c r="H66" s="54"/>
      <c r="I66" s="52">
        <f t="shared" ref="I66:I81" si="2">IF(A66&lt;&gt;0,(B66-(B65-D65))/(A66-A65),"")</f>
        <v>14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24" sqref="C24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vert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Pin maritime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342.36307961726635</v>
      </c>
      <c r="T3" s="62">
        <f>IF('Données projet'!E9&gt;30,$R$33-$H$33,LOOKUP('Données projet'!$E$9,$A$3:$A$203,R3:R203)-LOOKUP('Données projet'!$E$9,$A$3:$A$203,$H$3:$H$203))</f>
        <v>174.32967064896343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195.80903373714432</v>
      </c>
      <c r="AO3" s="62">
        <f>IF('Données projet'!E10&gt;30,$AM$33-$H$33,LOOKUP('Données projet'!$E$10,$A$3:$A$203,AM3:AM203)-LOOKUP('Données projet'!$E$10,$A$3:$A$203,$H$3:$H$203))</f>
        <v>388.30721786668977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1.2</v>
      </c>
      <c r="N4" s="14">
        <f>IF('Données projet'!$A$36&gt;35,N3+M4-V3,IF(A4&lt;'Données projet'!$A$36,$K$205^A4,IF(A4='Données projet'!$A$36,'Données projet'!$B$36,N3+M4-V3)))</f>
        <v>1.1457367676485573</v>
      </c>
      <c r="O4" s="14">
        <f>N4*VLOOKUP('Données projet'!$B$9,Paramètres!$A$1:$I$89,3,0)*VLOOKUP('Données projet'!$B$9,Paramètres!$A$1:$I$89,5,0)</f>
        <v>1.3047650309981771</v>
      </c>
      <c r="P4" s="14">
        <f>EXP(-1.0587+0.8836*LN(O4)+0.284)</f>
        <v>0.58295685400878672</v>
      </c>
      <c r="Q4" s="22">
        <f t="shared" ref="Q4:Q34" si="2">(O4+P4)*0.475*44/12</f>
        <v>3.2877822830537951</v>
      </c>
      <c r="R4" s="62">
        <f t="shared" si="0"/>
        <v>261.17667117194264</v>
      </c>
      <c r="S4" s="62">
        <f ca="1">AVERAGE(OFFSET($R$3,0,0,'Données projet'!$E$9+1,1))-AVERAGE(OFFSET($H$3,0,0,'Données projet'!$E$9+1,1))</f>
        <v>342.36307961726635</v>
      </c>
      <c r="T4" s="62">
        <f>$T$3</f>
        <v>174.32967064896343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7.7692307692307692</v>
      </c>
      <c r="AI4" s="14">
        <f>IF('Données projet'!$A$62&gt;35,AI3+AH4-AQ3,IF(A4&lt;'Données projet'!$A$62,$AF$205^A4,IF(A4='Données projet'!$A$62,'Données projet'!$B$62,AI3+AH4-AQ3)))</f>
        <v>1.4261938757879591</v>
      </c>
      <c r="AJ4" s="14">
        <f>AI4*VLOOKUP('Données projet'!$B$10,Paramètres!$A$1:$I$89,3,0)*VLOOKUP('Données projet'!$B$10,Paramètres!$A$1:$I$89,5,0)</f>
        <v>0.85286393772119951</v>
      </c>
      <c r="AK4" s="14">
        <f>EXP(-1.0587+0.8836*LN(AJ4)+0.284)</f>
        <v>0.40038464441801103</v>
      </c>
      <c r="AL4" s="22">
        <f t="shared" ref="AL4:AL67" si="4">(AJ4+AK4)*0.475*44/12</f>
        <v>2.1827412805591249</v>
      </c>
      <c r="AM4" s="62">
        <f t="shared" ref="AM4:AM67" si="5">AL4+(AD4+AE4)*44/12</f>
        <v>260.07163016944799</v>
      </c>
      <c r="AN4" s="62">
        <f ca="1">AVERAGE(OFFSET($AM$3,0,0,'Données projet'!$E$10+1,1))-AVERAGE(OFFSET($H$3,0,0,'Données projet'!$E$10+1,1))</f>
        <v>195.80903373714432</v>
      </c>
      <c r="AO4" s="62">
        <f>$AO$3</f>
        <v>388.30721786668977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1.2</v>
      </c>
      <c r="N5" s="14">
        <f>IF('Données projet'!$A$36&gt;35,N4+M5-V4,IF(A5&lt;'Données projet'!$A$36,$K$205^A5,IF(A5='Données projet'!$A$36,'Données projet'!$B$36,N4+M5-V4)))</f>
        <v>1.312712740741764</v>
      </c>
      <c r="O5" s="14">
        <f>N5*VLOOKUP('Données projet'!$B$9,Paramètres!$A$1:$I$89,3,0)*VLOOKUP('Données projet'!$B$9,Paramètres!$A$1:$I$89,5,0)</f>
        <v>1.494917269156721</v>
      </c>
      <c r="P5" s="14">
        <f t="shared" ref="P5:P68" si="33">EXP(-1.0587+0.8836*LN(O5)+0.284)</f>
        <v>0.65742132363627681</v>
      </c>
      <c r="Q5" s="22">
        <f t="shared" si="2"/>
        <v>3.7486563824478041</v>
      </c>
      <c r="R5" s="62">
        <f t="shared" si="0"/>
        <v>262.85976749355893</v>
      </c>
      <c r="S5" s="62">
        <f ca="1">AVERAGE(OFFSET($R$3,0,0,'Données projet'!$E$9+1,1))-AVERAGE(OFFSET($H$3,0,0,'Données projet'!$E$9+1,1))</f>
        <v>342.36307961726635</v>
      </c>
      <c r="T5" s="62">
        <f t="shared" ref="T5:T68" si="34">$T$3</f>
        <v>174.32967064896343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7.7692307692307692</v>
      </c>
      <c r="AI5" s="14">
        <f>IF('Données projet'!$A$62&gt;35,AI4+AH5-AQ4,IF(A5&lt;'Données projet'!$A$62,$AF$205^A5,IF(A5='Données projet'!$A$62,'Données projet'!$B$62,AI4+AH5-AQ4)))</f>
        <v>2.0340289713350805</v>
      </c>
      <c r="AJ5" s="14">
        <f>AI5*VLOOKUP('Données projet'!$B$10,Paramètres!$A$1:$I$89,3,0)*VLOOKUP('Données projet'!$B$10,Paramètres!$A$1:$I$89,5,0)</f>
        <v>1.2163493248583781</v>
      </c>
      <c r="AK5" s="14">
        <f t="shared" ref="AK5:AK68" si="35">EXP(-1.0587+0.8836*LN(AJ5)+0.284)</f>
        <v>0.54791046443869817</v>
      </c>
      <c r="AL5" s="22">
        <f t="shared" si="4"/>
        <v>3.072752466359074</v>
      </c>
      <c r="AM5" s="62">
        <f t="shared" si="5"/>
        <v>262.18386357747022</v>
      </c>
      <c r="AN5" s="62">
        <f ca="1">AVERAGE(OFFSET($AM$3,0,0,'Données projet'!$E$10+1,1))-AVERAGE(OFFSET($H$3,0,0,'Données projet'!$E$10+1,1))</f>
        <v>195.80903373714432</v>
      </c>
      <c r="AO5" s="62">
        <f t="shared" ref="AO5:AO68" si="36">$AO$3</f>
        <v>388.30721786668977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1.2</v>
      </c>
      <c r="N6" s="14">
        <f>IF('Données projet'!$A$36&gt;35,N5+M6-V5,IF(A6&lt;'Données projet'!$A$36,$K$205^A6,IF(A6='Données projet'!$A$36,'Données projet'!$B$36,N5+M6-V5)))</f>
        <v>1.5040232524285473</v>
      </c>
      <c r="O6" s="14">
        <f>N6*VLOOKUP('Données projet'!$B$9,Paramètres!$A$1:$I$89,3,0)*VLOOKUP('Données projet'!$B$9,Paramètres!$A$1:$I$89,5,0)</f>
        <v>1.7127816798656297</v>
      </c>
      <c r="P6" s="14">
        <f t="shared" si="33"/>
        <v>0.74139757307864129</v>
      </c>
      <c r="Q6" s="22">
        <f t="shared" si="2"/>
        <v>4.2743621988779381</v>
      </c>
      <c r="R6" s="62">
        <f t="shared" si="0"/>
        <v>264.60769553221127</v>
      </c>
      <c r="S6" s="62">
        <f ca="1">AVERAGE(OFFSET($R$3,0,0,'Données projet'!$E$9+1,1))-AVERAGE(OFFSET($H$3,0,0,'Données projet'!$E$9+1,1))</f>
        <v>342.36307961726635</v>
      </c>
      <c r="T6" s="62">
        <f t="shared" si="34"/>
        <v>174.32967064896343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7.7692307692307692</v>
      </c>
      <c r="AI6" s="14">
        <f>IF('Données projet'!$A$62&gt;35,AI5+AH6-AQ5,IF(A6&lt;'Données projet'!$A$62,$AF$205^A6,IF(A6='Données projet'!$A$62,'Données projet'!$B$62,AI5+AH6-AQ5)))</f>
        <v>2.9009196620933739</v>
      </c>
      <c r="AJ6" s="14">
        <f>AI6*VLOOKUP('Données projet'!$B$10,Paramètres!$A$1:$I$89,3,0)*VLOOKUP('Données projet'!$B$10,Paramètres!$A$1:$I$89,5,0)</f>
        <v>1.7347499579318377</v>
      </c>
      <c r="AK6" s="14">
        <f t="shared" si="35"/>
        <v>0.74979368271678282</v>
      </c>
      <c r="AL6" s="22">
        <f t="shared" si="4"/>
        <v>4.3272468407963478</v>
      </c>
      <c r="AM6" s="62">
        <f t="shared" si="5"/>
        <v>264.66058017412968</v>
      </c>
      <c r="AN6" s="62">
        <f ca="1">AVERAGE(OFFSET($AM$3,0,0,'Données projet'!$E$10+1,1))-AVERAGE(OFFSET($H$3,0,0,'Données projet'!$E$10+1,1))</f>
        <v>195.80903373714432</v>
      </c>
      <c r="AO6" s="62">
        <f t="shared" si="36"/>
        <v>388.30721786668977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1.2</v>
      </c>
      <c r="N7" s="14">
        <f>IF('Données projet'!$A$36&gt;35,N6+M7-V6,IF(A7&lt;'Données projet'!$A$36,$K$205^A7,IF(A7='Données projet'!$A$36,'Données projet'!$B$36,N6+M7-V6)))</f>
        <v>1.7232147397057538</v>
      </c>
      <c r="O7" s="14">
        <f>N7*VLOOKUP('Données projet'!$B$9,Paramètres!$A$1:$I$89,3,0)*VLOOKUP('Données projet'!$B$9,Paramètres!$A$1:$I$89,5,0)</f>
        <v>1.9623969455769126</v>
      </c>
      <c r="P7" s="14">
        <f t="shared" si="33"/>
        <v>0.83610059729521113</v>
      </c>
      <c r="Q7" s="22">
        <f t="shared" si="2"/>
        <v>4.8740498871689484</v>
      </c>
      <c r="R7" s="62">
        <f t="shared" si="0"/>
        <v>266.42960544272449</v>
      </c>
      <c r="S7" s="62">
        <f ca="1">AVERAGE(OFFSET($R$3,0,0,'Données projet'!$E$9+1,1))-AVERAGE(OFFSET($H$3,0,0,'Données projet'!$E$9+1,1))</f>
        <v>342.36307961726635</v>
      </c>
      <c r="T7" s="62">
        <f t="shared" si="34"/>
        <v>174.32967064896343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7.7692307692307692</v>
      </c>
      <c r="AI7" s="14">
        <f>IF('Données projet'!$A$62&gt;35,AI6+AH7-AQ6,IF(A7&lt;'Données projet'!$A$62,$AF$205^A7,IF(A7='Données projet'!$A$62,'Données projet'!$B$62,AI6+AH7-AQ6)))</f>
        <v>4.1372738562304461</v>
      </c>
      <c r="AJ7" s="14">
        <f>AI7*VLOOKUP('Données projet'!$B$10,Paramètres!$A$1:$I$89,3,0)*VLOOKUP('Données projet'!$B$10,Paramètres!$A$1:$I$89,5,0)</f>
        <v>2.474089766025807</v>
      </c>
      <c r="AK7" s="14">
        <f t="shared" si="35"/>
        <v>1.0260628389675426</v>
      </c>
      <c r="AL7" s="22">
        <f t="shared" si="4"/>
        <v>6.0960991203634167</v>
      </c>
      <c r="AM7" s="62">
        <f t="shared" si="5"/>
        <v>267.65165467591896</v>
      </c>
      <c r="AN7" s="62">
        <f ca="1">AVERAGE(OFFSET($AM$3,0,0,'Données projet'!$E$10+1,1))-AVERAGE(OFFSET($H$3,0,0,'Données projet'!$E$10+1,1))</f>
        <v>195.80903373714432</v>
      </c>
      <c r="AO7" s="62">
        <f t="shared" si="36"/>
        <v>388.30721786668977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1.2</v>
      </c>
      <c r="N8" s="14">
        <f>IF('Données projet'!$A$36&gt;35,N7+M8-V7,IF(A8&lt;'Données projet'!$A$36,$K$205^A8,IF(A8='Données projet'!$A$36,'Données projet'!$B$36,N7+M8-V7)))</f>
        <v>1.9743504858348202</v>
      </c>
      <c r="O8" s="14">
        <f>N8*VLOOKUP('Données projet'!$B$9,Paramètres!$A$1:$I$89,3,0)*VLOOKUP('Données projet'!$B$9,Paramètres!$A$1:$I$89,5,0)</f>
        <v>2.2483903332686932</v>
      </c>
      <c r="P8" s="14">
        <f t="shared" si="33"/>
        <v>0.94290058961827439</v>
      </c>
      <c r="Q8" s="22">
        <f t="shared" si="2"/>
        <v>5.5581650240281348</v>
      </c>
      <c r="R8" s="62">
        <f t="shared" si="0"/>
        <v>268.33594280180591</v>
      </c>
      <c r="S8" s="62">
        <f ca="1">AVERAGE(OFFSET($R$3,0,0,'Données projet'!$E$9+1,1))-AVERAGE(OFFSET($H$3,0,0,'Données projet'!$E$9+1,1))</f>
        <v>342.36307961726635</v>
      </c>
      <c r="T8" s="62">
        <f t="shared" si="34"/>
        <v>174.32967064896343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7.7692307692307692</v>
      </c>
      <c r="AI8" s="14">
        <f>IF('Données projet'!$A$62&gt;35,AI7+AH8-AQ7,IF(A8&lt;'Données projet'!$A$62,$AF$205^A8,IF(A8='Données projet'!$A$62,'Données projet'!$B$62,AI7+AH8-AQ7)))</f>
        <v>5.9005546362134957</v>
      </c>
      <c r="AJ8" s="14">
        <f>AI8*VLOOKUP('Données projet'!$B$10,Paramètres!$A$1:$I$89,3,0)*VLOOKUP('Données projet'!$B$10,Paramètres!$A$1:$I$89,5,0)</f>
        <v>3.5285316724556708</v>
      </c>
      <c r="AK8" s="14">
        <f t="shared" si="35"/>
        <v>1.404126193348852</v>
      </c>
      <c r="AL8" s="22">
        <f t="shared" si="4"/>
        <v>8.5910457829428761</v>
      </c>
      <c r="AM8" s="62">
        <f t="shared" si="5"/>
        <v>271.36882356072067</v>
      </c>
      <c r="AN8" s="62">
        <f ca="1">AVERAGE(OFFSET($AM$3,0,0,'Données projet'!$E$10+1,1))-AVERAGE(OFFSET($H$3,0,0,'Données projet'!$E$10+1,1))</f>
        <v>195.80903373714432</v>
      </c>
      <c r="AO8" s="62">
        <f t="shared" si="36"/>
        <v>388.30721786668977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1.2</v>
      </c>
      <c r="N9" s="14">
        <f>IF('Données projet'!$A$36&gt;35,N8+M9-V8,IF(A9&lt;'Données projet'!$A$36,$K$205^A9,IF(A9='Données projet'!$A$36,'Données projet'!$B$36,N8+M9-V8)))</f>
        <v>2.2620859438457455</v>
      </c>
      <c r="O9" s="14">
        <f>N9*VLOOKUP('Données projet'!$B$9,Paramètres!$A$1:$I$89,3,0)*VLOOKUP('Données projet'!$B$9,Paramètres!$A$1:$I$89,5,0)</f>
        <v>2.5760634728515348</v>
      </c>
      <c r="P9" s="14">
        <f t="shared" si="33"/>
        <v>1.0633427661439394</v>
      </c>
      <c r="Q9" s="22">
        <f t="shared" si="2"/>
        <v>6.3386325329171171</v>
      </c>
      <c r="R9" s="62">
        <f t="shared" si="0"/>
        <v>270.33863253291713</v>
      </c>
      <c r="S9" s="62">
        <f ca="1">AVERAGE(OFFSET($R$3,0,0,'Données projet'!$E$9+1,1))-AVERAGE(OFFSET($H$3,0,0,'Données projet'!$E$9+1,1))</f>
        <v>342.36307961726635</v>
      </c>
      <c r="T9" s="62">
        <f t="shared" si="34"/>
        <v>174.32967064896343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7.7692307692307692</v>
      </c>
      <c r="AI9" s="14">
        <f>IF('Données projet'!$A$62&gt;35,AI8+AH9-AQ8,IF(A9&lt;'Données projet'!$A$62,$AF$205^A9,IF(A9='Données projet'!$A$62,'Données projet'!$B$62,AI8+AH9-AQ8)))</f>
        <v>8.4153348859199362</v>
      </c>
      <c r="AJ9" s="14">
        <f>AI9*VLOOKUP('Données projet'!$B$10,Paramètres!$A$1:$I$89,3,0)*VLOOKUP('Données projet'!$B$10,Paramètres!$A$1:$I$89,5,0)</f>
        <v>5.0323702617801223</v>
      </c>
      <c r="AK9" s="14">
        <f t="shared" si="35"/>
        <v>1.9214908599868947</v>
      </c>
      <c r="AL9" s="22">
        <f t="shared" si="4"/>
        <v>12.111308120410888</v>
      </c>
      <c r="AM9" s="62">
        <f t="shared" si="5"/>
        <v>276.11130812041091</v>
      </c>
      <c r="AN9" s="62">
        <f ca="1">AVERAGE(OFFSET($AM$3,0,0,'Données projet'!$E$10+1,1))-AVERAGE(OFFSET($H$3,0,0,'Données projet'!$E$10+1,1))</f>
        <v>195.80903373714432</v>
      </c>
      <c r="AO9" s="62">
        <f t="shared" si="36"/>
        <v>388.30721786668977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1.2</v>
      </c>
      <c r="N10" s="14">
        <f>IF('Données projet'!$A$36&gt;35,N9+M10-V9,IF(A10&lt;'Données projet'!$A$36,$K$205^A10,IF(A10='Données projet'!$A$36,'Données projet'!$B$36,N9+M10-V9)))</f>
        <v>2.5917550374450604</v>
      </c>
      <c r="O10" s="14">
        <f>N10*VLOOKUP('Données projet'!$B$9,Paramètres!$A$1:$I$89,3,0)*VLOOKUP('Données projet'!$B$9,Paramètres!$A$1:$I$89,5,0)</f>
        <v>2.9514906366424349</v>
      </c>
      <c r="P10" s="14">
        <f t="shared" si="33"/>
        <v>1.1991697224077444</v>
      </c>
      <c r="Q10" s="22">
        <f t="shared" si="2"/>
        <v>7.2290667920123957</v>
      </c>
      <c r="R10" s="62">
        <f t="shared" si="0"/>
        <v>272.45128901423465</v>
      </c>
      <c r="S10" s="62">
        <f ca="1">AVERAGE(OFFSET($R$3,0,0,'Données projet'!$E$9+1,1))-AVERAGE(OFFSET($H$3,0,0,'Données projet'!$E$9+1,1))</f>
        <v>342.36307961726635</v>
      </c>
      <c r="T10" s="62">
        <f t="shared" si="34"/>
        <v>174.32967064896343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7.7692307692307692</v>
      </c>
      <c r="AI10" s="14">
        <f>IF('Données projet'!$A$62&gt;35,AI9+AH10-AQ9,IF(A10&lt;'Données projet'!$A$62,$AF$205^A10,IF(A10='Données projet'!$A$62,'Données projet'!$B$62,AI9+AH10-AQ9)))</f>
        <v>12.001899077003776</v>
      </c>
      <c r="AJ10" s="14">
        <f>AI10*VLOOKUP('Données projet'!$B$10,Paramètres!$A$1:$I$89,3,0)*VLOOKUP('Données projet'!$B$10,Paramètres!$A$1:$I$89,5,0)</f>
        <v>7.1771356480482584</v>
      </c>
      <c r="AK10" s="14">
        <f t="shared" si="35"/>
        <v>2.6294838330787229</v>
      </c>
      <c r="AL10" s="22">
        <f t="shared" si="4"/>
        <v>17.079862262962827</v>
      </c>
      <c r="AM10" s="62">
        <f t="shared" si="5"/>
        <v>282.30208448518505</v>
      </c>
      <c r="AN10" s="62">
        <f ca="1">AVERAGE(OFFSET($AM$3,0,0,'Données projet'!$E$10+1,1))-AVERAGE(OFFSET($H$3,0,0,'Données projet'!$E$10+1,1))</f>
        <v>195.80903373714432</v>
      </c>
      <c r="AO10" s="62">
        <f t="shared" si="36"/>
        <v>388.30721786668977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1.2</v>
      </c>
      <c r="N11" s="14">
        <f>IF('Données projet'!$A$36&gt;35,N10+M11-V10,IF(A11&lt;'Données projet'!$A$36,$K$205^A11,IF(A11='Données projet'!$A$36,'Données projet'!$B$36,N10+M11-V10)))</f>
        <v>2.9694690391391689</v>
      </c>
      <c r="O11" s="14">
        <f>N11*VLOOKUP('Données projet'!$B$9,Paramètres!$A$1:$I$89,3,0)*VLOOKUP('Données projet'!$B$9,Paramètres!$A$1:$I$89,5,0)</f>
        <v>3.3816313417716857</v>
      </c>
      <c r="P11" s="14">
        <f t="shared" si="33"/>
        <v>1.3523466458084794</v>
      </c>
      <c r="Q11" s="22">
        <f t="shared" si="2"/>
        <v>8.2450116617021205</v>
      </c>
      <c r="R11" s="62">
        <f t="shared" si="0"/>
        <v>274.68945610614657</v>
      </c>
      <c r="S11" s="62">
        <f ca="1">AVERAGE(OFFSET($R$3,0,0,'Données projet'!$E$9+1,1))-AVERAGE(OFFSET($H$3,0,0,'Données projet'!$E$9+1,1))</f>
        <v>342.36307961726635</v>
      </c>
      <c r="T11" s="62">
        <f t="shared" si="34"/>
        <v>174.32967064896343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7.7692307692307692</v>
      </c>
      <c r="AI11" s="14">
        <f>IF('Données projet'!$A$62&gt;35,AI10+AH11-AQ10,IF(A11&lt;'Données projet'!$A$62,$AF$205^A11,IF(A11='Données projet'!$A$62,'Données projet'!$B$62,AI10+AH11-AQ10)))</f>
        <v>17.117034961447946</v>
      </c>
      <c r="AJ11" s="14">
        <f>AI11*VLOOKUP('Données projet'!$B$10,Paramètres!$A$1:$I$89,3,0)*VLOOKUP('Données projet'!$B$10,Paramètres!$A$1:$I$89,5,0)</f>
        <v>10.235986906945872</v>
      </c>
      <c r="AK11" s="14">
        <f t="shared" si="35"/>
        <v>3.5983440631455994</v>
      </c>
      <c r="AL11" s="22">
        <f t="shared" si="4"/>
        <v>24.094793106242644</v>
      </c>
      <c r="AM11" s="62">
        <f t="shared" si="5"/>
        <v>290.53923755068712</v>
      </c>
      <c r="AN11" s="62">
        <f ca="1">AVERAGE(OFFSET($AM$3,0,0,'Données projet'!$E$10+1,1))-AVERAGE(OFFSET($H$3,0,0,'Données projet'!$E$10+1,1))</f>
        <v>195.80903373714432</v>
      </c>
      <c r="AO11" s="62">
        <f t="shared" si="36"/>
        <v>388.30721786668977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1.2</v>
      </c>
      <c r="N12" s="14">
        <f>IF('Données projet'!$A$36&gt;35,N11+M12-V11,IF(A12&lt;'Données projet'!$A$36,$K$205^A12,IF(A12='Données projet'!$A$36,'Données projet'!$B$36,N11+M12-V11)))</f>
        <v>3.4022298585357786</v>
      </c>
      <c r="O12" s="14">
        <f>N12*VLOOKUP('Données projet'!$B$9,Paramètres!$A$1:$I$89,3,0)*VLOOKUP('Données projet'!$B$9,Paramètres!$A$1:$I$89,5,0)</f>
        <v>3.8744593629005446</v>
      </c>
      <c r="P12" s="14">
        <f t="shared" si="33"/>
        <v>1.5250897485615453</v>
      </c>
      <c r="Q12" s="22">
        <f t="shared" si="2"/>
        <v>9.4042147024631397</v>
      </c>
      <c r="R12" s="62">
        <f t="shared" si="0"/>
        <v>277.07088136912984</v>
      </c>
      <c r="S12" s="62">
        <f ca="1">AVERAGE(OFFSET($R$3,0,0,'Données projet'!$E$9+1,1))-AVERAGE(OFFSET($H$3,0,0,'Données projet'!$E$9+1,1))</f>
        <v>342.36307961726635</v>
      </c>
      <c r="T12" s="62">
        <f t="shared" si="34"/>
        <v>174.32967064896343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7.7692307692307692</v>
      </c>
      <c r="AI12" s="14">
        <f>IF('Données projet'!$A$62&gt;35,AI11+AH12-AQ11,IF(A12&lt;'Données projet'!$A$62,$AF$205^A12,IF(A12='Données projet'!$A$62,'Données projet'!$B$62,AI11+AH12-AQ11)))</f>
        <v>24.412210433665443</v>
      </c>
      <c r="AJ12" s="14">
        <f>AI12*VLOOKUP('Données projet'!$B$10,Paramètres!$A$1:$I$89,3,0)*VLOOKUP('Données projet'!$B$10,Paramètres!$A$1:$I$89,5,0)</f>
        <v>14.598501839331936</v>
      </c>
      <c r="AK12" s="14">
        <f t="shared" si="35"/>
        <v>4.9241907608973428</v>
      </c>
      <c r="AL12" s="22">
        <f t="shared" si="4"/>
        <v>34.002022945399325</v>
      </c>
      <c r="AM12" s="62">
        <f t="shared" si="5"/>
        <v>301.66868961206603</v>
      </c>
      <c r="AN12" s="62">
        <f ca="1">AVERAGE(OFFSET($AM$3,0,0,'Données projet'!$E$10+1,1))-AVERAGE(OFFSET($H$3,0,0,'Données projet'!$E$10+1,1))</f>
        <v>195.80903373714432</v>
      </c>
      <c r="AO12" s="62">
        <f t="shared" si="36"/>
        <v>388.30721786668977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1.2</v>
      </c>
      <c r="N13" s="14">
        <f>IF('Données projet'!$A$36&gt;35,N12+M13-V12,IF(A13&lt;'Données projet'!$A$36,$K$205^A13,IF(A13='Données projet'!$A$36,'Données projet'!$B$36,N12+M13-V12)))</f>
        <v>3.8980598409161908</v>
      </c>
      <c r="O13" s="14">
        <f>N13*VLOOKUP('Données projet'!$B$9,Paramètres!$A$1:$I$89,3,0)*VLOOKUP('Données projet'!$B$9,Paramètres!$A$1:$I$89,5,0)</f>
        <v>4.4391105468353587</v>
      </c>
      <c r="P13" s="14">
        <f t="shared" si="33"/>
        <v>1.7198983325588202</v>
      </c>
      <c r="Q13" s="22">
        <f t="shared" si="2"/>
        <v>10.72694046494486</v>
      </c>
      <c r="R13" s="62">
        <f t="shared" si="0"/>
        <v>279.6158293538337</v>
      </c>
      <c r="S13" s="62">
        <f ca="1">AVERAGE(OFFSET($R$3,0,0,'Données projet'!$E$9+1,1))-AVERAGE(OFFSET($H$3,0,0,'Données projet'!$E$9+1,1))</f>
        <v>342.36307961726635</v>
      </c>
      <c r="T13" s="62">
        <f t="shared" si="34"/>
        <v>174.32967064896343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7.7692307692307692</v>
      </c>
      <c r="AI13" s="14">
        <f>IF('Données projet'!$A$62&gt;35,AI12+AH13-AQ12,IF(A13&lt;'Données projet'!$A$62,$AF$205^A13,IF(A13='Données projet'!$A$62,'Données projet'!$B$62,AI12+AH13-AQ12)))</f>
        <v>34.816545014940573</v>
      </c>
      <c r="AJ13" s="14">
        <f>AI13*VLOOKUP('Données projet'!$B$10,Paramètres!$A$1:$I$89,3,0)*VLOOKUP('Données projet'!$B$10,Paramètres!$A$1:$I$89,5,0)</f>
        <v>20.820293918934464</v>
      </c>
      <c r="AK13" s="14">
        <f t="shared" si="35"/>
        <v>6.7385592439734481</v>
      </c>
      <c r="AL13" s="22">
        <f t="shared" si="4"/>
        <v>47.998335925397946</v>
      </c>
      <c r="AM13" s="62">
        <f t="shared" si="5"/>
        <v>316.88722481428681</v>
      </c>
      <c r="AN13" s="62">
        <f ca="1">AVERAGE(OFFSET($AM$3,0,0,'Données projet'!$E$10+1,1))-AVERAGE(OFFSET($H$3,0,0,'Données projet'!$E$10+1,1))</f>
        <v>195.80903373714432</v>
      </c>
      <c r="AO13" s="62">
        <f t="shared" si="36"/>
        <v>388.30721786668977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1.2</v>
      </c>
      <c r="N14" s="14">
        <f>IF('Données projet'!$A$36&gt;35,N13+M14-V13,IF(A14&lt;'Données projet'!$A$36,$K$205^A14,IF(A14='Données projet'!$A$36,'Données projet'!$B$36,N13+M14-V13)))</f>
        <v>4.4661504822319662</v>
      </c>
      <c r="O14" s="14">
        <f>N14*VLOOKUP('Données projet'!$B$9,Paramètres!$A$1:$I$89,3,0)*VLOOKUP('Données projet'!$B$9,Paramètres!$A$1:$I$89,5,0)</f>
        <v>5.0860521691657636</v>
      </c>
      <c r="P14" s="14">
        <f t="shared" si="33"/>
        <v>1.9395909500595778</v>
      </c>
      <c r="Q14" s="22">
        <f t="shared" si="2"/>
        <v>12.236328432650803</v>
      </c>
      <c r="R14" s="62">
        <f t="shared" si="0"/>
        <v>282.34743954376194</v>
      </c>
      <c r="S14" s="62">
        <f ca="1">AVERAGE(OFFSET($R$3,0,0,'Données projet'!$E$9+1,1))-AVERAGE(OFFSET($H$3,0,0,'Données projet'!$E$9+1,1))</f>
        <v>342.36307961726635</v>
      </c>
      <c r="T14" s="62">
        <f t="shared" si="34"/>
        <v>174.32967064896343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7.7692307692307692</v>
      </c>
      <c r="AI14" s="14">
        <f>IF('Données projet'!$A$62&gt;35,AI13+AH14-AQ13,IF(A14&lt;'Données projet'!$A$62,$AF$205^A14,IF(A14='Données projet'!$A$62,'Données projet'!$B$62,AI13+AH14-AQ13)))</f>
        <v>49.65514327640404</v>
      </c>
      <c r="AJ14" s="14">
        <f>AI14*VLOOKUP('Données projet'!$B$10,Paramètres!$A$1:$I$89,3,0)*VLOOKUP('Données projet'!$B$10,Paramètres!$A$1:$I$89,5,0)</f>
        <v>29.693775679289619</v>
      </c>
      <c r="AK14" s="14">
        <f t="shared" si="35"/>
        <v>9.2214503640117265</v>
      </c>
      <c r="AL14" s="22">
        <f t="shared" si="4"/>
        <v>67.777352025416505</v>
      </c>
      <c r="AM14" s="62">
        <f t="shared" si="5"/>
        <v>337.88846313652766</v>
      </c>
      <c r="AN14" s="62">
        <f ca="1">AVERAGE(OFFSET($AM$3,0,0,'Données projet'!$E$10+1,1))-AVERAGE(OFFSET($H$3,0,0,'Données projet'!$E$10+1,1))</f>
        <v>195.80903373714432</v>
      </c>
      <c r="AO14" s="62">
        <f t="shared" si="36"/>
        <v>388.30721786668977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1.2</v>
      </c>
      <c r="N15" s="14">
        <f>IF('Données projet'!$A$36&gt;35,N14+M15-V14,IF(A15&lt;'Données projet'!$A$36,$K$205^A15,IF(A15='Données projet'!$A$36,'Données projet'!$B$36,N14+M15-V14)))</f>
        <v>5.1170328173444979</v>
      </c>
      <c r="O15" s="14">
        <f>N15*VLOOKUP('Données projet'!$B$9,Paramètres!$A$1:$I$89,3,0)*VLOOKUP('Données projet'!$B$9,Paramètres!$A$1:$I$89,5,0)</f>
        <v>5.827276972391914</v>
      </c>
      <c r="P15" s="14">
        <f t="shared" si="33"/>
        <v>2.1873461833967758</v>
      </c>
      <c r="Q15" s="22">
        <f t="shared" si="2"/>
        <v>13.958801996331969</v>
      </c>
      <c r="R15" s="62">
        <f t="shared" si="0"/>
        <v>285.29213532966526</v>
      </c>
      <c r="S15" s="62">
        <f ca="1">AVERAGE(OFFSET($R$3,0,0,'Données projet'!$E$9+1,1))-AVERAGE(OFFSET($H$3,0,0,'Données projet'!$E$9+1,1))</f>
        <v>342.36307961726635</v>
      </c>
      <c r="T15" s="62">
        <f t="shared" si="34"/>
        <v>174.32967064896343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7.7692307692307692</v>
      </c>
      <c r="AI15" s="14">
        <f>IF('Données projet'!$A$62&gt;35,AI14+AH15-AQ14,IF(A15&lt;'Données projet'!$A$62,$AF$205^A15,IF(A15='Données projet'!$A$62,'Données projet'!$B$62,AI14+AH15-AQ14)))</f>
        <v>70.81786124218111</v>
      </c>
      <c r="AJ15" s="14">
        <f>AI15*VLOOKUP('Données projet'!$B$10,Paramètres!$A$1:$I$89,3,0)*VLOOKUP('Données projet'!$B$10,Paramètres!$A$1:$I$89,5,0)</f>
        <v>42.349081022824308</v>
      </c>
      <c r="AK15" s="14">
        <f t="shared" si="35"/>
        <v>12.61918812867636</v>
      </c>
      <c r="AL15" s="22">
        <f t="shared" si="4"/>
        <v>95.736402105530317</v>
      </c>
      <c r="AM15" s="62">
        <f t="shared" si="5"/>
        <v>367.06973543886363</v>
      </c>
      <c r="AN15" s="62">
        <f ca="1">AVERAGE(OFFSET($AM$3,0,0,'Données projet'!$E$10+1,1))-AVERAGE(OFFSET($H$3,0,0,'Données projet'!$E$10+1,1))</f>
        <v>195.80903373714432</v>
      </c>
      <c r="AO15" s="62">
        <f t="shared" si="36"/>
        <v>388.30721786668977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1.2</v>
      </c>
      <c r="N16" s="14">
        <f>IF('Données projet'!$A$36&gt;35,N15+M16-V15,IF(A16&lt;'Données projet'!$A$36,$K$205^A16,IF(A16='Données projet'!$A$36,'Données projet'!$B$36,N15+M16-V15)))</f>
        <v>5.8627726400958746</v>
      </c>
      <c r="O16" s="14">
        <f>N16*VLOOKUP('Données projet'!$B$9,Paramètres!$A$1:$I$89,3,0)*VLOOKUP('Données projet'!$B$9,Paramètres!$A$1:$I$89,5,0)</f>
        <v>6.6765254825411819</v>
      </c>
      <c r="P16" s="14">
        <f t="shared" si="33"/>
        <v>2.4667486337124225</v>
      </c>
      <c r="Q16" s="22">
        <f t="shared" si="2"/>
        <v>15.924535752475025</v>
      </c>
      <c r="R16" s="62">
        <f t="shared" si="0"/>
        <v>288.48009130803058</v>
      </c>
      <c r="S16" s="62">
        <f ca="1">AVERAGE(OFFSET($R$3,0,0,'Données projet'!$E$9+1,1))-AVERAGE(OFFSET($H$3,0,0,'Données projet'!$E$9+1,1))</f>
        <v>342.36307961726635</v>
      </c>
      <c r="T16" s="62">
        <f t="shared" si="34"/>
        <v>174.32967064896343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>
        <f>VLOOKUP(A16,'Données projet'!$A$61:$I$81,2,0)</f>
        <v>101</v>
      </c>
      <c r="AG16" s="13">
        <f>VLOOKUP(A16,'Données projet'!$A$61:$I$81,9,0)</f>
        <v>7.7692307692307692</v>
      </c>
      <c r="AH16" s="13">
        <f t="array" ref="AH16">INDEX(AG:AG,MIN(IF(ISNUMBER(AG16:AG212),ROW(AG16:AG212),"")))</f>
        <v>7.7692307692307692</v>
      </c>
      <c r="AI16" s="14">
        <f>IF('Données projet'!$A$62&gt;35,AI15+AH16-AQ15,IF(A16&lt;'Données projet'!$A$62,$AF$205^A16,IF(A16='Données projet'!$A$62,'Données projet'!$B$62,AI15+AH16-AQ15)))</f>
        <v>101</v>
      </c>
      <c r="AJ16" s="14">
        <f>AI16*VLOOKUP('Données projet'!$B$10,Paramètres!$A$1:$I$89,3,0)*VLOOKUP('Données projet'!$B$10,Paramètres!$A$1:$I$89,5,0)</f>
        <v>60.398000000000003</v>
      </c>
      <c r="AK16" s="14">
        <f t="shared" si="35"/>
        <v>17.26885714728807</v>
      </c>
      <c r="AL16" s="22">
        <f t="shared" si="4"/>
        <v>135.26977619819337</v>
      </c>
      <c r="AM16" s="62">
        <f t="shared" si="5"/>
        <v>407.82533175374891</v>
      </c>
      <c r="AN16" s="62">
        <f ca="1">AVERAGE(OFFSET($AM$3,0,0,'Données projet'!$E$10+1,1))-AVERAGE(OFFSET($H$3,0,0,'Données projet'!$E$10+1,1))</f>
        <v>195.80903373714432</v>
      </c>
      <c r="AO16" s="62">
        <f t="shared" si="36"/>
        <v>388.30721786668977</v>
      </c>
      <c r="AP16" s="16">
        <f>IF(ISNA(VLOOKUP(A16,'Données projet'!$A$61:$I$81,3,0)),0,VLOOKUP(A16,'Données projet'!$A$61:$I$81,3,0))</f>
        <v>1</v>
      </c>
      <c r="AQ16" s="16">
        <f>IF(ISNA(VLOOKUP(A16,'Données projet'!$A$61:$I$81,4,0)),0,VLOOKUP(A16,'Données projet'!$A$61:$I$81,4,0))</f>
        <v>28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1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18.958097589783147</v>
      </c>
      <c r="AX16" s="23">
        <f t="shared" si="6"/>
        <v>18.958097589783147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1.2</v>
      </c>
      <c r="N17" s="14">
        <f>IF('Données projet'!$A$36&gt;35,N16+M17-V16,IF(A17&lt;'Données projet'!$A$36,$K$205^A17,IF(A17='Données projet'!$A$36,'Données projet'!$B$36,N16+M17-V16)))</f>
        <v>6.7171941741218459</v>
      </c>
      <c r="O17" s="14">
        <f>N17*VLOOKUP('Données projet'!$B$9,Paramètres!$A$1:$I$89,3,0)*VLOOKUP('Données projet'!$B$9,Paramètres!$A$1:$I$89,5,0)</f>
        <v>7.6495407254899579</v>
      </c>
      <c r="P17" s="14">
        <f t="shared" si="33"/>
        <v>2.7818407841015893</v>
      </c>
      <c r="Q17" s="22">
        <f t="shared" si="2"/>
        <v>18.16798946253861</v>
      </c>
      <c r="R17" s="62">
        <f t="shared" si="0"/>
        <v>291.9457672403164</v>
      </c>
      <c r="S17" s="62">
        <f ca="1">AVERAGE(OFFSET($R$3,0,0,'Données projet'!$E$9+1,1))-AVERAGE(OFFSET($H$3,0,0,'Données projet'!$E$9+1,1))</f>
        <v>342.36307961726635</v>
      </c>
      <c r="T17" s="62">
        <f t="shared" si="34"/>
        <v>174.32967064896343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18.600000000000001</v>
      </c>
      <c r="AI17" s="14">
        <f>IF('Données projet'!$A$62&gt;35,AI16+AH17-AQ16,IF(A17&lt;'Données projet'!$A$62,$AF$205^A17,IF(A17='Données projet'!$A$62,'Données projet'!$B$62,AI16+AH17-AQ16)))</f>
        <v>91.6</v>
      </c>
      <c r="AJ17" s="14">
        <f>AI17*VLOOKUP('Données projet'!$B$10,Paramètres!$A$1:$I$89,3,0)*VLOOKUP('Données projet'!$B$10,Paramètres!$A$1:$I$89,5,0)</f>
        <v>54.776799999999994</v>
      </c>
      <c r="AK17" s="14">
        <f t="shared" si="35"/>
        <v>15.840762095818524</v>
      </c>
      <c r="AL17" s="22">
        <f t="shared" si="4"/>
        <v>122.99225398355058</v>
      </c>
      <c r="AM17" s="62">
        <f t="shared" si="5"/>
        <v>396.77003176132837</v>
      </c>
      <c r="AN17" s="62">
        <f ca="1">AVERAGE(OFFSET($AM$3,0,0,'Données projet'!$E$10+1,1))-AVERAGE(OFFSET($H$3,0,0,'Données projet'!$E$10+1,1))</f>
        <v>195.80903373714432</v>
      </c>
      <c r="AO17" s="62">
        <f t="shared" si="36"/>
        <v>388.30721786668977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13.405399364132007</v>
      </c>
      <c r="AX17" s="23">
        <f t="shared" si="6"/>
        <v>13.405399364132007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1.2</v>
      </c>
      <c r="N18" s="14">
        <f>IF('Données projet'!$A$36&gt;35,N17+M18-V17,IF(A18&lt;'Données projet'!$A$36,$K$205^A18,IF(A18='Données projet'!$A$36,'Données projet'!$B$36,N17+M18-V17)))</f>
        <v>7.6961363407260848</v>
      </c>
      <c r="O18" s="14">
        <f>N18*VLOOKUP('Données projet'!$B$9,Paramètres!$A$1:$I$89,3,0)*VLOOKUP('Données projet'!$B$9,Paramètres!$A$1:$I$89,5,0)</f>
        <v>8.7643600648188649</v>
      </c>
      <c r="P18" s="14">
        <f t="shared" si="33"/>
        <v>3.1371814875374633</v>
      </c>
      <c r="Q18" s="22">
        <f t="shared" si="2"/>
        <v>20.728518203687273</v>
      </c>
      <c r="R18" s="62">
        <f t="shared" si="0"/>
        <v>295.72851820368726</v>
      </c>
      <c r="S18" s="62">
        <f ca="1">AVERAGE(OFFSET($R$3,0,0,'Données projet'!$E$9+1,1))-AVERAGE(OFFSET($H$3,0,0,'Données projet'!$E$9+1,1))</f>
        <v>342.36307961726635</v>
      </c>
      <c r="T18" s="62">
        <f t="shared" si="34"/>
        <v>174.32967064896343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18.600000000000001</v>
      </c>
      <c r="AI18" s="14">
        <f>IF('Données projet'!$A$62&gt;35,AI17+AH18-AQ17,IF(A18&lt;'Données projet'!$A$62,$AF$205^A18,IF(A18='Données projet'!$A$62,'Données projet'!$B$62,AI17+AH18-AQ17)))</f>
        <v>110.19999999999999</v>
      </c>
      <c r="AJ18" s="14">
        <f>AI18*VLOOKUP('Données projet'!$B$10,Paramètres!$A$1:$I$89,3,0)*VLOOKUP('Données projet'!$B$10,Paramètres!$A$1:$I$89,5,0)</f>
        <v>65.899600000000007</v>
      </c>
      <c r="AK18" s="14">
        <f t="shared" si="35"/>
        <v>18.651634138580526</v>
      </c>
      <c r="AL18" s="22">
        <f t="shared" si="4"/>
        <v>147.26006612469442</v>
      </c>
      <c r="AM18" s="62">
        <f t="shared" si="5"/>
        <v>422.26006612469439</v>
      </c>
      <c r="AN18" s="62">
        <f ca="1">AVERAGE(OFFSET($AM$3,0,0,'Données projet'!$E$10+1,1))-AVERAGE(OFFSET($H$3,0,0,'Données projet'!$E$10+1,1))</f>
        <v>195.80903373714432</v>
      </c>
      <c r="AO18" s="62">
        <f t="shared" si="36"/>
        <v>388.30721786668977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9.4790487948915754</v>
      </c>
      <c r="AX18" s="23">
        <f t="shared" si="6"/>
        <v>9.4790487948915754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1.2</v>
      </c>
      <c r="N19" s="14">
        <f>IF('Données projet'!$A$36&gt;35,N18+M19-V18,IF(A19&lt;'Données projet'!$A$36,$K$205^A19,IF(A19='Données projet'!$A$36,'Données projet'!$B$36,N18+M19-V18)))</f>
        <v>8.8177463744060987</v>
      </c>
      <c r="O19" s="14">
        <f>N19*VLOOKUP('Données projet'!$B$9,Paramètres!$A$1:$I$89,3,0)*VLOOKUP('Données projet'!$B$9,Paramètres!$A$1:$I$89,5,0)</f>
        <v>10.041649571173666</v>
      </c>
      <c r="P19" s="14">
        <f t="shared" si="33"/>
        <v>3.537911925799258</v>
      </c>
      <c r="Q19" s="22">
        <f t="shared" si="2"/>
        <v>23.651069607227843</v>
      </c>
      <c r="R19" s="62">
        <f t="shared" si="0"/>
        <v>299.87329182945007</v>
      </c>
      <c r="S19" s="62">
        <f ca="1">AVERAGE(OFFSET($R$3,0,0,'Données projet'!$E$9+1,1))-AVERAGE(OFFSET($H$3,0,0,'Données projet'!$E$9+1,1))</f>
        <v>342.36307961726635</v>
      </c>
      <c r="T19" s="62">
        <f t="shared" si="34"/>
        <v>174.32967064896343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18.600000000000001</v>
      </c>
      <c r="AI19" s="14">
        <f>IF('Données projet'!$A$62&gt;35,AI18+AH19-AQ18,IF(A19&lt;'Données projet'!$A$62,$AF$205^A19,IF(A19='Données projet'!$A$62,'Données projet'!$B$62,AI18+AH19-AQ18)))</f>
        <v>128.79999999999998</v>
      </c>
      <c r="AJ19" s="14">
        <f>AI19*VLOOKUP('Données projet'!$B$10,Paramètres!$A$1:$I$89,3,0)*VLOOKUP('Données projet'!$B$10,Paramètres!$A$1:$I$89,5,0)</f>
        <v>77.022400000000005</v>
      </c>
      <c r="AK19" s="14">
        <f t="shared" si="35"/>
        <v>21.407546084466961</v>
      </c>
      <c r="AL19" s="22">
        <f t="shared" si="4"/>
        <v>171.43215609711328</v>
      </c>
      <c r="AM19" s="62">
        <f t="shared" si="5"/>
        <v>447.65437831933548</v>
      </c>
      <c r="AN19" s="62">
        <f ca="1">AVERAGE(OFFSET($AM$3,0,0,'Données projet'!$E$10+1,1))-AVERAGE(OFFSET($H$3,0,0,'Données projet'!$E$10+1,1))</f>
        <v>195.80903373714432</v>
      </c>
      <c r="AO19" s="62">
        <f t="shared" si="36"/>
        <v>388.30721786668977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6.7026996820660045</v>
      </c>
      <c r="AX19" s="23">
        <f t="shared" si="6"/>
        <v>6.7026996820660045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1.2</v>
      </c>
      <c r="N20" s="14">
        <f>IF('Données projet'!$A$36&gt;35,N19+M20-V19,IF(A20&lt;'Données projet'!$A$36,$K$205^A20,IF(A20='Données projet'!$A$36,'Données projet'!$B$36,N19+M20-V19)))</f>
        <v>10.102816228956828</v>
      </c>
      <c r="O20" s="14">
        <f>N20*VLOOKUP('Données projet'!$B$9,Paramètres!$A$1:$I$89,3,0)*VLOOKUP('Données projet'!$B$9,Paramètres!$A$1:$I$89,5,0)</f>
        <v>11.505087121536034</v>
      </c>
      <c r="P20" s="14">
        <f t="shared" si="33"/>
        <v>3.9898299937176129</v>
      </c>
      <c r="Q20" s="22">
        <f t="shared" si="2"/>
        <v>26.986980642400102</v>
      </c>
      <c r="R20" s="62">
        <f t="shared" si="0"/>
        <v>304.43142508684457</v>
      </c>
      <c r="S20" s="62">
        <f ca="1">AVERAGE(OFFSET($R$3,0,0,'Données projet'!$E$9+1,1))-AVERAGE(OFFSET($H$3,0,0,'Données projet'!$E$9+1,1))</f>
        <v>342.36307961726635</v>
      </c>
      <c r="T20" s="62">
        <f t="shared" si="34"/>
        <v>174.32967064896343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18.600000000000001</v>
      </c>
      <c r="AI20" s="14">
        <f>IF('Données projet'!$A$62&gt;35,AI19+AH20-AQ19,IF(A20&lt;'Données projet'!$A$62,$AF$205^A20,IF(A20='Données projet'!$A$62,'Données projet'!$B$62,AI19+AH20-AQ19)))</f>
        <v>147.39999999999998</v>
      </c>
      <c r="AJ20" s="14">
        <f>AI20*VLOOKUP('Données projet'!$B$10,Paramètres!$A$1:$I$89,3,0)*VLOOKUP('Données projet'!$B$10,Paramètres!$A$1:$I$89,5,0)</f>
        <v>88.145199999999988</v>
      </c>
      <c r="AK20" s="14">
        <f t="shared" si="35"/>
        <v>24.117351189004136</v>
      </c>
      <c r="AL20" s="22">
        <f t="shared" si="4"/>
        <v>195.52394332084884</v>
      </c>
      <c r="AM20" s="62">
        <f t="shared" si="5"/>
        <v>472.9683877652933</v>
      </c>
      <c r="AN20" s="62">
        <f ca="1">AVERAGE(OFFSET($AM$3,0,0,'Données projet'!$E$10+1,1))-AVERAGE(OFFSET($H$3,0,0,'Données projet'!$E$10+1,1))</f>
        <v>195.80903373714432</v>
      </c>
      <c r="AO20" s="62">
        <f t="shared" si="36"/>
        <v>388.30721786668977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4.7395243974457886</v>
      </c>
      <c r="AX20" s="23">
        <f t="shared" si="6"/>
        <v>4.7395243974457886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1.2</v>
      </c>
      <c r="N21" s="14">
        <f>IF('Données projet'!$A$36&gt;35,N20+M21-V20,IF(A21&lt;'Données projet'!$A$36,$K$205^A21,IF(A21='Données projet'!$A$36,'Données projet'!$B$36,N20+M21-V20)))</f>
        <v>11.575168010312384</v>
      </c>
      <c r="O21" s="14">
        <f>N21*VLOOKUP('Données projet'!$B$9,Paramètres!$A$1:$I$89,3,0)*VLOOKUP('Données projet'!$B$9,Paramètres!$A$1:$I$89,5,0)</f>
        <v>13.181801330143742</v>
      </c>
      <c r="P21" s="14">
        <f t="shared" si="33"/>
        <v>4.4994741849523159</v>
      </c>
      <c r="Q21" s="22">
        <f t="shared" si="2"/>
        <v>30.794888188792299</v>
      </c>
      <c r="R21" s="62">
        <f t="shared" si="0"/>
        <v>309.46155485545899</v>
      </c>
      <c r="S21" s="62">
        <f ca="1">AVERAGE(OFFSET($R$3,0,0,'Données projet'!$E$9+1,1))-AVERAGE(OFFSET($H$3,0,0,'Données projet'!$E$9+1,1))</f>
        <v>342.36307961726635</v>
      </c>
      <c r="T21" s="62">
        <f t="shared" si="34"/>
        <v>174.32967064896343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>
        <f>VLOOKUP(A21,'Données projet'!$A$61:$I$81,2,0)</f>
        <v>166</v>
      </c>
      <c r="AG21" s="13">
        <f>VLOOKUP(A21,'Données projet'!$A$61:$I$81,9,0)</f>
        <v>18.600000000000001</v>
      </c>
      <c r="AH21" s="13">
        <f t="array" ref="AH21">INDEX(AG:AG,MIN(IF(ISNUMBER(AG21:AG217),ROW(AG21:AG217),"")))</f>
        <v>18.600000000000001</v>
      </c>
      <c r="AI21" s="14">
        <f>IF('Données projet'!$A$62&gt;35,AI20+AH21-AQ20,IF(A21&lt;'Données projet'!$A$62,$AF$205^A21,IF(A21='Données projet'!$A$62,'Données projet'!$B$62,AI20+AH21-AQ20)))</f>
        <v>165.99999999999997</v>
      </c>
      <c r="AJ21" s="14">
        <f>AI21*VLOOKUP('Données projet'!$B$10,Paramètres!$A$1:$I$89,3,0)*VLOOKUP('Données projet'!$B$10,Paramètres!$A$1:$I$89,5,0)</f>
        <v>99.267999999999986</v>
      </c>
      <c r="AK21" s="14">
        <f t="shared" si="35"/>
        <v>26.78753414535981</v>
      </c>
      <c r="AL21" s="22">
        <f t="shared" si="4"/>
        <v>219.54672196983498</v>
      </c>
      <c r="AM21" s="62">
        <f t="shared" si="5"/>
        <v>498.21338863650169</v>
      </c>
      <c r="AN21" s="62">
        <f ca="1">AVERAGE(OFFSET($AM$3,0,0,'Données projet'!$E$10+1,1))-AVERAGE(OFFSET($H$3,0,0,'Données projet'!$E$10+1,1))</f>
        <v>195.80903373714432</v>
      </c>
      <c r="AO21" s="62">
        <f t="shared" si="36"/>
        <v>388.30721786668977</v>
      </c>
      <c r="AP21" s="16">
        <f>IF(ISNA(VLOOKUP(A21,'Données projet'!$A$61:$I$81,3,0)),0,VLOOKUP(A21,'Données projet'!$A$61:$I$81,3,0))</f>
        <v>2</v>
      </c>
      <c r="AQ21" s="16">
        <f>IF(ISNA(VLOOKUP(A21,'Données projet'!$A$61:$I$81,4,0)),0,VLOOKUP(A21,'Données projet'!$A$61:$I$81,4,0))</f>
        <v>40</v>
      </c>
      <c r="AR21" s="17">
        <f>IF(ISNA(VLOOKUP(A21,'Données projet'!$A$61:$I$81,5,0)),0%,VLOOKUP(A21,'Données projet'!$A$61:$I$81,5,0)*VLOOKUP('Données projet'!$B$10,Paramètres!$A$1:$I$89,7,0))</f>
        <v>0.1125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0.75</v>
      </c>
      <c r="AU21" s="23">
        <f>EXP(-LN(2)/35)*AU20+(1-EXP(-LN(2)/35))/(LN(2)/35)*AQ21*AR21*VLOOKUP('Données projet'!$B$10,Paramètres!$A$1:$I$89,3,0)*0.475*44/12</f>
        <v>3.5697849495878025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23.663597258657802</v>
      </c>
      <c r="AX21" s="23">
        <f t="shared" si="6"/>
        <v>27.233382208245605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1.2</v>
      </c>
      <c r="N22" s="14">
        <f>IF('Données projet'!$A$36&gt;35,N21+M22-V21,IF(A22&lt;'Données projet'!$A$36,$K$205^A22,IF(A22='Données projet'!$A$36,'Données projet'!$B$36,N21+M22-V21)))</f>
        <v>13.262095581124292</v>
      </c>
      <c r="O22" s="14">
        <f>N22*VLOOKUP('Données projet'!$B$9,Paramètres!$A$1:$I$89,3,0)*VLOOKUP('Données projet'!$B$9,Paramètres!$A$1:$I$89,5,0)</f>
        <v>15.102874447784345</v>
      </c>
      <c r="P22" s="14">
        <f t="shared" si="33"/>
        <v>5.074218192988301</v>
      </c>
      <c r="Q22" s="22">
        <f t="shared" si="2"/>
        <v>35.141769682679019</v>
      </c>
      <c r="R22" s="62">
        <f t="shared" si="0"/>
        <v>315.03065857156787</v>
      </c>
      <c r="S22" s="62">
        <f ca="1">AVERAGE(OFFSET($R$3,0,0,'Données projet'!$E$9+1,1))-AVERAGE(OFFSET($H$3,0,0,'Données projet'!$E$9+1,1))</f>
        <v>342.36307961726635</v>
      </c>
      <c r="T22" s="62">
        <f t="shared" si="34"/>
        <v>174.32967064896343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17.8</v>
      </c>
      <c r="AI22" s="14">
        <f>IF('Données projet'!$A$62&gt;35,AI21+AH22-AQ21,IF(A22&lt;'Données projet'!$A$62,$AF$205^A22,IF(A22='Données projet'!$A$62,'Données projet'!$B$62,AI21+AH22-AQ21)))</f>
        <v>143.79999999999998</v>
      </c>
      <c r="AJ22" s="14">
        <f>AI22*VLOOKUP('Données projet'!$B$10,Paramètres!$A$1:$I$89,3,0)*VLOOKUP('Données projet'!$B$10,Paramètres!$A$1:$I$89,5,0)</f>
        <v>85.992400000000004</v>
      </c>
      <c r="AK22" s="14">
        <f t="shared" si="35"/>
        <v>23.596141005324462</v>
      </c>
      <c r="AL22" s="22">
        <f t="shared" si="4"/>
        <v>190.86670891760676</v>
      </c>
      <c r="AM22" s="62">
        <f t="shared" si="5"/>
        <v>470.75559780649564</v>
      </c>
      <c r="AN22" s="62">
        <f ca="1">AVERAGE(OFFSET($AM$3,0,0,'Données projet'!$E$10+1,1))-AVERAGE(OFFSET($H$3,0,0,'Données projet'!$E$10+1,1))</f>
        <v>195.80903373714432</v>
      </c>
      <c r="AO22" s="62">
        <f t="shared" si="36"/>
        <v>388.30721786668977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3.499783644080209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16.732690088864331</v>
      </c>
      <c r="AX22" s="23">
        <f t="shared" si="6"/>
        <v>20.232473732944541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1.2</v>
      </c>
      <c r="N23" s="14">
        <f>IF('Données projet'!$A$36&gt;35,N22+M23-V22,IF(A23&lt;'Données projet'!$A$36,$K$205^A23,IF(A23='Données projet'!$A$36,'Données projet'!$B$36,N22+M23-V22)))</f>
        <v>15.194870523363559</v>
      </c>
      <c r="O23" s="14">
        <f>N23*VLOOKUP('Données projet'!$B$9,Paramètres!$A$1:$I$89,3,0)*VLOOKUP('Données projet'!$B$9,Paramètres!$A$1:$I$89,5,0)</f>
        <v>17.303918552006422</v>
      </c>
      <c r="P23" s="14">
        <f t="shared" si="33"/>
        <v>5.7223775960671075</v>
      </c>
      <c r="Q23" s="22">
        <f t="shared" si="2"/>
        <v>40.104132457894728</v>
      </c>
      <c r="R23" s="62">
        <f t="shared" si="0"/>
        <v>321.21524356900585</v>
      </c>
      <c r="S23" s="62">
        <f ca="1">AVERAGE(OFFSET($R$3,0,0,'Données projet'!$E$9+1,1))-AVERAGE(OFFSET($H$3,0,0,'Données projet'!$E$9+1,1))</f>
        <v>342.36307961726635</v>
      </c>
      <c r="T23" s="62">
        <f t="shared" si="34"/>
        <v>174.32967064896343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17.8</v>
      </c>
      <c r="AI23" s="14">
        <f>IF('Données projet'!$A$62&gt;35,AI22+AH23-AQ22,IF(A23&lt;'Données projet'!$A$62,$AF$205^A23,IF(A23='Données projet'!$A$62,'Données projet'!$B$62,AI22+AH23-AQ22)))</f>
        <v>161.6</v>
      </c>
      <c r="AJ23" s="14">
        <f>AI23*VLOOKUP('Données projet'!$B$10,Paramètres!$A$1:$I$89,3,0)*VLOOKUP('Données projet'!$B$10,Paramètres!$A$1:$I$89,5,0)</f>
        <v>96.636800000000008</v>
      </c>
      <c r="AK23" s="14">
        <f t="shared" si="35"/>
        <v>26.159173215164081</v>
      </c>
      <c r="AL23" s="22">
        <f t="shared" si="4"/>
        <v>213.86965334974411</v>
      </c>
      <c r="AM23" s="62">
        <f t="shared" si="5"/>
        <v>494.98076446085526</v>
      </c>
      <c r="AN23" s="62">
        <f ca="1">AVERAGE(OFFSET($AM$3,0,0,'Données projet'!$E$10+1,1))-AVERAGE(OFFSET($H$3,0,0,'Données projet'!$E$10+1,1))</f>
        <v>195.80903373714432</v>
      </c>
      <c r="AO23" s="62">
        <f t="shared" si="36"/>
        <v>388.30721786668977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3.4311550214770392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11.831798629328903</v>
      </c>
      <c r="AX23" s="23">
        <f t="shared" si="6"/>
        <v>15.262953650805942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1.2</v>
      </c>
      <c r="N24" s="14">
        <f>IF('Données projet'!$A$36&gt;35,N23+M24-V23,IF(A24&lt;'Données projet'!$A$36,$K$205^A24,IF(A24='Données projet'!$A$36,'Données projet'!$B$36,N23+M24-V23)))</f>
        <v>17.409321838276906</v>
      </c>
      <c r="O24" s="14">
        <f>N24*VLOOKUP('Données projet'!$B$9,Paramètres!$A$1:$I$89,3,0)*VLOOKUP('Données projet'!$B$9,Paramètres!$A$1:$I$89,5,0)</f>
        <v>19.82573570942974</v>
      </c>
      <c r="P24" s="14">
        <f t="shared" si="33"/>
        <v>6.4533301696051613</v>
      </c>
      <c r="Q24" s="22">
        <f t="shared" si="2"/>
        <v>45.769373072652449</v>
      </c>
      <c r="R24" s="62">
        <f t="shared" si="0"/>
        <v>328.10270640598577</v>
      </c>
      <c r="S24" s="62">
        <f ca="1">AVERAGE(OFFSET($R$3,0,0,'Données projet'!$E$9+1,1))-AVERAGE(OFFSET($H$3,0,0,'Données projet'!$E$9+1,1))</f>
        <v>342.36307961726635</v>
      </c>
      <c r="T24" s="62">
        <f t="shared" si="34"/>
        <v>174.32967064896343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17.8</v>
      </c>
      <c r="AI24" s="14">
        <f>IF('Données projet'!$A$62&gt;35,AI23+AH24-AQ23,IF(A24&lt;'Données projet'!$A$62,$AF$205^A24,IF(A24='Données projet'!$A$62,'Données projet'!$B$62,AI23+AH24-AQ23)))</f>
        <v>179.4</v>
      </c>
      <c r="AJ24" s="14">
        <f>AI24*VLOOKUP('Données projet'!$B$10,Paramètres!$A$1:$I$89,3,0)*VLOOKUP('Données projet'!$B$10,Paramètres!$A$1:$I$89,5,0)</f>
        <v>107.2812</v>
      </c>
      <c r="AK24" s="14">
        <f t="shared" si="35"/>
        <v>28.68948404302737</v>
      </c>
      <c r="AL24" s="22">
        <f t="shared" si="4"/>
        <v>236.81560804160597</v>
      </c>
      <c r="AM24" s="62">
        <f t="shared" si="5"/>
        <v>519.14894137493934</v>
      </c>
      <c r="AN24" s="62">
        <f ca="1">AVERAGE(OFFSET($AM$3,0,0,'Données projet'!$E$10+1,1))-AVERAGE(OFFSET($H$3,0,0,'Données projet'!$E$10+1,1))</f>
        <v>195.80903373714432</v>
      </c>
      <c r="AO24" s="62">
        <f t="shared" si="36"/>
        <v>388.30721786668977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3.3638721643037908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8.3663450444321654</v>
      </c>
      <c r="AX24" s="23">
        <f t="shared" si="6"/>
        <v>11.730217208735956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1.2</v>
      </c>
      <c r="N25" s="14">
        <f>IF('Données projet'!$A$36&gt;35,N24+M25-V24,IF(A25&lt;'Données projet'!$A$36,$K$205^A25,IF(A25='Données projet'!$A$36,'Données projet'!$B$36,N24+M25-V24)))</f>
        <v>19.946500129940819</v>
      </c>
      <c r="O25" s="14">
        <f>N25*VLOOKUP('Données projet'!$B$9,Paramètres!$A$1:$I$89,3,0)*VLOOKUP('Données projet'!$B$9,Paramètres!$A$1:$I$89,5,0)</f>
        <v>22.715074347976607</v>
      </c>
      <c r="P25" s="14">
        <f t="shared" si="33"/>
        <v>7.2776515668169814</v>
      </c>
      <c r="Q25" s="22">
        <f t="shared" si="2"/>
        <v>52.237330968265496</v>
      </c>
      <c r="R25" s="62">
        <f t="shared" si="0"/>
        <v>335.79288652382104</v>
      </c>
      <c r="S25" s="62">
        <f ca="1">AVERAGE(OFFSET($R$3,0,0,'Données projet'!$E$9+1,1))-AVERAGE(OFFSET($H$3,0,0,'Données projet'!$E$9+1,1))</f>
        <v>342.36307961726635</v>
      </c>
      <c r="T25" s="62">
        <f t="shared" si="34"/>
        <v>174.32967064896343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17.8</v>
      </c>
      <c r="AI25" s="14">
        <f>IF('Données projet'!$A$62&gt;35,AI24+AH25-AQ24,IF(A25&lt;'Données projet'!$A$62,$AF$205^A25,IF(A25='Données projet'!$A$62,'Données projet'!$B$62,AI24+AH25-AQ24)))</f>
        <v>197.20000000000002</v>
      </c>
      <c r="AJ25" s="14">
        <f>AI25*VLOOKUP('Données projet'!$B$10,Paramètres!$A$1:$I$89,3,0)*VLOOKUP('Données projet'!$B$10,Paramètres!$A$1:$I$89,5,0)</f>
        <v>117.92560000000003</v>
      </c>
      <c r="AK25" s="14">
        <f t="shared" si="35"/>
        <v>31.190689636070587</v>
      </c>
      <c r="AL25" s="22">
        <f t="shared" si="4"/>
        <v>259.71087111615634</v>
      </c>
      <c r="AM25" s="62">
        <f t="shared" si="5"/>
        <v>543.26642667171188</v>
      </c>
      <c r="AN25" s="62">
        <f ca="1">AVERAGE(OFFSET($AM$3,0,0,'Données projet'!$E$10+1,1))-AVERAGE(OFFSET($H$3,0,0,'Données projet'!$E$10+1,1))</f>
        <v>195.80903373714432</v>
      </c>
      <c r="AO25" s="62">
        <f t="shared" si="36"/>
        <v>388.30721786668977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3.2979086829212192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5.9158993146644514</v>
      </c>
      <c r="AX25" s="23">
        <f t="shared" si="6"/>
        <v>9.2138079975856702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1.2</v>
      </c>
      <c r="N26" s="14">
        <f>IF('Données projet'!$A$36&gt;35,N25+M26-V25,IF(A26&lt;'Données projet'!$A$36,$K$205^A26,IF(A26='Données projet'!$A$36,'Données projet'!$B$36,N25+M26-V25)))</f>
        <v>22.853438584779923</v>
      </c>
      <c r="O26" s="14">
        <f>N26*VLOOKUP('Données projet'!$B$9,Paramètres!$A$1:$I$89,3,0)*VLOOKUP('Données projet'!$B$9,Paramètres!$A$1:$I$89,5,0)</f>
        <v>26.025495860347377</v>
      </c>
      <c r="P26" s="14">
        <f t="shared" si="33"/>
        <v>8.2072683306135854</v>
      </c>
      <c r="Q26" s="22">
        <f t="shared" si="2"/>
        <v>59.622064299257012</v>
      </c>
      <c r="R26" s="62">
        <f t="shared" si="0"/>
        <v>344.3998420770348</v>
      </c>
      <c r="S26" s="62">
        <f ca="1">AVERAGE(OFFSET($R$3,0,0,'Données projet'!$E$9+1,1))-AVERAGE(OFFSET($H$3,0,0,'Données projet'!$E$9+1,1))</f>
        <v>342.36307961726635</v>
      </c>
      <c r="T26" s="62">
        <f t="shared" si="34"/>
        <v>174.32967064896343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>
        <f>VLOOKUP(A26,'Données projet'!$A$61:$I$81,2,0)</f>
        <v>215</v>
      </c>
      <c r="AG26" s="13">
        <f>VLOOKUP(A26,'Données projet'!$A$61:$I$81,9,0)</f>
        <v>17.8</v>
      </c>
      <c r="AH26" s="13">
        <f t="array" ref="AH26">INDEX(AG:AG,MIN(IF(ISNUMBER(AG26:AG222),ROW(AG26:AG222),"")))</f>
        <v>17.8</v>
      </c>
      <c r="AI26" s="14">
        <f>IF('Données projet'!$A$62&gt;35,AI25+AH26-AQ25,IF(A26&lt;'Données projet'!$A$62,$AF$205^A26,IF(A26='Données projet'!$A$62,'Données projet'!$B$62,AI25+AH26-AQ25)))</f>
        <v>215.00000000000003</v>
      </c>
      <c r="AJ26" s="14">
        <f>AI26*VLOOKUP('Données projet'!$B$10,Paramètres!$A$1:$I$89,3,0)*VLOOKUP('Données projet'!$B$10,Paramètres!$A$1:$I$89,5,0)</f>
        <v>128.57000000000002</v>
      </c>
      <c r="AK26" s="14">
        <f t="shared" si="35"/>
        <v>33.665715905233277</v>
      </c>
      <c r="AL26" s="22">
        <f t="shared" si="4"/>
        <v>282.56053853494797</v>
      </c>
      <c r="AM26" s="62">
        <f t="shared" si="5"/>
        <v>567.33831631272574</v>
      </c>
      <c r="AN26" s="62">
        <f ca="1">AVERAGE(OFFSET($AM$3,0,0,'Données projet'!$E$10+1,1))-AVERAGE(OFFSET($H$3,0,0,'Données projet'!$E$10+1,1))</f>
        <v>195.80903373714432</v>
      </c>
      <c r="AO26" s="62">
        <f t="shared" si="36"/>
        <v>388.30721786668977</v>
      </c>
      <c r="AP26" s="16">
        <f>IF(ISNA(VLOOKUP(A26,'Données projet'!$A$61:$I$81,3,0)),0,VLOOKUP(A26,'Données projet'!$A$61:$I$81,3,0))</f>
        <v>3</v>
      </c>
      <c r="AQ26" s="16">
        <f>IF(ISNA(VLOOKUP(A26,'Données projet'!$A$61:$I$81,4,0)),0,VLOOKUP(A26,'Données projet'!$A$61:$I$81,4,0))</f>
        <v>52</v>
      </c>
      <c r="AR26" s="17">
        <f>IF(ISNA(VLOOKUP(A26,'Données projet'!$A$61:$I$81,5,0)),0%,VLOOKUP(A26,'Données projet'!$A$61:$I$81,5,0)*VLOOKUP('Données projet'!$B$10,Paramètres!$A$1:$I$89,7,0))</f>
        <v>0.22500000000000001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0.5</v>
      </c>
      <c r="AU26" s="23">
        <f>EXP(-LN(2)/35)*AU25+(1-EXP(-LN(2)/35))/(LN(2)/35)*AQ26*AR26*VLOOKUP('Données projet'!$B$10,Paramètres!$A$1:$I$89,3,0)*0.475*44/12</f>
        <v>12.514679574103097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21.787120284157577</v>
      </c>
      <c r="AX26" s="23">
        <f t="shared" si="6"/>
        <v>34.301799858260672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1.2</v>
      </c>
      <c r="N27" s="14">
        <f>IF('Données projet'!$A$36&gt;35,N26+M27-V26,IF(A27&lt;'Données projet'!$A$36,$K$205^A27,IF(A27='Données projet'!$A$36,'Données projet'!$B$36,N26+M27-V26)))</f>
        <v>26.184024853780567</v>
      </c>
      <c r="O27" s="14">
        <f>N27*VLOOKUP('Données projet'!$B$9,Paramètres!$A$1:$I$89,3,0)*VLOOKUP('Données projet'!$B$9,Paramètres!$A$1:$I$89,5,0)</f>
        <v>29.818367503485312</v>
      </c>
      <c r="P27" s="14">
        <f t="shared" si="33"/>
        <v>9.255630450600643</v>
      </c>
      <c r="Q27" s="22">
        <f t="shared" si="2"/>
        <v>68.053879770033035</v>
      </c>
      <c r="R27" s="62">
        <f t="shared" si="0"/>
        <v>354.05387977003306</v>
      </c>
      <c r="S27" s="62">
        <f ca="1">AVERAGE(OFFSET($R$3,0,0,'Données projet'!$E$9+1,1))-AVERAGE(OFFSET($H$3,0,0,'Données projet'!$E$9+1,1))</f>
        <v>342.36307961726635</v>
      </c>
      <c r="T27" s="62">
        <f t="shared" si="34"/>
        <v>174.32967064896343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15.142857142857142</v>
      </c>
      <c r="AI27" s="14">
        <f>IF('Données projet'!$A$62&gt;35,AI26+AH27-AQ26,IF(A27&lt;'Données projet'!$A$62,$AF$205^A27,IF(A27='Données projet'!$A$62,'Données projet'!$B$62,AI26+AH27-AQ26)))</f>
        <v>178.14285714285717</v>
      </c>
      <c r="AJ27" s="14">
        <f>AI27*VLOOKUP('Données projet'!$B$10,Paramètres!$A$1:$I$89,3,0)*VLOOKUP('Données projet'!$B$10,Paramètres!$A$1:$I$89,5,0)</f>
        <v>106.5294285714286</v>
      </c>
      <c r="AK27" s="14">
        <f t="shared" si="35"/>
        <v>28.511771457031461</v>
      </c>
      <c r="AL27" s="22">
        <f t="shared" si="4"/>
        <v>235.19675671623455</v>
      </c>
      <c r="AM27" s="62">
        <f t="shared" si="5"/>
        <v>521.19675671623452</v>
      </c>
      <c r="AN27" s="62">
        <f ca="1">AVERAGE(OFFSET($AM$3,0,0,'Données projet'!$E$10+1,1))-AVERAGE(OFFSET($H$3,0,0,'Données projet'!$E$10+1,1))</f>
        <v>195.80903373714432</v>
      </c>
      <c r="AO27" s="62">
        <f t="shared" si="36"/>
        <v>388.30721786668977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12.269274340855759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15.405820495454805</v>
      </c>
      <c r="AX27" s="23">
        <f t="shared" si="6"/>
        <v>27.675094836310564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30</v>
      </c>
      <c r="L28" s="13">
        <f>VLOOKUP(A28,'Données projet'!$A$35:$I$55,9,0)</f>
        <v>1.2</v>
      </c>
      <c r="M28" s="13">
        <f t="array" ref="M28">INDEX(L:L,MIN(IF(ISNUMBER(L28:L224),ROW(L28:L224),"")))</f>
        <v>1.2</v>
      </c>
      <c r="N28" s="14">
        <f>IF('Données projet'!$A$36&gt;35,N27+M28-V27,IF(A28&lt;'Données projet'!$A$36,$K$205^A28,IF(A28='Données projet'!$A$36,'Données projet'!$B$36,N27+M28-V27)))</f>
        <v>30</v>
      </c>
      <c r="O28" s="14">
        <f>N28*VLOOKUP('Données projet'!$B$9,Paramètres!$A$1:$I$89,3,0)*VLOOKUP('Données projet'!$B$9,Paramètres!$A$1:$I$89,5,0)</f>
        <v>34.164000000000001</v>
      </c>
      <c r="P28" s="14">
        <f t="shared" si="33"/>
        <v>10.43790596178561</v>
      </c>
      <c r="Q28" s="22">
        <f t="shared" si="2"/>
        <v>77.681652883443277</v>
      </c>
      <c r="R28" s="62">
        <f t="shared" si="0"/>
        <v>364.90387510566552</v>
      </c>
      <c r="S28" s="62">
        <f ca="1">AVERAGE(OFFSET($R$3,0,0,'Données projet'!$E$9+1,1))-AVERAGE(OFFSET($H$3,0,0,'Données projet'!$E$9+1,1))</f>
        <v>342.36307961726635</v>
      </c>
      <c r="T28" s="62">
        <f t="shared" si="34"/>
        <v>174.32967064896343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15.142857142857142</v>
      </c>
      <c r="AI28" s="14">
        <f>IF('Données projet'!$A$62&gt;35,AI27+AH28-AQ27,IF(A28&lt;'Données projet'!$A$62,$AF$205^A28,IF(A28='Données projet'!$A$62,'Données projet'!$B$62,AI27+AH28-AQ27)))</f>
        <v>193.28571428571431</v>
      </c>
      <c r="AJ28" s="14">
        <f>AI28*VLOOKUP('Données projet'!$B$10,Paramètres!$A$1:$I$89,3,0)*VLOOKUP('Données projet'!$B$10,Paramètres!$A$1:$I$89,5,0)</f>
        <v>115.58485714285716</v>
      </c>
      <c r="AK28" s="14">
        <f t="shared" si="35"/>
        <v>30.643003864758004</v>
      </c>
      <c r="AL28" s="22">
        <f t="shared" si="4"/>
        <v>254.68019125492972</v>
      </c>
      <c r="AM28" s="62">
        <f t="shared" si="5"/>
        <v>541.90241347715198</v>
      </c>
      <c r="AN28" s="62">
        <f ca="1">AVERAGE(OFFSET($AM$3,0,0,'Données projet'!$E$10+1,1))-AVERAGE(OFFSET($H$3,0,0,'Données projet'!$E$10+1,1))</f>
        <v>195.80903373714432</v>
      </c>
      <c r="AO28" s="62">
        <f t="shared" si="36"/>
        <v>388.30721786668977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12.02868135454999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10.89356014207879</v>
      </c>
      <c r="AX28" s="23">
        <f t="shared" si="6"/>
        <v>22.922241496628779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4.8</v>
      </c>
      <c r="N29" s="14">
        <f>IF('Données projet'!$A$36&gt;35,N28+M29-V28,IF(A29&lt;'Données projet'!$A$36,$K$205^A29,IF(A29='Données projet'!$A$36,'Données projet'!$B$36,N28+M29-V28)))</f>
        <v>34.799999999999997</v>
      </c>
      <c r="O29" s="14">
        <f>N29*VLOOKUP('Données projet'!$B$9,Paramètres!$A$1:$I$89,3,0)*VLOOKUP('Données projet'!$B$9,Paramètres!$A$1:$I$89,5,0)</f>
        <v>39.630239999999993</v>
      </c>
      <c r="P29" s="14">
        <f t="shared" si="33"/>
        <v>11.900589068958134</v>
      </c>
      <c r="Q29" s="22">
        <f t="shared" si="2"/>
        <v>89.749527295102055</v>
      </c>
      <c r="R29" s="62">
        <f t="shared" si="0"/>
        <v>378.1939717395465</v>
      </c>
      <c r="S29" s="62">
        <f ca="1">AVERAGE(OFFSET($R$3,0,0,'Données projet'!$E$9+1,1))-AVERAGE(OFFSET($H$3,0,0,'Données projet'!$E$9+1,1))</f>
        <v>342.36307961726635</v>
      </c>
      <c r="T29" s="62">
        <f t="shared" si="34"/>
        <v>174.32967064896343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15.142857142857142</v>
      </c>
      <c r="AI29" s="14">
        <f>IF('Données projet'!$A$62&gt;35,AI28+AH29-AQ28,IF(A29&lt;'Données projet'!$A$62,$AF$205^A29,IF(A29='Données projet'!$A$62,'Données projet'!$B$62,AI28+AH29-AQ28)))</f>
        <v>208.42857142857144</v>
      </c>
      <c r="AJ29" s="14">
        <f>AI29*VLOOKUP('Données projet'!$B$10,Paramètres!$A$1:$I$89,3,0)*VLOOKUP('Données projet'!$B$10,Paramètres!$A$1:$I$89,5,0)</f>
        <v>124.64028571428574</v>
      </c>
      <c r="AK29" s="14">
        <f t="shared" si="35"/>
        <v>32.754868392894572</v>
      </c>
      <c r="AL29" s="22">
        <f t="shared" si="4"/>
        <v>274.129893403339</v>
      </c>
      <c r="AM29" s="62">
        <f t="shared" si="5"/>
        <v>562.57433784778345</v>
      </c>
      <c r="AN29" s="62">
        <f ca="1">AVERAGE(OFFSET($AM$3,0,0,'Données projet'!$E$10+1,1))-AVERAGE(OFFSET($H$3,0,0,'Données projet'!$E$10+1,1))</f>
        <v>195.80903373714432</v>
      </c>
      <c r="AO29" s="62">
        <f t="shared" si="36"/>
        <v>388.30721786668977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11.792806249958446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7.7029102477274032</v>
      </c>
      <c r="AX29" s="23">
        <f t="shared" si="6"/>
        <v>19.495716497685848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4.8</v>
      </c>
      <c r="N30" s="14">
        <f>IF('Données projet'!$A$36&gt;35,N29+M30-V29,IF(A30&lt;'Données projet'!$A$36,$K$205^A30,IF(A30='Données projet'!$A$36,'Données projet'!$B$36,N29+M30-V29)))</f>
        <v>39.599999999999994</v>
      </c>
      <c r="O30" s="14">
        <f>N30*VLOOKUP('Données projet'!$B$9,Paramètres!$A$1:$I$89,3,0)*VLOOKUP('Données projet'!$B$9,Paramètres!$A$1:$I$89,5,0)</f>
        <v>45.096479999999993</v>
      </c>
      <c r="P30" s="14">
        <f t="shared" si="33"/>
        <v>13.339897895146274</v>
      </c>
      <c r="Q30" s="22">
        <f t="shared" si="2"/>
        <v>101.77669150071307</v>
      </c>
      <c r="R30" s="62">
        <f t="shared" si="0"/>
        <v>391.44335816737976</v>
      </c>
      <c r="S30" s="62">
        <f ca="1">AVERAGE(OFFSET($R$3,0,0,'Données projet'!$E$9+1,1))-AVERAGE(OFFSET($H$3,0,0,'Données projet'!$E$9+1,1))</f>
        <v>342.36307961726635</v>
      </c>
      <c r="T30" s="62">
        <f t="shared" si="34"/>
        <v>174.32967064896343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15.142857142857142</v>
      </c>
      <c r="AI30" s="14">
        <f>IF('Données projet'!$A$62&gt;35,AI29+AH30-AQ29,IF(A30&lt;'Données projet'!$A$62,$AF$205^A30,IF(A30='Données projet'!$A$62,'Données projet'!$B$62,AI29+AH30-AQ29)))</f>
        <v>223.57142857142858</v>
      </c>
      <c r="AJ30" s="14">
        <f>AI30*VLOOKUP('Données projet'!$B$10,Paramètres!$A$1:$I$89,3,0)*VLOOKUP('Données projet'!$B$10,Paramètres!$A$1:$I$89,5,0)</f>
        <v>133.6957142857143</v>
      </c>
      <c r="AK30" s="14">
        <f t="shared" si="35"/>
        <v>34.848932189999701</v>
      </c>
      <c r="AL30" s="22">
        <f t="shared" si="4"/>
        <v>293.54859261186851</v>
      </c>
      <c r="AM30" s="62">
        <f t="shared" si="5"/>
        <v>583.2152592785352</v>
      </c>
      <c r="AN30" s="62">
        <f ca="1">AVERAGE(OFFSET($AM$3,0,0,'Données projet'!$E$10+1,1))-AVERAGE(OFFSET($H$3,0,0,'Données projet'!$E$10+1,1))</f>
        <v>195.80903373714432</v>
      </c>
      <c r="AO30" s="62">
        <f t="shared" si="36"/>
        <v>388.30721786668977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11.561556512298333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5.4467800710393961</v>
      </c>
      <c r="AX30" s="23">
        <f t="shared" si="6"/>
        <v>17.00833658333773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4.8</v>
      </c>
      <c r="N31" s="14">
        <f>IF('Données projet'!$A$36&gt;35,N30+M31-V30,IF(A31&lt;'Données projet'!$A$36,$K$205^A31,IF(A31='Données projet'!$A$36,'Données projet'!$B$36,N30+M31-V30)))</f>
        <v>44.399999999999991</v>
      </c>
      <c r="O31" s="14">
        <f>N31*VLOOKUP('Données projet'!$B$9,Paramètres!$A$1:$I$89,3,0)*VLOOKUP('Données projet'!$B$9,Paramètres!$A$1:$I$89,5,0)</f>
        <v>50.562719999999992</v>
      </c>
      <c r="P31" s="14">
        <f t="shared" si="33"/>
        <v>14.758989764964552</v>
      </c>
      <c r="Q31" s="22">
        <f t="shared" si="2"/>
        <v>113.76864450731324</v>
      </c>
      <c r="R31" s="62">
        <f t="shared" si="0"/>
        <v>404.6575333962021</v>
      </c>
      <c r="S31" s="62">
        <f ca="1">AVERAGE(OFFSET($R$3,0,0,'Données projet'!$E$9+1,1))-AVERAGE(OFFSET($H$3,0,0,'Données projet'!$E$9+1,1))</f>
        <v>342.36307961726635</v>
      </c>
      <c r="T31" s="62">
        <f t="shared" si="34"/>
        <v>174.32967064896343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15.142857142857142</v>
      </c>
      <c r="AI31" s="14">
        <f>IF('Données projet'!$A$62&gt;35,AI30+AH31-AQ30,IF(A31&lt;'Données projet'!$A$62,$AF$205^A31,IF(A31='Données projet'!$A$62,'Données projet'!$B$62,AI30+AH31-AQ30)))</f>
        <v>238.71428571428572</v>
      </c>
      <c r="AJ31" s="14">
        <f>AI31*VLOOKUP('Données projet'!$B$10,Paramètres!$A$1:$I$89,3,0)*VLOOKUP('Données projet'!$B$10,Paramètres!$A$1:$I$89,5,0)</f>
        <v>142.75114285714287</v>
      </c>
      <c r="AK31" s="14">
        <f t="shared" si="35"/>
        <v>36.926538099571019</v>
      </c>
      <c r="AL31" s="22">
        <f t="shared" si="4"/>
        <v>312.93862766627666</v>
      </c>
      <c r="AM31" s="62">
        <f t="shared" si="5"/>
        <v>603.82751655516552</v>
      </c>
      <c r="AN31" s="62">
        <f ca="1">AVERAGE(OFFSET($AM$3,0,0,'Données projet'!$E$10+1,1))-AVERAGE(OFFSET($H$3,0,0,'Données projet'!$E$10+1,1))</f>
        <v>195.80903373714432</v>
      </c>
      <c r="AO31" s="62">
        <f t="shared" si="36"/>
        <v>388.30721786668977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11.334841440945322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3.8514551238637025</v>
      </c>
      <c r="AX31" s="23">
        <f t="shared" si="6"/>
        <v>15.186296564809025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4.8</v>
      </c>
      <c r="N32" s="14">
        <f>IF('Données projet'!$A$36&gt;35,N31+M32-V31,IF(A32&lt;'Données projet'!$A$36,$K$205^A32,IF(A32='Données projet'!$A$36,'Données projet'!$B$36,N31+M32-V31)))</f>
        <v>49.199999999999989</v>
      </c>
      <c r="O32" s="14">
        <f>N32*VLOOKUP('Données projet'!$B$9,Paramètres!$A$1:$I$89,3,0)*VLOOKUP('Données projet'!$B$9,Paramètres!$A$1:$I$89,5,0)</f>
        <v>56.028959999999984</v>
      </c>
      <c r="P32" s="14">
        <f t="shared" si="33"/>
        <v>16.160299450101345</v>
      </c>
      <c r="Q32" s="22">
        <f t="shared" si="2"/>
        <v>125.72962687559315</v>
      </c>
      <c r="R32" s="62">
        <f t="shared" si="0"/>
        <v>417.84073798670431</v>
      </c>
      <c r="S32" s="62">
        <f ca="1">AVERAGE(OFFSET($R$3,0,0,'Données projet'!$E$9+1,1))-AVERAGE(OFFSET($H$3,0,0,'Données projet'!$E$9+1,1))</f>
        <v>342.36307961726635</v>
      </c>
      <c r="T32" s="62">
        <f t="shared" si="34"/>
        <v>174.32967064896343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15.142857142857142</v>
      </c>
      <c r="AI32" s="14">
        <f>IF('Données projet'!$A$62&gt;35,AI31+AH32-AQ31,IF(A32&lt;'Données projet'!$A$62,$AF$205^A32,IF(A32='Données projet'!$A$62,'Données projet'!$B$62,AI31+AH32-AQ31)))</f>
        <v>253.85714285714286</v>
      </c>
      <c r="AJ32" s="14">
        <f>AI32*VLOOKUP('Données projet'!$B$10,Paramètres!$A$1:$I$89,3,0)*VLOOKUP('Données projet'!$B$10,Paramètres!$A$1:$I$89,5,0)</f>
        <v>151.80657142857146</v>
      </c>
      <c r="AK32" s="14">
        <f t="shared" si="35"/>
        <v>38.988848967460292</v>
      </c>
      <c r="AL32" s="22">
        <f t="shared" si="4"/>
        <v>332.30202385642195</v>
      </c>
      <c r="AM32" s="62">
        <f t="shared" si="5"/>
        <v>624.4131349675331</v>
      </c>
      <c r="AN32" s="62">
        <f ca="1">AVERAGE(OFFSET($AM$3,0,0,'Données projet'!$E$10+1,1))-AVERAGE(OFFSET($H$3,0,0,'Données projet'!$E$10+1,1))</f>
        <v>195.80903373714432</v>
      </c>
      <c r="AO32" s="62">
        <f t="shared" si="36"/>
        <v>388.30721786668977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11.112572113859004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2.7233900355196985</v>
      </c>
      <c r="AX32" s="23">
        <f t="shared" si="6"/>
        <v>13.835962149378702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54</v>
      </c>
      <c r="L33" s="13">
        <f>VLOOKUP(A33,'Données projet'!$A$35:$I$55,9,0)</f>
        <v>4.8</v>
      </c>
      <c r="M33" s="13">
        <f t="array" ref="M33">INDEX(L:L,MIN(IF(ISNUMBER(L33:L229),ROW(L33:L229),"")))</f>
        <v>4.8</v>
      </c>
      <c r="N33" s="14">
        <f>IF('Données projet'!$A$36&gt;35,N32+M33-V32,IF(A33&lt;'Données projet'!$A$36,$K$205^A33,IF(A33='Données projet'!$A$36,'Données projet'!$B$36,N32+M33-V32)))</f>
        <v>53.999999999999986</v>
      </c>
      <c r="O33" s="14">
        <f>N33*VLOOKUP('Données projet'!$B$9,Paramètres!$A$1:$I$89,3,0)*VLOOKUP('Données projet'!$B$9,Paramètres!$A$1:$I$89,5,0)</f>
        <v>61.495199999999983</v>
      </c>
      <c r="P33" s="14">
        <f t="shared" si="33"/>
        <v>17.545759224285259</v>
      </c>
      <c r="Q33" s="22">
        <f t="shared" si="2"/>
        <v>137.6630039822968</v>
      </c>
      <c r="R33" s="62">
        <f t="shared" si="0"/>
        <v>430.99633731563011</v>
      </c>
      <c r="S33" s="62">
        <f ca="1">AVERAGE(OFFSET($R$3,0,0,'Données projet'!$E$9+1,1))-AVERAGE(OFFSET($H$3,0,0,'Données projet'!$E$9+1,1))</f>
        <v>342.36307961726635</v>
      </c>
      <c r="T33" s="62">
        <f t="shared" si="34"/>
        <v>174.32967064896343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269</v>
      </c>
      <c r="AG33" s="13">
        <f>VLOOKUP(A33,'Données projet'!$A$61:$I$81,9,0)</f>
        <v>15.142857142857142</v>
      </c>
      <c r="AH33" s="13">
        <f t="array" ref="AH33">INDEX(AG:AG,MIN(IF(ISNUMBER(AG33:AG229),ROW(AG33:AG229),"")))</f>
        <v>15.142857142857142</v>
      </c>
      <c r="AI33" s="14">
        <f>IF('Données projet'!$A$62&gt;35,AI32+AH33-AQ32,IF(A33&lt;'Données projet'!$A$62,$AF$205^A33,IF(A33='Données projet'!$A$62,'Données projet'!$B$62,AI32+AH33-AQ32)))</f>
        <v>269</v>
      </c>
      <c r="AJ33" s="14">
        <f>AI33*VLOOKUP('Données projet'!$B$10,Paramètres!$A$1:$I$89,3,0)*VLOOKUP('Données projet'!$B$10,Paramètres!$A$1:$I$89,5,0)</f>
        <v>160.86200000000002</v>
      </c>
      <c r="AK33" s="14">
        <f t="shared" si="35"/>
        <v>41.03688107178359</v>
      </c>
      <c r="AL33" s="22">
        <f t="shared" si="4"/>
        <v>351.64055120002314</v>
      </c>
      <c r="AM33" s="62">
        <f t="shared" si="5"/>
        <v>644.97388453335645</v>
      </c>
      <c r="AN33" s="62">
        <f ca="1">AVERAGE(OFFSET($AM$3,0,0,'Données projet'!$E$10+1,1))-AVERAGE(OFFSET($H$3,0,0,'Données projet'!$E$10+1,1))</f>
        <v>195.80903373714432</v>
      </c>
      <c r="AO33" s="62">
        <f t="shared" si="36"/>
        <v>388.30721786668977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10.894661352705947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1.9257275619318515</v>
      </c>
      <c r="AX33" s="23">
        <f t="shared" si="6"/>
        <v>12.8203889146378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5</v>
      </c>
      <c r="N34" s="14">
        <f>IF('Données projet'!$A$36&gt;35,N33+M34-V33,IF(A34&lt;'Données projet'!$A$36,$K$205^A34,IF(A34='Données projet'!$A$36,'Données projet'!$B$36,N33+M34-V33)))</f>
        <v>58.999999999999986</v>
      </c>
      <c r="O34" s="14">
        <f>N34*VLOOKUP('Données projet'!$B$9,Paramètres!$A$1:$I$89,3,0)*VLOOKUP('Données projet'!$B$9,Paramètres!$A$1:$I$89,5,0)</f>
        <v>67.189199999999985</v>
      </c>
      <c r="P34" s="14">
        <f t="shared" si="33"/>
        <v>18.973780699598183</v>
      </c>
      <c r="Q34" s="22">
        <f t="shared" si="2"/>
        <v>150.06719138513347</v>
      </c>
      <c r="R34" s="62">
        <f t="shared" si="0"/>
        <v>443.40052471846678</v>
      </c>
      <c r="S34" s="62">
        <f ca="1">AVERAGE(OFFSET($R$3,0,0,'Données projet'!$E$9+1,1))-AVERAGE(OFFSET($H$3,0,0,'Données projet'!$E$9+1,1))</f>
        <v>342.36307961726635</v>
      </c>
      <c r="T34" s="62">
        <f t="shared" si="34"/>
        <v>174.32967064896343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14</v>
      </c>
      <c r="AI34" s="14">
        <f>IF('Données projet'!$A$62&gt;35,AI33+AH34-AQ33,IF(A34&lt;'Données projet'!$A$62,$AF$205^A34,IF(A34='Données projet'!$A$62,'Données projet'!$B$62,AI33+AH34-AQ33)))</f>
        <v>283</v>
      </c>
      <c r="AJ34" s="14">
        <f>AI34*VLOOKUP('Données projet'!$B$10,Paramètres!$A$1:$I$89,3,0)*VLOOKUP('Données projet'!$B$10,Paramètres!$A$1:$I$89,5,0)</f>
        <v>169.23400000000001</v>
      </c>
      <c r="AK34" s="14">
        <f t="shared" si="35"/>
        <v>42.918420001269354</v>
      </c>
      <c r="AL34" s="22">
        <f t="shared" si="4"/>
        <v>369.4987981688775</v>
      </c>
      <c r="AM34" s="62">
        <f t="shared" si="5"/>
        <v>662.83213150221081</v>
      </c>
      <c r="AN34" s="62">
        <f ca="1">AVERAGE(OFFSET($AM$3,0,0,'Données projet'!$E$10+1,1))-AVERAGE(OFFSET($H$3,0,0,'Données projet'!$E$10+1,1))</f>
        <v>195.80903373714432</v>
      </c>
      <c r="AO34" s="62">
        <f t="shared" si="36"/>
        <v>388.30721786668977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10.681023688666661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1.3616950177598495</v>
      </c>
      <c r="AX34" s="23">
        <f t="shared" si="6"/>
        <v>12.042718706426511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5</v>
      </c>
      <c r="N35" s="14">
        <f>IF('Données projet'!$A$36&gt;35,N34+M35-V34,IF(A35&lt;'Données projet'!$A$36,$K$205^A35,IF(A35='Données projet'!$A$36,'Données projet'!$B$36,N34+M35-V34)))</f>
        <v>63.999999999999986</v>
      </c>
      <c r="O35" s="14">
        <f>N35*VLOOKUP('Données projet'!$B$9,Paramètres!$A$1:$I$89,3,0)*VLOOKUP('Données projet'!$B$9,Paramètres!$A$1:$I$89,5,0)</f>
        <v>72.883199999999988</v>
      </c>
      <c r="P35" s="14">
        <f t="shared" si="33"/>
        <v>20.387767119503298</v>
      </c>
      <c r="Q35" s="22">
        <f t="shared" ref="Q35:Q66" si="53">(O35+P35)*0.475*44/12</f>
        <v>162.44693439980156</v>
      </c>
      <c r="R35" s="62">
        <f t="shared" si="0"/>
        <v>455.78026773313491</v>
      </c>
      <c r="S35" s="62">
        <f ca="1">AVERAGE(OFFSET($R$3,0,0,'Données projet'!$E$9+1,1))-AVERAGE(OFFSET($H$3,0,0,'Données projet'!$E$9+1,1))</f>
        <v>342.36307961726635</v>
      </c>
      <c r="T35" s="62">
        <f t="shared" si="34"/>
        <v>174.32967064896343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14</v>
      </c>
      <c r="AI35" s="14">
        <f>IF('Données projet'!$A$62&gt;35,AI34+AH35-AQ34,IF(A35&lt;'Données projet'!$A$62,$AF$205^A35,IF(A35='Données projet'!$A$62,'Données projet'!$B$62,AI34+AH35-AQ34)))</f>
        <v>297</v>
      </c>
      <c r="AJ35" s="14">
        <f>AI35*VLOOKUP('Données projet'!$B$10,Paramètres!$A$1:$I$89,3,0)*VLOOKUP('Données projet'!$B$10,Paramètres!$A$1:$I$89,5,0)</f>
        <v>177.60600000000002</v>
      </c>
      <c r="AK35" s="14">
        <f t="shared" si="35"/>
        <v>44.789150937858665</v>
      </c>
      <c r="AL35" s="22">
        <f t="shared" si="4"/>
        <v>387.33822121677053</v>
      </c>
      <c r="AM35" s="62">
        <f t="shared" si="5"/>
        <v>680.67155455010379</v>
      </c>
      <c r="AN35" s="62">
        <f ca="1">AVERAGE(OFFSET($AM$3,0,0,'Données projet'!$E$10+1,1))-AVERAGE(OFFSET($H$3,0,0,'Données projet'!$E$10+1,1))</f>
        <v>195.80903373714432</v>
      </c>
      <c r="AO35" s="62">
        <f t="shared" si="36"/>
        <v>388.30721786668977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10.471575328913076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0.96286378096592584</v>
      </c>
      <c r="AX35" s="23">
        <f t="shared" si="6"/>
        <v>11.434439109879001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5</v>
      </c>
      <c r="N36" s="14">
        <f>IF('Données projet'!$A$36&gt;35,N35+M36-V35,IF(A36&lt;'Données projet'!$A$36,$K$205^A36,IF(A36='Données projet'!$A$36,'Données projet'!$B$36,N35+M36-V35)))</f>
        <v>68.999999999999986</v>
      </c>
      <c r="O36" s="14">
        <f>N36*VLOOKUP('Données projet'!$B$9,Paramètres!$A$1:$I$89,3,0)*VLOOKUP('Données projet'!$B$9,Paramètres!$A$1:$I$89,5,0)</f>
        <v>78.577199999999991</v>
      </c>
      <c r="P36" s="14">
        <f t="shared" si="33"/>
        <v>21.788939637935243</v>
      </c>
      <c r="Q36" s="22">
        <f t="shared" si="53"/>
        <v>174.80435986940384</v>
      </c>
      <c r="R36" s="62">
        <f t="shared" si="0"/>
        <v>468.13769320273718</v>
      </c>
      <c r="S36" s="62">
        <f ca="1">AVERAGE(OFFSET($R$3,0,0,'Données projet'!$E$9+1,1))-AVERAGE(OFFSET($H$3,0,0,'Données projet'!$E$9+1,1))</f>
        <v>342.36307961726635</v>
      </c>
      <c r="T36" s="62">
        <f t="shared" si="34"/>
        <v>174.32967064896343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14</v>
      </c>
      <c r="AI36" s="14">
        <f>IF('Données projet'!$A$62&gt;35,AI35+AH36-AQ35,IF(A36&lt;'Données projet'!$A$62,$AF$205^A36,IF(A36='Données projet'!$A$62,'Données projet'!$B$62,AI35+AH36-AQ35)))</f>
        <v>311</v>
      </c>
      <c r="AJ36" s="14">
        <f>AI36*VLOOKUP('Données projet'!$B$10,Paramètres!$A$1:$I$89,3,0)*VLOOKUP('Données projet'!$B$10,Paramètres!$A$1:$I$89,5,0)</f>
        <v>185.97800000000001</v>
      </c>
      <c r="AK36" s="14">
        <f t="shared" si="35"/>
        <v>46.649641523668571</v>
      </c>
      <c r="AL36" s="22">
        <f t="shared" si="4"/>
        <v>405.15980898705612</v>
      </c>
      <c r="AM36" s="62">
        <f t="shared" si="5"/>
        <v>698.49314232038944</v>
      </c>
      <c r="AN36" s="62">
        <f ca="1">AVERAGE(OFFSET($AM$3,0,0,'Données projet'!$E$10+1,1))-AVERAGE(OFFSET($H$3,0,0,'Données projet'!$E$10+1,1))</f>
        <v>195.80903373714432</v>
      </c>
      <c r="AO36" s="62">
        <f t="shared" si="36"/>
        <v>388.30721786668977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10.266234123743374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0.68084750887992485</v>
      </c>
      <c r="AX36" s="23">
        <f t="shared" si="6"/>
        <v>10.947081632623298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5</v>
      </c>
      <c r="N37" s="14">
        <f>IF('Données projet'!$A$36&gt;35,N36+M37-V36,IF(A37&lt;'Données projet'!$A$36,$K$205^A37,IF(A37='Données projet'!$A$36,'Données projet'!$B$36,N36+M37-V36)))</f>
        <v>73.999999999999986</v>
      </c>
      <c r="O37" s="14">
        <f>N37*VLOOKUP('Données projet'!$B$9,Paramètres!$A$1:$I$89,3,0)*VLOOKUP('Données projet'!$B$9,Paramètres!$A$1:$I$89,5,0)</f>
        <v>84.271199999999979</v>
      </c>
      <c r="P37" s="14">
        <f t="shared" si="33"/>
        <v>23.178332397368926</v>
      </c>
      <c r="Q37" s="22">
        <f t="shared" si="53"/>
        <v>187.14126892541751</v>
      </c>
      <c r="R37" s="62">
        <f t="shared" si="0"/>
        <v>480.47460225875079</v>
      </c>
      <c r="S37" s="62">
        <f ca="1">AVERAGE(OFFSET($R$3,0,0,'Données projet'!$E$9+1,1))-AVERAGE(OFFSET($H$3,0,0,'Données projet'!$E$9+1,1))</f>
        <v>342.36307961726635</v>
      </c>
      <c r="T37" s="62">
        <f t="shared" si="34"/>
        <v>174.32967064896343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>
        <f>VLOOKUP(A37,'Données projet'!$A$61:$I$81,2,0)</f>
        <v>325</v>
      </c>
      <c r="AG37" s="13">
        <f>VLOOKUP(A37,'Données projet'!$A$61:$I$81,9,0)</f>
        <v>14</v>
      </c>
      <c r="AH37" s="13">
        <f t="array" ref="AH37">INDEX(AG:AG,MIN(IF(ISNUMBER(AG37:AG233),ROW(AG37:AG233),"")))</f>
        <v>14</v>
      </c>
      <c r="AI37" s="14">
        <f>IF('Données projet'!$A$62&gt;35,AI36+AH37-AQ36,IF(A37&lt;'Données projet'!$A$62,$AF$205^A37,IF(A37='Données projet'!$A$62,'Données projet'!$B$62,AI36+AH37-AQ36)))</f>
        <v>325</v>
      </c>
      <c r="AJ37" s="14">
        <f>AI37*VLOOKUP('Données projet'!$B$10,Paramètres!$A$1:$I$89,3,0)*VLOOKUP('Données projet'!$B$10,Paramètres!$A$1:$I$89,5,0)</f>
        <v>194.35</v>
      </c>
      <c r="AK37" s="14">
        <f t="shared" si="35"/>
        <v>48.500405405690429</v>
      </c>
      <c r="AL37" s="22">
        <f t="shared" si="4"/>
        <v>422.96445608157745</v>
      </c>
      <c r="AM37" s="62">
        <f t="shared" si="5"/>
        <v>716.29778941491077</v>
      </c>
      <c r="AN37" s="62">
        <f ca="1">AVERAGE(OFFSET($AM$3,0,0,'Données projet'!$E$10+1,1))-AVERAGE(OFFSET($H$3,0,0,'Données projet'!$E$10+1,1))</f>
        <v>195.80903373714432</v>
      </c>
      <c r="AO37" s="62">
        <f t="shared" si="36"/>
        <v>388.30721786668977</v>
      </c>
      <c r="AP37" s="16">
        <f>IF(ISNA(VLOOKUP(A37,'Données projet'!$A$61:$I$81,3,0)),0,VLOOKUP(A37,'Données projet'!$A$61:$I$81,3,0))</f>
        <v>5</v>
      </c>
      <c r="AQ37" s="16">
        <f>IF(ISNA(VLOOKUP(A37,'Données projet'!$A$61:$I$81,4,0)),0,VLOOKUP(A37,'Données projet'!$A$61:$I$81,4,0))</f>
        <v>325</v>
      </c>
      <c r="AR37" s="17">
        <f>IF(ISNA(VLOOKUP(A37,'Données projet'!$A$61:$I$81,5,0)),0%,VLOOKUP(A37,'Données projet'!$A$61:$I$81,5,0)*VLOOKUP('Données projet'!$B$10,Paramètres!$A$1:$I$89,7,0))</f>
        <v>0.315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0.3</v>
      </c>
      <c r="AU37" s="23">
        <f>EXP(-LN(2)/35)*AU36+(1-EXP(-LN(2)/35))/(LN(2)/35)*AQ37*AR37*VLOOKUP('Données projet'!$B$10,Paramètres!$A$1:$I$89,3,0)*0.475*44/12</f>
        <v>91.277527137483801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66.496235997763563</v>
      </c>
      <c r="AX37" s="23">
        <f t="shared" si="6"/>
        <v>157.77376313524735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79</v>
      </c>
      <c r="L38" s="13">
        <f>VLOOKUP(A38,'Données projet'!$A$35:$I$55,9,0)</f>
        <v>5</v>
      </c>
      <c r="M38" s="13">
        <f t="array" ref="M38">INDEX(L:L,MIN(IF(ISNUMBER(L38:L234),ROW(L38:L234),"")))</f>
        <v>5</v>
      </c>
      <c r="N38" s="14">
        <f>IF('Données projet'!$A$36&gt;35,N37+M38-V37,IF(A38&lt;'Données projet'!$A$36,$K$205^A38,IF(A38='Données projet'!$A$36,'Données projet'!$B$36,N37+M38-V37)))</f>
        <v>78.999999999999986</v>
      </c>
      <c r="O38" s="14">
        <f>N38*VLOOKUP('Données projet'!$B$9,Paramètres!$A$1:$I$89,3,0)*VLOOKUP('Données projet'!$B$9,Paramètres!$A$1:$I$89,5,0)</f>
        <v>89.965199999999982</v>
      </c>
      <c r="P38" s="14">
        <f t="shared" si="33"/>
        <v>24.556831882990153</v>
      </c>
      <c r="Q38" s="22">
        <f t="shared" si="53"/>
        <v>199.45920552954112</v>
      </c>
      <c r="R38" s="62">
        <f t="shared" si="0"/>
        <v>492.79253886287444</v>
      </c>
      <c r="S38" s="62">
        <f ca="1">AVERAGE(OFFSET($R$3,0,0,'Données projet'!$E$9+1,1))-AVERAGE(OFFSET($H$3,0,0,'Données projet'!$E$9+1,1))</f>
        <v>342.36307961726635</v>
      </c>
      <c r="T38" s="62">
        <f t="shared" si="34"/>
        <v>174.32967064896343</v>
      </c>
      <c r="U38" s="16">
        <f>IF(ISNA(VLOOKUP(A38,'Données projet'!$A$35:$I$55,3,0)),0,VLOOKUP(A38,'Données projet'!$A$35:$I$55,3,0))</f>
        <v>3</v>
      </c>
      <c r="V38" s="16">
        <f>IF(ISNA(VLOOKUP(A38,'Données projet'!$A$35:$I$55,4,0)),0,VLOOKUP(A38,'Données projet'!$A$35:$I$55,4,0))</f>
        <v>13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>
        <f>AI38*VLOOKUP('Données projet'!$B$10,Paramètres!$A$1:$I$89,3,0)*VLOOKUP('Données projet'!$B$10,Paramètres!$A$1:$I$89,5,0)</f>
        <v>0</v>
      </c>
      <c r="AK38" s="14" t="e">
        <f t="shared" si="35"/>
        <v>#NUM!</v>
      </c>
      <c r="AL38" s="22" t="e">
        <f t="shared" si="4"/>
        <v>#NUM!</v>
      </c>
      <c r="AM38" s="62" t="e">
        <f t="shared" si="5"/>
        <v>#NUM!</v>
      </c>
      <c r="AN38" s="62">
        <f ca="1">AVERAGE(OFFSET($AM$3,0,0,'Données projet'!$E$10+1,1))-AVERAGE(OFFSET($H$3,0,0,'Données projet'!$E$10+1,1))</f>
        <v>195.80903373714432</v>
      </c>
      <c r="AO38" s="62">
        <f t="shared" si="36"/>
        <v>388.30721786668977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89.487630504111962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47.019939397399625</v>
      </c>
      <c r="AX38" s="23">
        <f t="shared" si="6"/>
        <v>136.5075699015116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5.4</v>
      </c>
      <c r="N39" s="14">
        <f>IF('Données projet'!$A$36&gt;35,N38+M39-V38,IF(A39&lt;'Données projet'!$A$36,$K$205^A39,IF(A39='Données projet'!$A$36,'Données projet'!$B$36,N38+M39-V38)))</f>
        <v>71.399999999999991</v>
      </c>
      <c r="O39" s="14">
        <f>N39*VLOOKUP('Données projet'!$B$9,Paramètres!$A$1:$I$89,3,0)*VLOOKUP('Données projet'!$B$9,Paramètres!$A$1:$I$89,5,0)</f>
        <v>81.31031999999999</v>
      </c>
      <c r="P39" s="14">
        <f t="shared" si="33"/>
        <v>22.457260621365378</v>
      </c>
      <c r="Q39" s="22">
        <f t="shared" si="53"/>
        <v>180.72853624887799</v>
      </c>
      <c r="R39" s="62">
        <f t="shared" si="0"/>
        <v>474.06186958221133</v>
      </c>
      <c r="S39" s="62">
        <f ca="1">AVERAGE(OFFSET($R$3,0,0,'Données projet'!$E$9+1,1))-AVERAGE(OFFSET($H$3,0,0,'Données projet'!$E$9+1,1))</f>
        <v>342.36307961726635</v>
      </c>
      <c r="T39" s="62">
        <f t="shared" si="34"/>
        <v>174.32967064896343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>
        <f>AI39*VLOOKUP('Données projet'!$B$10,Paramètres!$A$1:$I$89,3,0)*VLOOKUP('Données projet'!$B$10,Paramètres!$A$1:$I$89,5,0)</f>
        <v>0</v>
      </c>
      <c r="AK39" s="14" t="e">
        <f t="shared" si="35"/>
        <v>#NUM!</v>
      </c>
      <c r="AL39" s="22" t="e">
        <f t="shared" si="4"/>
        <v>#NUM!</v>
      </c>
      <c r="AM39" s="62" t="e">
        <f t="shared" si="5"/>
        <v>#NUM!</v>
      </c>
      <c r="AN39" s="62">
        <f ca="1">AVERAGE(OFFSET($AM$3,0,0,'Données projet'!$E$10+1,1))-AVERAGE(OFFSET($H$3,0,0,'Données projet'!$E$10+1,1))</f>
        <v>195.80903373714432</v>
      </c>
      <c r="AO39" s="62">
        <f t="shared" si="36"/>
        <v>388.30721786668977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87.732832651991401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33.248117998881781</v>
      </c>
      <c r="AX39" s="23">
        <f t="shared" si="6"/>
        <v>120.98095065087318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5.4</v>
      </c>
      <c r="N40" s="14">
        <f>IF('Données projet'!$A$36&gt;35,N39+M40-V39,IF(A40&lt;'Données projet'!$A$36,$K$205^A40,IF(A40='Données projet'!$A$36,'Données projet'!$B$36,N39+M40-V39)))</f>
        <v>76.8</v>
      </c>
      <c r="O40" s="14">
        <f>N40*VLOOKUP('Données projet'!$B$9,Paramètres!$A$1:$I$89,3,0)*VLOOKUP('Données projet'!$B$9,Paramètres!$A$1:$I$89,5,0)</f>
        <v>87.45984</v>
      </c>
      <c r="P40" s="14">
        <f t="shared" si="33"/>
        <v>23.951582517613154</v>
      </c>
      <c r="Q40" s="22">
        <f t="shared" si="53"/>
        <v>194.04156088484288</v>
      </c>
      <c r="R40" s="62">
        <f t="shared" si="0"/>
        <v>487.37489421817622</v>
      </c>
      <c r="S40" s="62">
        <f ca="1">AVERAGE(OFFSET($R$3,0,0,'Données projet'!$E$9+1,1))-AVERAGE(OFFSET($H$3,0,0,'Données projet'!$E$9+1,1))</f>
        <v>342.36307961726635</v>
      </c>
      <c r="T40" s="62">
        <f t="shared" si="34"/>
        <v>174.32967064896343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>
        <f>AI40*VLOOKUP('Données projet'!$B$10,Paramètres!$A$1:$I$89,3,0)*VLOOKUP('Données projet'!$B$10,Paramètres!$A$1:$I$89,5,0)</f>
        <v>0</v>
      </c>
      <c r="AK40" s="14" t="e">
        <f t="shared" si="35"/>
        <v>#NUM!</v>
      </c>
      <c r="AL40" s="22" t="e">
        <f t="shared" si="4"/>
        <v>#NUM!</v>
      </c>
      <c r="AM40" s="62" t="e">
        <f t="shared" si="5"/>
        <v>#NUM!</v>
      </c>
      <c r="AN40" s="62">
        <f ca="1">AVERAGE(OFFSET($AM$3,0,0,'Données projet'!$E$10+1,1))-AVERAGE(OFFSET($H$3,0,0,'Données projet'!$E$10+1,1))</f>
        <v>195.80903373714432</v>
      </c>
      <c r="AO40" s="62">
        <f t="shared" si="36"/>
        <v>388.30721786668977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86.012445315429929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23.509969698699813</v>
      </c>
      <c r="AX40" s="23">
        <f t="shared" si="6"/>
        <v>109.52241501412973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5.4</v>
      </c>
      <c r="N41" s="14">
        <f>IF('Données projet'!$A$36&gt;35,N40+M41-V40,IF(A41&lt;'Données projet'!$A$36,$K$205^A41,IF(A41='Données projet'!$A$36,'Données projet'!$B$36,N40+M41-V40)))</f>
        <v>82.2</v>
      </c>
      <c r="O41" s="14">
        <f>N41*VLOOKUP('Données projet'!$B$9,Paramètres!$A$1:$I$89,3,0)*VLOOKUP('Données projet'!$B$9,Paramètres!$A$1:$I$89,5,0)</f>
        <v>93.609360000000009</v>
      </c>
      <c r="P41" s="14">
        <f t="shared" si="33"/>
        <v>25.433713635877286</v>
      </c>
      <c r="Q41" s="22">
        <f t="shared" si="53"/>
        <v>207.33335324915291</v>
      </c>
      <c r="R41" s="62">
        <f t="shared" si="0"/>
        <v>500.66668658248625</v>
      </c>
      <c r="S41" s="62">
        <f ca="1">AVERAGE(OFFSET($R$3,0,0,'Données projet'!$E$9+1,1))-AVERAGE(OFFSET($H$3,0,0,'Données projet'!$E$9+1,1))</f>
        <v>342.36307961726635</v>
      </c>
      <c r="T41" s="62">
        <f t="shared" si="34"/>
        <v>174.32967064896343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>
        <f>AI41*VLOOKUP('Données projet'!$B$10,Paramètres!$A$1:$I$89,3,0)*VLOOKUP('Données projet'!$B$10,Paramètres!$A$1:$I$89,5,0)</f>
        <v>0</v>
      </c>
      <c r="AK41" s="14" t="e">
        <f t="shared" si="35"/>
        <v>#NUM!</v>
      </c>
      <c r="AL41" s="22" t="e">
        <f t="shared" si="4"/>
        <v>#NUM!</v>
      </c>
      <c r="AM41" s="62" t="e">
        <f t="shared" si="5"/>
        <v>#NUM!</v>
      </c>
      <c r="AN41" s="62">
        <f ca="1">AVERAGE(OFFSET($AM$3,0,0,'Données projet'!$E$10+1,1))-AVERAGE(OFFSET($H$3,0,0,'Données projet'!$E$10+1,1))</f>
        <v>195.80903373714432</v>
      </c>
      <c r="AO41" s="62">
        <f t="shared" si="36"/>
        <v>388.30721786668977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84.325793725205756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16.624058999440891</v>
      </c>
      <c r="AX41" s="23">
        <f t="shared" si="6"/>
        <v>100.94985272464665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5.4</v>
      </c>
      <c r="N42" s="14">
        <f>IF('Données projet'!$A$36&gt;35,N41+M42-V41,IF(A42&lt;'Données projet'!$A$36,$K$205^A42,IF(A42='Données projet'!$A$36,'Données projet'!$B$36,N41+M42-V41)))</f>
        <v>87.600000000000009</v>
      </c>
      <c r="O42" s="14">
        <f>N42*VLOOKUP('Données projet'!$B$9,Paramètres!$A$1:$I$89,3,0)*VLOOKUP('Données projet'!$B$9,Paramètres!$A$1:$I$89,5,0)</f>
        <v>99.758880000000019</v>
      </c>
      <c r="P42" s="14">
        <f t="shared" si="33"/>
        <v>26.90454596491789</v>
      </c>
      <c r="Q42" s="22">
        <f t="shared" si="53"/>
        <v>220.60546688889869</v>
      </c>
      <c r="R42" s="62">
        <f t="shared" si="0"/>
        <v>513.93880022223198</v>
      </c>
      <c r="S42" s="62">
        <f ca="1">AVERAGE(OFFSET($R$3,0,0,'Données projet'!$E$9+1,1))-AVERAGE(OFFSET($H$3,0,0,'Données projet'!$E$9+1,1))</f>
        <v>342.36307961726635</v>
      </c>
      <c r="T42" s="62">
        <f t="shared" si="34"/>
        <v>174.32967064896343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>
        <f>AI42*VLOOKUP('Données projet'!$B$10,Paramètres!$A$1:$I$89,3,0)*VLOOKUP('Données projet'!$B$10,Paramètres!$A$1:$I$89,5,0)</f>
        <v>0</v>
      </c>
      <c r="AK42" s="14" t="e">
        <f t="shared" si="35"/>
        <v>#NUM!</v>
      </c>
      <c r="AL42" s="22" t="e">
        <f t="shared" si="4"/>
        <v>#NUM!</v>
      </c>
      <c r="AM42" s="62" t="e">
        <f t="shared" si="5"/>
        <v>#NUM!</v>
      </c>
      <c r="AN42" s="62">
        <f ca="1">AVERAGE(OFFSET($AM$3,0,0,'Données projet'!$E$10+1,1))-AVERAGE(OFFSET($H$3,0,0,'Données projet'!$E$10+1,1))</f>
        <v>195.80903373714432</v>
      </c>
      <c r="AO42" s="62">
        <f t="shared" si="36"/>
        <v>388.30721786668977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82.672216343909994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11.754984849349906</v>
      </c>
      <c r="AX42" s="23">
        <f t="shared" si="6"/>
        <v>94.427201193259904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93</v>
      </c>
      <c r="L43" s="13">
        <f>VLOOKUP(A43,'Données projet'!$A$35:$I$55,9,0)</f>
        <v>5.4</v>
      </c>
      <c r="M43" s="13">
        <f t="array" ref="M43">INDEX(L:L,MIN(IF(ISNUMBER(L43:L239),ROW(L43:L239),"")))</f>
        <v>5.4</v>
      </c>
      <c r="N43" s="14">
        <f>IF('Données projet'!$A$36&gt;35,N42+M43-V42,IF(A43&lt;'Données projet'!$A$36,$K$205^A43,IF(A43='Données projet'!$A$36,'Données projet'!$B$36,N42+M43-V42)))</f>
        <v>93.000000000000014</v>
      </c>
      <c r="O43" s="14">
        <f>N43*VLOOKUP('Données projet'!$B$9,Paramètres!$A$1:$I$89,3,0)*VLOOKUP('Données projet'!$B$9,Paramètres!$A$1:$I$89,5,0)</f>
        <v>105.90840000000003</v>
      </c>
      <c r="P43" s="14">
        <f t="shared" si="33"/>
        <v>28.36485530760914</v>
      </c>
      <c r="Q43" s="22">
        <f t="shared" si="53"/>
        <v>233.85925299408595</v>
      </c>
      <c r="R43" s="62">
        <f t="shared" si="0"/>
        <v>527.19258632741924</v>
      </c>
      <c r="S43" s="62">
        <f ca="1">AVERAGE(OFFSET($R$3,0,0,'Données projet'!$E$9+1,1))-AVERAGE(OFFSET($H$3,0,0,'Données projet'!$E$9+1,1))</f>
        <v>342.36307961726635</v>
      </c>
      <c r="T43" s="62">
        <f t="shared" si="34"/>
        <v>174.32967064896343</v>
      </c>
      <c r="U43" s="16">
        <f>IF(ISNA(VLOOKUP(A43,'Données projet'!$A$35:$I$55,3,0)),0,VLOOKUP(A43,'Données projet'!$A$35:$I$55,3,0))</f>
        <v>4</v>
      </c>
      <c r="V43" s="16">
        <f>IF(ISNA(VLOOKUP(A43,'Données projet'!$A$35:$I$55,4,0)),0,VLOOKUP(A43,'Données projet'!$A$35:$I$55,4,0))</f>
        <v>14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>
        <f>AI43*VLOOKUP('Données projet'!$B$10,Paramètres!$A$1:$I$89,3,0)*VLOOKUP('Données projet'!$B$10,Paramètres!$A$1:$I$89,5,0)</f>
        <v>0</v>
      </c>
      <c r="AK43" s="14" t="e">
        <f t="shared" si="35"/>
        <v>#NUM!</v>
      </c>
      <c r="AL43" s="22" t="e">
        <f t="shared" si="4"/>
        <v>#NUM!</v>
      </c>
      <c r="AM43" s="62" t="e">
        <f t="shared" si="5"/>
        <v>#NUM!</v>
      </c>
      <c r="AN43" s="62">
        <f ca="1">AVERAGE(OFFSET($AM$3,0,0,'Données projet'!$E$10+1,1))-AVERAGE(OFFSET($H$3,0,0,'Données projet'!$E$10+1,1))</f>
        <v>195.80903373714432</v>
      </c>
      <c r="AO43" s="62">
        <f t="shared" si="36"/>
        <v>388.30721786668977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81.051064606478832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8.3120294997204454</v>
      </c>
      <c r="AX43" s="23">
        <f t="shared" si="6"/>
        <v>89.36309410619927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5.6</v>
      </c>
      <c r="N44" s="14">
        <f>IF('Données projet'!$A$36&gt;35,N43+M44-V43,IF(A44&lt;'Données projet'!$A$36,$K$205^A44,IF(A44='Données projet'!$A$36,'Données projet'!$B$36,N43+M44-V43)))</f>
        <v>84.600000000000009</v>
      </c>
      <c r="O44" s="14">
        <f>N44*VLOOKUP('Données projet'!$B$9,Paramètres!$A$1:$I$89,3,0)*VLOOKUP('Données projet'!$B$9,Paramètres!$A$1:$I$89,5,0)</f>
        <v>96.342480000000009</v>
      </c>
      <c r="P44" s="14">
        <f t="shared" si="33"/>
        <v>26.088763268244669</v>
      </c>
      <c r="Q44" s="22">
        <f t="shared" si="53"/>
        <v>213.23441535885948</v>
      </c>
      <c r="R44" s="62">
        <f t="shared" si="0"/>
        <v>506.56774869219282</v>
      </c>
      <c r="S44" s="62">
        <f ca="1">AVERAGE(OFFSET($R$3,0,0,'Données projet'!$E$9+1,1))-AVERAGE(OFFSET($H$3,0,0,'Données projet'!$E$9+1,1))</f>
        <v>342.36307961726635</v>
      </c>
      <c r="T44" s="62">
        <f t="shared" si="34"/>
        <v>174.32967064896343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>
        <f>AI44*VLOOKUP('Données projet'!$B$10,Paramètres!$A$1:$I$89,3,0)*VLOOKUP('Données projet'!$B$10,Paramètres!$A$1:$I$89,5,0)</f>
        <v>0</v>
      </c>
      <c r="AK44" s="14" t="e">
        <f t="shared" si="35"/>
        <v>#NUM!</v>
      </c>
      <c r="AL44" s="22" t="e">
        <f t="shared" si="4"/>
        <v>#NUM!</v>
      </c>
      <c r="AM44" s="62" t="e">
        <f t="shared" si="5"/>
        <v>#NUM!</v>
      </c>
      <c r="AN44" s="62">
        <f ca="1">AVERAGE(OFFSET($AM$3,0,0,'Données projet'!$E$10+1,1))-AVERAGE(OFFSET($H$3,0,0,'Données projet'!$E$10+1,1))</f>
        <v>195.80903373714432</v>
      </c>
      <c r="AO44" s="62">
        <f t="shared" si="36"/>
        <v>388.30721786668977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79.46170266581376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5.8774924246749531</v>
      </c>
      <c r="AX44" s="23">
        <f t="shared" si="6"/>
        <v>85.339195090488715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5.6</v>
      </c>
      <c r="N45" s="14">
        <f>IF('Données projet'!$A$36&gt;35,N44+M45-V44,IF(A45&lt;'Données projet'!$A$36,$K$205^A45,IF(A45='Données projet'!$A$36,'Données projet'!$B$36,N44+M45-V44)))</f>
        <v>90.2</v>
      </c>
      <c r="O45" s="14">
        <f>N45*VLOOKUP('Données projet'!$B$9,Paramètres!$A$1:$I$89,3,0)*VLOOKUP('Données projet'!$B$9,Paramètres!$A$1:$I$89,5,0)</f>
        <v>102.71976000000001</v>
      </c>
      <c r="P45" s="14">
        <f t="shared" si="33"/>
        <v>27.608927464604609</v>
      </c>
      <c r="Q45" s="22">
        <f t="shared" si="53"/>
        <v>226.9891306675197</v>
      </c>
      <c r="R45" s="62">
        <f t="shared" si="0"/>
        <v>520.32246400085296</v>
      </c>
      <c r="S45" s="62">
        <f ca="1">AVERAGE(OFFSET($R$3,0,0,'Données projet'!$E$9+1,1))-AVERAGE(OFFSET($H$3,0,0,'Données projet'!$E$9+1,1))</f>
        <v>342.36307961726635</v>
      </c>
      <c r="T45" s="62">
        <f t="shared" si="34"/>
        <v>174.32967064896343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>
        <f>AI45*VLOOKUP('Données projet'!$B$10,Paramètres!$A$1:$I$89,3,0)*VLOOKUP('Données projet'!$B$10,Paramètres!$A$1:$I$89,5,0)</f>
        <v>0</v>
      </c>
      <c r="AK45" s="14" t="e">
        <f t="shared" si="35"/>
        <v>#NUM!</v>
      </c>
      <c r="AL45" s="22" t="e">
        <f t="shared" si="4"/>
        <v>#NUM!</v>
      </c>
      <c r="AM45" s="62" t="e">
        <f t="shared" si="5"/>
        <v>#NUM!</v>
      </c>
      <c r="AN45" s="62">
        <f ca="1">AVERAGE(OFFSET($AM$3,0,0,'Données projet'!$E$10+1,1))-AVERAGE(OFFSET($H$3,0,0,'Données projet'!$E$10+1,1))</f>
        <v>195.80903373714432</v>
      </c>
      <c r="AO45" s="62">
        <f t="shared" si="36"/>
        <v>388.30721786668977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77.903507143390073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4.1560147498602227</v>
      </c>
      <c r="AX45" s="23">
        <f t="shared" si="6"/>
        <v>82.059521893250292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5.6</v>
      </c>
      <c r="N46" s="14">
        <f>IF('Données projet'!$A$36&gt;35,N45+M46-V45,IF(A46&lt;'Données projet'!$A$36,$K$205^A46,IF(A46='Données projet'!$A$36,'Données projet'!$B$36,N45+M46-V45)))</f>
        <v>95.8</v>
      </c>
      <c r="O46" s="14">
        <f>N46*VLOOKUP('Données projet'!$B$9,Paramètres!$A$1:$I$89,3,0)*VLOOKUP('Données projet'!$B$9,Paramètres!$A$1:$I$89,5,0)</f>
        <v>109.09704000000001</v>
      </c>
      <c r="P46" s="14">
        <f t="shared" si="33"/>
        <v>29.118138203692205</v>
      </c>
      <c r="Q46" s="22">
        <f t="shared" si="53"/>
        <v>240.72476870476387</v>
      </c>
      <c r="R46" s="62">
        <f t="shared" si="0"/>
        <v>534.05810203809722</v>
      </c>
      <c r="S46" s="62">
        <f ca="1">AVERAGE(OFFSET($R$3,0,0,'Données projet'!$E$9+1,1))-AVERAGE(OFFSET($H$3,0,0,'Données projet'!$E$9+1,1))</f>
        <v>342.36307961726635</v>
      </c>
      <c r="T46" s="62">
        <f t="shared" si="34"/>
        <v>174.32967064896343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>
        <f>AI46*VLOOKUP('Données projet'!$B$10,Paramètres!$A$1:$I$89,3,0)*VLOOKUP('Données projet'!$B$10,Paramètres!$A$1:$I$89,5,0)</f>
        <v>0</v>
      </c>
      <c r="AK46" s="14" t="e">
        <f t="shared" si="35"/>
        <v>#NUM!</v>
      </c>
      <c r="AL46" s="22" t="e">
        <f t="shared" si="4"/>
        <v>#NUM!</v>
      </c>
      <c r="AM46" s="62" t="e">
        <f t="shared" si="5"/>
        <v>#NUM!</v>
      </c>
      <c r="AN46" s="62">
        <f ca="1">AVERAGE(OFFSET($AM$3,0,0,'Données projet'!$E$10+1,1))-AVERAGE(OFFSET($H$3,0,0,'Données projet'!$E$10+1,1))</f>
        <v>195.80903373714432</v>
      </c>
      <c r="AO46" s="62">
        <f t="shared" si="36"/>
        <v>388.30721786668977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76.375866884755695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2.9387462123374766</v>
      </c>
      <c r="AX46" s="23">
        <f t="shared" si="6"/>
        <v>79.314613097093172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5.6</v>
      </c>
      <c r="N47" s="14">
        <f>IF('Données projet'!$A$36&gt;35,N46+M47-V46,IF(A47&lt;'Données projet'!$A$36,$K$205^A47,IF(A47='Données projet'!$A$36,'Données projet'!$B$36,N46+M47-V46)))</f>
        <v>101.39999999999999</v>
      </c>
      <c r="O47" s="14">
        <f>N47*VLOOKUP('Données projet'!$B$9,Paramètres!$A$1:$I$89,3,0)*VLOOKUP('Données projet'!$B$9,Paramètres!$A$1:$I$89,5,0)</f>
        <v>115.47431999999999</v>
      </c>
      <c r="P47" s="14">
        <f t="shared" si="33"/>
        <v>30.617108709605674</v>
      </c>
      <c r="Q47" s="22">
        <f t="shared" si="53"/>
        <v>254.44257166922989</v>
      </c>
      <c r="R47" s="62">
        <f t="shared" si="0"/>
        <v>547.77590500256315</v>
      </c>
      <c r="S47" s="62">
        <f ca="1">AVERAGE(OFFSET($R$3,0,0,'Données projet'!$E$9+1,1))-AVERAGE(OFFSET($H$3,0,0,'Données projet'!$E$9+1,1))</f>
        <v>342.36307961726635</v>
      </c>
      <c r="T47" s="62">
        <f t="shared" si="34"/>
        <v>174.32967064896343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>
        <f>AI47*VLOOKUP('Données projet'!$B$10,Paramètres!$A$1:$I$89,3,0)*VLOOKUP('Données projet'!$B$10,Paramètres!$A$1:$I$89,5,0)</f>
        <v>0</v>
      </c>
      <c r="AK47" s="14" t="e">
        <f t="shared" si="35"/>
        <v>#NUM!</v>
      </c>
      <c r="AL47" s="22" t="e">
        <f t="shared" si="4"/>
        <v>#NUM!</v>
      </c>
      <c r="AM47" s="62" t="e">
        <f t="shared" si="5"/>
        <v>#NUM!</v>
      </c>
      <c r="AN47" s="62">
        <f ca="1">AVERAGE(OFFSET($AM$3,0,0,'Données projet'!$E$10+1,1))-AVERAGE(OFFSET($H$3,0,0,'Données projet'!$E$10+1,1))</f>
        <v>195.80903373714432</v>
      </c>
      <c r="AO47" s="62">
        <f t="shared" si="36"/>
        <v>388.30721786668977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74.878182719824579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2.0780073749301113</v>
      </c>
      <c r="AX47" s="23">
        <f t="shared" si="6"/>
        <v>76.956190094754689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107</v>
      </c>
      <c r="L48" s="13">
        <f>VLOOKUP(A48,'Données projet'!$A$35:$I$55,9,0)</f>
        <v>5.6</v>
      </c>
      <c r="M48" s="13">
        <f t="array" ref="M48">INDEX(L:L,MIN(IF(ISNUMBER(L48:L244),ROW(L48:L244),"")))</f>
        <v>5.6</v>
      </c>
      <c r="N48" s="14">
        <f>IF('Données projet'!$A$36&gt;35,N47+M48-V47,IF(A48&lt;'Données projet'!$A$36,$K$205^A48,IF(A48='Données projet'!$A$36,'Données projet'!$B$36,N47+M48-V47)))</f>
        <v>106.99999999999999</v>
      </c>
      <c r="O48" s="14">
        <f>N48*VLOOKUP('Données projet'!$B$9,Paramètres!$A$1:$I$89,3,0)*VLOOKUP('Données projet'!$B$9,Paramètres!$A$1:$I$89,5,0)</f>
        <v>121.85159999999998</v>
      </c>
      <c r="P48" s="14">
        <f t="shared" si="33"/>
        <v>32.106468978964038</v>
      </c>
      <c r="Q48" s="22">
        <f t="shared" si="53"/>
        <v>268.14363680502896</v>
      </c>
      <c r="R48" s="62">
        <f t="shared" si="0"/>
        <v>561.47697013836228</v>
      </c>
      <c r="S48" s="62">
        <f ca="1">AVERAGE(OFFSET($R$3,0,0,'Données projet'!$E$9+1,1))-AVERAGE(OFFSET($H$3,0,0,'Données projet'!$E$9+1,1))</f>
        <v>342.36307961726635</v>
      </c>
      <c r="T48" s="62">
        <f t="shared" si="34"/>
        <v>174.32967064896343</v>
      </c>
      <c r="U48" s="16">
        <f>IF(ISNA(VLOOKUP(A48,'Données projet'!$A$35:$I$55,3,0)),0,VLOOKUP(A48,'Données projet'!$A$35:$I$55,3,0))</f>
        <v>5</v>
      </c>
      <c r="V48" s="16">
        <f>IF(ISNA(VLOOKUP(A48,'Données projet'!$A$35:$I$55,4,0)),0,VLOOKUP(A48,'Données projet'!$A$35:$I$55,4,0))</f>
        <v>14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>
        <f>AI48*VLOOKUP('Données projet'!$B$10,Paramètres!$A$1:$I$89,3,0)*VLOOKUP('Données projet'!$B$10,Paramètres!$A$1:$I$89,5,0)</f>
        <v>0</v>
      </c>
      <c r="AK48" s="14" t="e">
        <f t="shared" si="35"/>
        <v>#NUM!</v>
      </c>
      <c r="AL48" s="22" t="e">
        <f t="shared" si="4"/>
        <v>#NUM!</v>
      </c>
      <c r="AM48" s="62" t="e">
        <f t="shared" si="5"/>
        <v>#NUM!</v>
      </c>
      <c r="AN48" s="62">
        <f ca="1">AVERAGE(OFFSET($AM$3,0,0,'Données projet'!$E$10+1,1))-AVERAGE(OFFSET($H$3,0,0,'Données projet'!$E$10+1,1))</f>
        <v>195.80903373714432</v>
      </c>
      <c r="AO48" s="62">
        <f t="shared" si="36"/>
        <v>388.30721786668977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73.40986722787062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1.4693731061687383</v>
      </c>
      <c r="AX48" s="23">
        <f t="shared" si="6"/>
        <v>74.879240334039352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5.6</v>
      </c>
      <c r="N49" s="14">
        <f>IF('Données projet'!$A$36&gt;35,N48+M49-V48,IF(A49&lt;'Données projet'!$A$36,$K$205^A49,IF(A49='Données projet'!$A$36,'Données projet'!$B$36,N48+M49-V48)))</f>
        <v>98.59999999999998</v>
      </c>
      <c r="O49" s="14">
        <f>N49*VLOOKUP('Données projet'!$B$9,Paramètres!$A$1:$I$89,3,0)*VLOOKUP('Données projet'!$B$9,Paramètres!$A$1:$I$89,5,0)</f>
        <v>112.28567999999997</v>
      </c>
      <c r="P49" s="14">
        <f t="shared" si="33"/>
        <v>29.868862334766153</v>
      </c>
      <c r="Q49" s="22">
        <f t="shared" si="53"/>
        <v>247.58582789971763</v>
      </c>
      <c r="R49" s="62">
        <f t="shared" si="0"/>
        <v>540.919161233051</v>
      </c>
      <c r="S49" s="62">
        <f ca="1">AVERAGE(OFFSET($R$3,0,0,'Données projet'!$E$9+1,1))-AVERAGE(OFFSET($H$3,0,0,'Données projet'!$E$9+1,1))</f>
        <v>342.36307961726635</v>
      </c>
      <c r="T49" s="62">
        <f t="shared" si="34"/>
        <v>174.32967064896343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195.80903373714432</v>
      </c>
      <c r="AO49" s="62">
        <f t="shared" si="36"/>
        <v>388.30721786668977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71.970344507129866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1.0390036874650557</v>
      </c>
      <c r="AX49" s="23">
        <f t="shared" si="6"/>
        <v>73.009348194594921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5.6</v>
      </c>
      <c r="N50" s="14">
        <f>IF('Données projet'!$A$36&gt;35,N49+M50-V49,IF(A50&lt;'Données projet'!$A$36,$K$205^A50,IF(A50='Données projet'!$A$36,'Données projet'!$B$36,N49+M50-V49)))</f>
        <v>104.19999999999997</v>
      </c>
      <c r="O50" s="14">
        <f>N50*VLOOKUP('Données projet'!$B$9,Paramètres!$A$1:$I$89,3,0)*VLOOKUP('Données projet'!$B$9,Paramètres!$A$1:$I$89,5,0)</f>
        <v>118.66295999999997</v>
      </c>
      <c r="P50" s="14">
        <f t="shared" si="33"/>
        <v>31.362953608533388</v>
      </c>
      <c r="Q50" s="22">
        <f t="shared" si="53"/>
        <v>261.29513286819559</v>
      </c>
      <c r="R50" s="62">
        <f t="shared" si="0"/>
        <v>554.62846620152891</v>
      </c>
      <c r="S50" s="62">
        <f ca="1">AVERAGE(OFFSET($R$3,0,0,'Données projet'!$E$9+1,1))-AVERAGE(OFFSET($H$3,0,0,'Données projet'!$E$9+1,1))</f>
        <v>342.36307961726635</v>
      </c>
      <c r="T50" s="62">
        <f t="shared" si="34"/>
        <v>174.32967064896343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195.80903373714432</v>
      </c>
      <c r="AO50" s="62">
        <f t="shared" si="36"/>
        <v>388.30721786668977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70.559049948920674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0.73468655308436914</v>
      </c>
      <c r="AX50" s="23">
        <f t="shared" si="6"/>
        <v>71.293736502005046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5.6</v>
      </c>
      <c r="N51" s="14">
        <f>IF('Données projet'!$A$36&gt;35,N50+M51-V50,IF(A51&lt;'Données projet'!$A$36,$K$205^A51,IF(A51='Données projet'!$A$36,'Données projet'!$B$36,N50+M51-V50)))</f>
        <v>109.79999999999997</v>
      </c>
      <c r="O51" s="14">
        <f>N51*VLOOKUP('Données projet'!$B$9,Paramètres!$A$1:$I$89,3,0)*VLOOKUP('Données projet'!$B$9,Paramètres!$A$1:$I$89,5,0)</f>
        <v>125.04023999999998</v>
      </c>
      <c r="P51" s="14">
        <f t="shared" si="33"/>
        <v>32.847722788381112</v>
      </c>
      <c r="Q51" s="22">
        <f t="shared" si="53"/>
        <v>274.98820185643041</v>
      </c>
      <c r="R51" s="62">
        <f t="shared" si="0"/>
        <v>568.32153518976372</v>
      </c>
      <c r="S51" s="62">
        <f ca="1">AVERAGE(OFFSET($R$3,0,0,'Données projet'!$E$9+1,1))-AVERAGE(OFFSET($H$3,0,0,'Données projet'!$E$9+1,1))</f>
        <v>342.36307961726635</v>
      </c>
      <c r="T51" s="62">
        <f t="shared" si="34"/>
        <v>174.32967064896343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195.80903373714432</v>
      </c>
      <c r="AO51" s="62">
        <f t="shared" si="36"/>
        <v>388.30721786668977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69.175430016193275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0.51950184373252783</v>
      </c>
      <c r="AX51" s="23">
        <f t="shared" si="6"/>
        <v>69.694931859925802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5.6</v>
      </c>
      <c r="N52" s="14">
        <f>IF('Données projet'!$A$36&gt;35,N51+M52-V51,IF(A52&lt;'Données projet'!$A$36,$K$205^A52,IF(A52='Données projet'!$A$36,'Données projet'!$B$36,N51+M52-V51)))</f>
        <v>115.39999999999996</v>
      </c>
      <c r="O52" s="14">
        <f>N52*VLOOKUP('Données projet'!$B$9,Paramètres!$A$1:$I$89,3,0)*VLOOKUP('Données projet'!$B$9,Paramètres!$A$1:$I$89,5,0)</f>
        <v>131.41751999999997</v>
      </c>
      <c r="P52" s="14">
        <f t="shared" si="33"/>
        <v>34.323699557891082</v>
      </c>
      <c r="Q52" s="22">
        <f t="shared" si="53"/>
        <v>288.66595739666019</v>
      </c>
      <c r="R52" s="62">
        <f t="shared" si="0"/>
        <v>581.9992907299935</v>
      </c>
      <c r="S52" s="62">
        <f ca="1">AVERAGE(OFFSET($R$3,0,0,'Données projet'!$E$9+1,1))-AVERAGE(OFFSET($H$3,0,0,'Données projet'!$E$9+1,1))</f>
        <v>342.36307961726635</v>
      </c>
      <c r="T52" s="62">
        <f t="shared" si="34"/>
        <v>174.32967064896343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195.80903373714432</v>
      </c>
      <c r="AO52" s="62">
        <f t="shared" si="36"/>
        <v>388.30721786668977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67.818942026421837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0.36734327654218457</v>
      </c>
      <c r="AX52" s="23">
        <f t="shared" si="6"/>
        <v>68.186285302964023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121</v>
      </c>
      <c r="L53" s="13">
        <f>VLOOKUP(A53,'Données projet'!$A$35:$I$55,9,0)</f>
        <v>5.6</v>
      </c>
      <c r="M53" s="13">
        <f t="array" ref="M53">INDEX(L:L,MIN(IF(ISNUMBER(L53:L249),ROW(L53:L249),"")))</f>
        <v>5.6</v>
      </c>
      <c r="N53" s="14">
        <f>IF('Données projet'!$A$36&gt;35,N52+M53-V52,IF(A53&lt;'Données projet'!$A$36,$K$205^A53,IF(A53='Données projet'!$A$36,'Données projet'!$B$36,N52+M53-V52)))</f>
        <v>120.99999999999996</v>
      </c>
      <c r="O53" s="14">
        <f>N53*VLOOKUP('Données projet'!$B$9,Paramètres!$A$1:$I$89,3,0)*VLOOKUP('Données projet'!$B$9,Paramètres!$A$1:$I$89,5,0)</f>
        <v>137.79479999999995</v>
      </c>
      <c r="P53" s="14">
        <f t="shared" si="33"/>
        <v>35.79135928840963</v>
      </c>
      <c r="Q53" s="22">
        <f t="shared" si="53"/>
        <v>302.32922742731336</v>
      </c>
      <c r="R53" s="62">
        <f t="shared" si="0"/>
        <v>595.66256076064667</v>
      </c>
      <c r="S53" s="62">
        <f ca="1">AVERAGE(OFFSET($R$3,0,0,'Données projet'!$E$9+1,1))-AVERAGE(OFFSET($H$3,0,0,'Données projet'!$E$9+1,1))</f>
        <v>342.36307961726635</v>
      </c>
      <c r="T53" s="62">
        <f t="shared" si="34"/>
        <v>174.32967064896343</v>
      </c>
      <c r="U53" s="16">
        <f>IF(ISNA(VLOOKUP(A53,'Données projet'!$A$35:$I$55,3,0)),0,VLOOKUP(A53,'Données projet'!$A$35:$I$55,3,0))</f>
        <v>6</v>
      </c>
      <c r="V53" s="16">
        <f>IF(ISNA(VLOOKUP(A53,'Données projet'!$A$35:$I$55,4,0)),0,VLOOKUP(A53,'Données projet'!$A$35:$I$55,4,0))</f>
        <v>14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195.80903373714432</v>
      </c>
      <c r="AO53" s="62">
        <f t="shared" si="36"/>
        <v>388.30721786668977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66.489053938753841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0.25975092186626392</v>
      </c>
      <c r="AX53" s="23">
        <f t="shared" si="6"/>
        <v>66.748804860620112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5.6</v>
      </c>
      <c r="N54" s="14">
        <f>IF('Données projet'!$A$36&gt;35,N53+M54-V53,IF(A54&lt;'Données projet'!$A$36,$K$205^A54,IF(A54='Données projet'!$A$36,'Données projet'!$B$36,N53+M54-V53)))</f>
        <v>112.59999999999995</v>
      </c>
      <c r="O54" s="14">
        <f>N54*VLOOKUP('Données projet'!$B$9,Paramètres!$A$1:$I$89,3,0)*VLOOKUP('Données projet'!$B$9,Paramètres!$A$1:$I$89,5,0)</f>
        <v>128.22887999999995</v>
      </c>
      <c r="P54" s="14">
        <f t="shared" si="33"/>
        <v>33.586779340295337</v>
      </c>
      <c r="Q54" s="22">
        <f t="shared" si="53"/>
        <v>281.82894001768091</v>
      </c>
      <c r="R54" s="62">
        <f t="shared" si="0"/>
        <v>575.16227335101416</v>
      </c>
      <c r="S54" s="62">
        <f ca="1">AVERAGE(OFFSET($R$3,0,0,'Données projet'!$E$9+1,1))-AVERAGE(OFFSET($H$3,0,0,'Données projet'!$E$9+1,1))</f>
        <v>342.36307961726635</v>
      </c>
      <c r="T54" s="62">
        <f t="shared" si="34"/>
        <v>174.32967064896343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195.80903373714432</v>
      </c>
      <c r="AO54" s="62">
        <f t="shared" si="36"/>
        <v>388.30721786668977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65.185244145333371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0.18367163827109229</v>
      </c>
      <c r="AX54" s="23">
        <f t="shared" si="6"/>
        <v>65.368915783604464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5.6</v>
      </c>
      <c r="N55" s="14">
        <f>IF('Données projet'!$A$36&gt;35,N54+M55-V54,IF(A55&lt;'Données projet'!$A$36,$K$205^A55,IF(A55='Données projet'!$A$36,'Données projet'!$B$36,N54+M55-V54)))</f>
        <v>118.19999999999995</v>
      </c>
      <c r="O55" s="14">
        <f>N55*VLOOKUP('Données projet'!$B$9,Paramètres!$A$1:$I$89,3,0)*VLOOKUP('Données projet'!$B$9,Paramètres!$A$1:$I$89,5,0)</f>
        <v>134.60615999999993</v>
      </c>
      <c r="P55" s="14">
        <f t="shared" si="33"/>
        <v>35.058541239368552</v>
      </c>
      <c r="Q55" s="22">
        <f t="shared" si="53"/>
        <v>295.49935465856674</v>
      </c>
      <c r="R55" s="62">
        <f t="shared" si="0"/>
        <v>588.8326879919</v>
      </c>
      <c r="S55" s="62">
        <f ca="1">AVERAGE(OFFSET($R$3,0,0,'Données projet'!$E$9+1,1))-AVERAGE(OFFSET($H$3,0,0,'Données projet'!$E$9+1,1))</f>
        <v>342.36307961726635</v>
      </c>
      <c r="T55" s="62">
        <f t="shared" si="34"/>
        <v>174.32967064896343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195.80903373714432</v>
      </c>
      <c r="AO55" s="62">
        <f t="shared" si="36"/>
        <v>388.30721786668977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63.907001266716428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0.12987546093313196</v>
      </c>
      <c r="AX55" s="23">
        <f t="shared" si="6"/>
        <v>64.036876727649556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5.6</v>
      </c>
      <c r="N56" s="14">
        <f>IF('Données projet'!$A$36&gt;35,N55+M56-V55,IF(A56&lt;'Données projet'!$A$36,$K$205^A56,IF(A56='Données projet'!$A$36,'Données projet'!$B$36,N55+M56-V55)))</f>
        <v>123.79999999999994</v>
      </c>
      <c r="O56" s="14">
        <f>N56*VLOOKUP('Données projet'!$B$9,Paramètres!$A$1:$I$89,3,0)*VLOOKUP('Données projet'!$B$9,Paramètres!$A$1:$I$89,5,0)</f>
        <v>140.98343999999994</v>
      </c>
      <c r="P56" s="14">
        <f t="shared" si="33"/>
        <v>36.522205922710093</v>
      </c>
      <c r="Q56" s="22">
        <f t="shared" si="53"/>
        <v>309.15566664872</v>
      </c>
      <c r="R56" s="62">
        <f t="shared" si="0"/>
        <v>602.48899998205331</v>
      </c>
      <c r="S56" s="62">
        <f ca="1">AVERAGE(OFFSET($R$3,0,0,'Données projet'!$E$9+1,1))-AVERAGE(OFFSET($H$3,0,0,'Données projet'!$E$9+1,1))</f>
        <v>342.36307961726635</v>
      </c>
      <c r="T56" s="62">
        <f t="shared" si="34"/>
        <v>174.32967064896343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195.80903373714432</v>
      </c>
      <c r="AO56" s="62">
        <f t="shared" si="36"/>
        <v>388.30721786668977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62.653823951297994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9.1835819135546143E-2</v>
      </c>
      <c r="AX56" s="23">
        <f t="shared" si="6"/>
        <v>62.745659770433541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5.6</v>
      </c>
      <c r="N57" s="14">
        <f>IF('Données projet'!$A$36&gt;35,N56+M57-V56,IF(A57&lt;'Données projet'!$A$36,$K$205^A57,IF(A57='Données projet'!$A$36,'Données projet'!$B$36,N56+M57-V56)))</f>
        <v>129.39999999999995</v>
      </c>
      <c r="O57" s="14">
        <f>N57*VLOOKUP('Données projet'!$B$9,Paramètres!$A$1:$I$89,3,0)*VLOOKUP('Données projet'!$B$9,Paramètres!$A$1:$I$89,5,0)</f>
        <v>147.36071999999993</v>
      </c>
      <c r="P57" s="14">
        <f t="shared" si="33"/>
        <v>37.978181505546587</v>
      </c>
      <c r="Q57" s="22">
        <f t="shared" si="53"/>
        <v>322.79858678882687</v>
      </c>
      <c r="R57" s="62">
        <f t="shared" si="0"/>
        <v>616.13192012216018</v>
      </c>
      <c r="S57" s="62">
        <f ca="1">AVERAGE(OFFSET($R$3,0,0,'Données projet'!$E$9+1,1))-AVERAGE(OFFSET($H$3,0,0,'Données projet'!$E$9+1,1))</f>
        <v>342.36307961726635</v>
      </c>
      <c r="T57" s="62">
        <f t="shared" si="34"/>
        <v>174.32967064896343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195.80903373714432</v>
      </c>
      <c r="AO57" s="62">
        <f t="shared" si="36"/>
        <v>388.30721786668977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61.425220678672225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6.4937730466565979E-2</v>
      </c>
      <c r="AX57" s="23">
        <f t="shared" si="6"/>
        <v>61.490158409138793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135</v>
      </c>
      <c r="L58" s="13">
        <f>VLOOKUP(A58,'Données projet'!$A$35:$I$55,9,0)</f>
        <v>5.6</v>
      </c>
      <c r="M58" s="13">
        <f t="array" ref="M58">INDEX(L:L,MIN(IF(ISNUMBER(L58:L254),ROW(L58:L254),"")))</f>
        <v>5.6</v>
      </c>
      <c r="N58" s="14">
        <f>IF('Données projet'!$A$36&gt;35,N57+M58-V57,IF(A58&lt;'Données projet'!$A$36,$K$205^A58,IF(A58='Données projet'!$A$36,'Données projet'!$B$36,N57+M58-V57)))</f>
        <v>134.99999999999994</v>
      </c>
      <c r="O58" s="14">
        <f>N58*VLOOKUP('Données projet'!$B$9,Paramètres!$A$1:$I$89,3,0)*VLOOKUP('Données projet'!$B$9,Paramètres!$A$1:$I$89,5,0)</f>
        <v>153.73799999999994</v>
      </c>
      <c r="P58" s="14">
        <f t="shared" si="33"/>
        <v>39.426838781722438</v>
      </c>
      <c r="Q58" s="22">
        <f t="shared" si="53"/>
        <v>336.42876087816643</v>
      </c>
      <c r="R58" s="62">
        <f t="shared" si="0"/>
        <v>629.76209421149974</v>
      </c>
      <c r="S58" s="62">
        <f ca="1">AVERAGE(OFFSET($R$3,0,0,'Données projet'!$E$9+1,1))-AVERAGE(OFFSET($H$3,0,0,'Données projet'!$E$9+1,1))</f>
        <v>342.36307961726635</v>
      </c>
      <c r="T58" s="62">
        <f t="shared" si="34"/>
        <v>174.32967064896343</v>
      </c>
      <c r="U58" s="16">
        <f>IF(ISNA(VLOOKUP(A58,'Données projet'!$A$35:$I$55,3,0)),0,VLOOKUP(A58,'Données projet'!$A$35:$I$55,3,0))</f>
        <v>7</v>
      </c>
      <c r="V58" s="16">
        <f>IF(ISNA(VLOOKUP(A58,'Données projet'!$A$35:$I$55,4,0)),0,VLOOKUP(A58,'Données projet'!$A$35:$I$55,4,0))</f>
        <v>14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195.80903373714432</v>
      </c>
      <c r="AO58" s="62">
        <f t="shared" si="36"/>
        <v>388.30721786668977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60.220709566848647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4.5917909567773071E-2</v>
      </c>
      <c r="AX58" s="23">
        <f t="shared" si="6"/>
        <v>60.266627476416417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5.4</v>
      </c>
      <c r="N59" s="14">
        <f>IF('Données projet'!$A$36&gt;35,N58+M59-V58,IF(A59&lt;'Données projet'!$A$36,$K$205^A59,IF(A59='Données projet'!$A$36,'Données projet'!$B$36,N58+M59-V58)))</f>
        <v>126.39999999999995</v>
      </c>
      <c r="O59" s="14">
        <f>N59*VLOOKUP('Données projet'!$B$9,Paramètres!$A$1:$I$89,3,0)*VLOOKUP('Données projet'!$B$9,Paramètres!$A$1:$I$89,5,0)</f>
        <v>143.94431999999995</v>
      </c>
      <c r="P59" s="14">
        <f t="shared" si="33"/>
        <v>37.199127502405936</v>
      </c>
      <c r="Q59" s="22">
        <f t="shared" si="53"/>
        <v>315.49150440002353</v>
      </c>
      <c r="R59" s="62">
        <f t="shared" si="0"/>
        <v>608.82483773335684</v>
      </c>
      <c r="S59" s="62">
        <f ca="1">AVERAGE(OFFSET($R$3,0,0,'Données projet'!$E$9+1,1))-AVERAGE(OFFSET($H$3,0,0,'Données projet'!$E$9+1,1))</f>
        <v>342.36307961726635</v>
      </c>
      <c r="T59" s="62">
        <f t="shared" si="34"/>
        <v>174.32967064896343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195.80903373714432</v>
      </c>
      <c r="AO59" s="62">
        <f t="shared" si="36"/>
        <v>388.30721786668977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59.039818183248698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3.246886523328299E-2</v>
      </c>
      <c r="AX59" s="23">
        <f t="shared" si="6"/>
        <v>59.072287048481982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5.4</v>
      </c>
      <c r="N60" s="14">
        <f>IF('Données projet'!$A$36&gt;35,N59+M60-V59,IF(A60&lt;'Données projet'!$A$36,$K$205^A60,IF(A60='Données projet'!$A$36,'Données projet'!$B$36,N59+M60-V59)))</f>
        <v>131.79999999999995</v>
      </c>
      <c r="O60" s="14">
        <f>N60*VLOOKUP('Données projet'!$B$9,Paramètres!$A$1:$I$89,3,0)*VLOOKUP('Données projet'!$B$9,Paramètres!$A$1:$I$89,5,0)</f>
        <v>150.09383999999997</v>
      </c>
      <c r="P60" s="14">
        <f t="shared" si="33"/>
        <v>38.599910321307526</v>
      </c>
      <c r="Q60" s="22">
        <f t="shared" si="53"/>
        <v>328.64161514294386</v>
      </c>
      <c r="R60" s="62">
        <f t="shared" si="0"/>
        <v>621.97494847627718</v>
      </c>
      <c r="S60" s="62">
        <f ca="1">AVERAGE(OFFSET($R$3,0,0,'Données projet'!$E$9+1,1))-AVERAGE(OFFSET($H$3,0,0,'Données projet'!$E$9+1,1))</f>
        <v>342.36307961726635</v>
      </c>
      <c r="T60" s="62">
        <f t="shared" si="34"/>
        <v>174.32967064896343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195.80903373714432</v>
      </c>
      <c r="AO60" s="62">
        <f t="shared" si="36"/>
        <v>388.30721786668977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57.882083359408519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2.2958954783886536E-2</v>
      </c>
      <c r="AX60" s="23">
        <f t="shared" si="6"/>
        <v>57.905042314192407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5.4</v>
      </c>
      <c r="N61" s="14">
        <f>IF('Données projet'!$A$36&gt;35,N60+M61-V60,IF(A61&lt;'Données projet'!$A$36,$K$205^A61,IF(A61='Données projet'!$A$36,'Données projet'!$B$36,N60+M61-V60)))</f>
        <v>137.19999999999996</v>
      </c>
      <c r="O61" s="14">
        <f>N61*VLOOKUP('Données projet'!$B$9,Paramètres!$A$1:$I$89,3,0)*VLOOKUP('Données projet'!$B$9,Paramètres!$A$1:$I$89,5,0)</f>
        <v>156.24335999999994</v>
      </c>
      <c r="P61" s="14">
        <f t="shared" si="33"/>
        <v>39.994026679816884</v>
      </c>
      <c r="Q61" s="22">
        <f t="shared" si="53"/>
        <v>341.7801151340143</v>
      </c>
      <c r="R61" s="62">
        <f t="shared" si="0"/>
        <v>635.11344846734755</v>
      </c>
      <c r="S61" s="62">
        <f ca="1">AVERAGE(OFFSET($R$3,0,0,'Données projet'!$E$9+1,1))-AVERAGE(OFFSET($H$3,0,0,'Données projet'!$E$9+1,1))</f>
        <v>342.36307961726635</v>
      </c>
      <c r="T61" s="62">
        <f t="shared" si="34"/>
        <v>174.32967064896343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195.80903373714432</v>
      </c>
      <c r="AO61" s="62">
        <f t="shared" si="36"/>
        <v>388.30721786668977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56.747051009315328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1.6234432616641495E-2</v>
      </c>
      <c r="AX61" s="23">
        <f t="shared" si="6"/>
        <v>56.76328544193197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5.4</v>
      </c>
      <c r="N62" s="14">
        <f>IF('Données projet'!$A$36&gt;35,N61+M62-V61,IF(A62&lt;'Données projet'!$A$36,$K$205^A62,IF(A62='Données projet'!$A$36,'Données projet'!$B$36,N61+M62-V61)))</f>
        <v>142.59999999999997</v>
      </c>
      <c r="O62" s="14">
        <f>N62*VLOOKUP('Données projet'!$B$9,Paramètres!$A$1:$I$89,3,0)*VLOOKUP('Données projet'!$B$9,Paramètres!$A$1:$I$89,5,0)</f>
        <v>162.39287999999996</v>
      </c>
      <c r="P62" s="14">
        <f t="shared" si="33"/>
        <v>41.381768985644122</v>
      </c>
      <c r="Q62" s="22">
        <f t="shared" si="53"/>
        <v>354.90751364999682</v>
      </c>
      <c r="R62" s="62">
        <f t="shared" si="0"/>
        <v>648.24084698333013</v>
      </c>
      <c r="S62" s="62">
        <f ca="1">AVERAGE(OFFSET($R$3,0,0,'Données projet'!$E$9+1,1))-AVERAGE(OFFSET($H$3,0,0,'Données projet'!$E$9+1,1))</f>
        <v>342.36307961726635</v>
      </c>
      <c r="T62" s="62">
        <f t="shared" si="34"/>
        <v>174.32967064896343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195.80903373714432</v>
      </c>
      <c r="AO62" s="62">
        <f t="shared" si="36"/>
        <v>388.30721786668977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55.634275951306094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1.1479477391943268E-2</v>
      </c>
      <c r="AX62" s="23">
        <f t="shared" si="6"/>
        <v>55.645755428698038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148</v>
      </c>
      <c r="L63" s="13">
        <f>VLOOKUP(A63,'Données projet'!$A$35:$I$55,9,0)</f>
        <v>5.4</v>
      </c>
      <c r="M63" s="13">
        <f t="array" ref="M63">INDEX(L:L,MIN(IF(ISNUMBER(L63:L259),ROW(L63:L259),"")))</f>
        <v>5.4</v>
      </c>
      <c r="N63" s="14">
        <f>IF('Données projet'!$A$36&gt;35,N62+M63-V62,IF(A63&lt;'Données projet'!$A$36,$K$205^A63,IF(A63='Données projet'!$A$36,'Données projet'!$B$36,N62+M63-V62)))</f>
        <v>147.99999999999997</v>
      </c>
      <c r="O63" s="14">
        <f>N63*VLOOKUP('Données projet'!$B$9,Paramètres!$A$1:$I$89,3,0)*VLOOKUP('Données projet'!$B$9,Paramètres!$A$1:$I$89,5,0)</f>
        <v>168.54239999999996</v>
      </c>
      <c r="P63" s="14">
        <f t="shared" si="33"/>
        <v>42.763406246208213</v>
      </c>
      <c r="Q63" s="22">
        <f t="shared" si="53"/>
        <v>368.02427921214581</v>
      </c>
      <c r="R63" s="62">
        <f t="shared" si="0"/>
        <v>661.35761254547913</v>
      </c>
      <c r="S63" s="62">
        <f ca="1">AVERAGE(OFFSET($R$3,0,0,'Données projet'!$E$9+1,1))-AVERAGE(OFFSET($H$3,0,0,'Données projet'!$E$9+1,1))</f>
        <v>342.36307961726635</v>
      </c>
      <c r="T63" s="62">
        <f t="shared" si="34"/>
        <v>174.32967064896343</v>
      </c>
      <c r="U63" s="16">
        <f>IF(ISNA(VLOOKUP(A63,'Données projet'!$A$35:$I$55,3,0)),0,VLOOKUP(A63,'Données projet'!$A$35:$I$55,3,0))</f>
        <v>8</v>
      </c>
      <c r="V63" s="16">
        <f>IF(ISNA(VLOOKUP(A63,'Données projet'!$A$35:$I$55,4,0)),0,VLOOKUP(A63,'Données projet'!$A$35:$I$55,4,0))</f>
        <v>14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195.80903373714432</v>
      </c>
      <c r="AO63" s="62">
        <f t="shared" si="36"/>
        <v>388.30721786668977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54.543321733458654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8.1172163083207474E-3</v>
      </c>
      <c r="AX63" s="23">
        <f t="shared" si="6"/>
        <v>54.551438949766975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5.4</v>
      </c>
      <c r="N64" s="14">
        <f>IF('Données projet'!$A$36&gt;35,N63+M64-V63,IF(A64&lt;'Données projet'!$A$36,$K$205^A64,IF(A64='Données projet'!$A$36,'Données projet'!$B$36,N63+M64-V63)))</f>
        <v>139.39999999999998</v>
      </c>
      <c r="O64" s="14">
        <f>N64*VLOOKUP('Données projet'!$B$9,Paramètres!$A$1:$I$89,3,0)*VLOOKUP('Données projet'!$B$9,Paramètres!$A$1:$I$89,5,0)</f>
        <v>158.74871999999999</v>
      </c>
      <c r="P64" s="14">
        <f t="shared" si="33"/>
        <v>40.560156876833695</v>
      </c>
      <c r="Q64" s="22">
        <f t="shared" si="53"/>
        <v>347.12962722715201</v>
      </c>
      <c r="R64" s="62">
        <f t="shared" si="0"/>
        <v>640.46296056048527</v>
      </c>
      <c r="S64" s="62">
        <f ca="1">AVERAGE(OFFSET($R$3,0,0,'Données projet'!$E$9+1,1))-AVERAGE(OFFSET($H$3,0,0,'Données projet'!$E$9+1,1))</f>
        <v>342.36307961726635</v>
      </c>
      <c r="T64" s="62">
        <f t="shared" si="34"/>
        <v>174.32967064896343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195.80903373714432</v>
      </c>
      <c r="AO64" s="62">
        <f t="shared" si="36"/>
        <v>388.30721786668977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53.47376046240683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5.7397386959716339E-3</v>
      </c>
      <c r="AX64" s="23">
        <f t="shared" si="6"/>
        <v>53.479500201102802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5.4</v>
      </c>
      <c r="N65" s="14">
        <f>IF('Données projet'!$A$36&gt;35,N64+M65-V64,IF(A65&lt;'Données projet'!$A$36,$K$205^A65,IF(A65='Données projet'!$A$36,'Données projet'!$B$36,N64+M65-V64)))</f>
        <v>144.79999999999998</v>
      </c>
      <c r="O65" s="14">
        <f>N65*VLOOKUP('Données projet'!$B$9,Paramètres!$A$1:$I$89,3,0)*VLOOKUP('Données projet'!$B$9,Paramètres!$A$1:$I$89,5,0)</f>
        <v>164.89823999999999</v>
      </c>
      <c r="P65" s="14">
        <f t="shared" si="33"/>
        <v>41.945380699297679</v>
      </c>
      <c r="Q65" s="22">
        <f t="shared" si="53"/>
        <v>360.25263938461012</v>
      </c>
      <c r="R65" s="62">
        <f t="shared" si="0"/>
        <v>653.58597271794338</v>
      </c>
      <c r="S65" s="62">
        <f ca="1">AVERAGE(OFFSET($R$3,0,0,'Données projet'!$E$9+1,1))-AVERAGE(OFFSET($H$3,0,0,'Données projet'!$E$9+1,1))</f>
        <v>342.36307961726635</v>
      </c>
      <c r="T65" s="62">
        <f t="shared" si="34"/>
        <v>174.32967064896343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195.80903373714432</v>
      </c>
      <c r="AO65" s="62">
        <f t="shared" si="36"/>
        <v>388.30721786668977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52.425172635512375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4.0586081541603737E-3</v>
      </c>
      <c r="AX65" s="23">
        <f t="shared" si="6"/>
        <v>52.429231243666536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5.4</v>
      </c>
      <c r="N66" s="14">
        <f>IF('Données projet'!$A$36&gt;35,N65+M66-V65,IF(A66&lt;'Données projet'!$A$36,$K$205^A66,IF(A66='Données projet'!$A$36,'Données projet'!$B$36,N65+M66-V65)))</f>
        <v>150.19999999999999</v>
      </c>
      <c r="O66" s="14">
        <f>N66*VLOOKUP('Données projet'!$B$9,Paramètres!$A$1:$I$89,3,0)*VLOOKUP('Données projet'!$B$9,Paramètres!$A$1:$I$89,5,0)</f>
        <v>171.04775999999998</v>
      </c>
      <c r="P66" s="14">
        <f t="shared" si="33"/>
        <v>43.324602988701869</v>
      </c>
      <c r="Q66" s="22">
        <f t="shared" si="53"/>
        <v>373.36519887198909</v>
      </c>
      <c r="R66" s="62">
        <f t="shared" si="0"/>
        <v>666.69853220532241</v>
      </c>
      <c r="S66" s="62">
        <f ca="1">AVERAGE(OFFSET($R$3,0,0,'Données projet'!$E$9+1,1))-AVERAGE(OFFSET($H$3,0,0,'Données projet'!$E$9+1,1))</f>
        <v>342.36307961726635</v>
      </c>
      <c r="T66" s="62">
        <f t="shared" si="34"/>
        <v>174.32967064896343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195.80903373714432</v>
      </c>
      <c r="AO66" s="62">
        <f t="shared" si="36"/>
        <v>388.30721786668977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51.397146976327896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2.869869347985817E-3</v>
      </c>
      <c r="AX66" s="23">
        <f t="shared" si="6"/>
        <v>51.400016845675879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5.4</v>
      </c>
      <c r="N67" s="14">
        <f>IF('Données projet'!$A$36&gt;35,N66+M67-V66,IF(A67&lt;'Données projet'!$A$36,$K$205^A67,IF(A67='Données projet'!$A$36,'Données projet'!$B$36,N66+M67-V66)))</f>
        <v>155.6</v>
      </c>
      <c r="O67" s="14">
        <f>N67*VLOOKUP('Données projet'!$B$9,Paramètres!$A$1:$I$89,3,0)*VLOOKUP('Données projet'!$B$9,Paramètres!$A$1:$I$89,5,0)</f>
        <v>177.19728000000001</v>
      </c>
      <c r="P67" s="14">
        <f t="shared" si="33"/>
        <v>44.69806422992248</v>
      </c>
      <c r="Q67" s="22">
        <f t="shared" ref="Q67:Q98" si="54">(O67+P67)*0.475*44/12</f>
        <v>386.46772453378168</v>
      </c>
      <c r="R67" s="62">
        <f t="shared" ref="R67:R130" si="55">Q67+(I67+J67)*44/12</f>
        <v>679.80105786711499</v>
      </c>
      <c r="S67" s="62">
        <f ca="1">AVERAGE(OFFSET($R$3,0,0,'Données projet'!$E$9+1,1))-AVERAGE(OFFSET($H$3,0,0,'Données projet'!$E$9+1,1))</f>
        <v>342.36307961726635</v>
      </c>
      <c r="T67" s="62">
        <f t="shared" si="34"/>
        <v>174.32967064896343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195.80903373714432</v>
      </c>
      <c r="AO67" s="62">
        <f t="shared" si="36"/>
        <v>388.30721786668977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50.389280273286289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2.0293040770801869E-3</v>
      </c>
      <c r="AX67" s="23">
        <f t="shared" si="6"/>
        <v>50.391309577363366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161</v>
      </c>
      <c r="L68" s="13">
        <f>VLOOKUP(A68,'Données projet'!$A$35:$I$55,9,0)</f>
        <v>5.4</v>
      </c>
      <c r="M68" s="13">
        <f t="array" ref="M68">INDEX(L:L,MIN(IF(ISNUMBER(L68:L264),ROW(L68:L264),"")))</f>
        <v>5.4</v>
      </c>
      <c r="N68" s="14">
        <f>IF('Données projet'!$A$36&gt;35,N67+M68-V67,IF(A68&lt;'Données projet'!$A$36,$K$205^A68,IF(A68='Données projet'!$A$36,'Données projet'!$B$36,N67+M68-V67)))</f>
        <v>161</v>
      </c>
      <c r="O68" s="14">
        <f>N68*VLOOKUP('Données projet'!$B$9,Paramètres!$A$1:$I$89,3,0)*VLOOKUP('Données projet'!$B$9,Paramètres!$A$1:$I$89,5,0)</f>
        <v>183.3468</v>
      </c>
      <c r="P68" s="14">
        <f t="shared" si="33"/>
        <v>46.06598726946973</v>
      </c>
      <c r="Q68" s="22">
        <f t="shared" si="54"/>
        <v>399.56060449432636</v>
      </c>
      <c r="R68" s="62">
        <f t="shared" si="55"/>
        <v>692.89393782765967</v>
      </c>
      <c r="S68" s="62">
        <f ca="1">AVERAGE(OFFSET($R$3,0,0,'Données projet'!$E$9+1,1))-AVERAGE(OFFSET($H$3,0,0,'Données projet'!$E$9+1,1))</f>
        <v>342.36307961726635</v>
      </c>
      <c r="T68" s="62">
        <f t="shared" si="34"/>
        <v>174.32967064896343</v>
      </c>
      <c r="U68" s="16">
        <f>IF(ISNA(VLOOKUP(A68,'Données projet'!$A$35:$I$55,3,0)),0,VLOOKUP(A68,'Données projet'!$A$35:$I$55,3,0))</f>
        <v>9</v>
      </c>
      <c r="V68" s="16">
        <f>IF(ISNA(VLOOKUP(A68,'Données projet'!$A$35:$I$55,4,0)),0,VLOOKUP(A68,'Données projet'!$A$35:$I$55,4,0))</f>
        <v>14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195.80903373714432</v>
      </c>
      <c r="AO68" s="62">
        <f t="shared" si="36"/>
        <v>388.30721786668977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49.40117722155334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1.4349346739929085E-3</v>
      </c>
      <c r="AX68" s="23">
        <f t="shared" ref="AX68:AX131" si="60">SUM(AU68:AW68)</f>
        <v>49.402612156227335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5</v>
      </c>
      <c r="N69" s="14">
        <f>IF('Données projet'!$A$36&gt;35,N68+M69-V68,IF(A69&lt;'Données projet'!$A$36,$K$205^A69,IF(A69='Données projet'!$A$36,'Données projet'!$B$36,N68+M69-V68)))</f>
        <v>152</v>
      </c>
      <c r="O69" s="14">
        <f>N69*VLOOKUP('Données projet'!$B$9,Paramètres!$A$1:$I$89,3,0)*VLOOKUP('Données projet'!$B$9,Paramètres!$A$1:$I$89,5,0)</f>
        <v>173.0976</v>
      </c>
      <c r="P69" s="14">
        <f t="shared" ref="P69:P132" si="87">EXP(-1.0587+0.8836*LN(O69)+0.284)</f>
        <v>43.783052170041955</v>
      </c>
      <c r="Q69" s="22">
        <f t="shared" si="54"/>
        <v>377.73380252948976</v>
      </c>
      <c r="R69" s="62">
        <f t="shared" si="55"/>
        <v>671.06713586282308</v>
      </c>
      <c r="S69" s="62">
        <f ca="1">AVERAGE(OFFSET($R$3,0,0,'Données projet'!$E$9+1,1))-AVERAGE(OFFSET($H$3,0,0,'Données projet'!$E$9+1,1))</f>
        <v>342.36307961726635</v>
      </c>
      <c r="T69" s="62">
        <f t="shared" ref="T69:T132" si="88">$T$3</f>
        <v>174.32967064896343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195.80903373714432</v>
      </c>
      <c r="AO69" s="62">
        <f t="shared" ref="AO69:AO132" si="90">$AO$3</f>
        <v>388.30721786668977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48.432450267981523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1.0146520385400934E-3</v>
      </c>
      <c r="AX69" s="23">
        <f t="shared" si="60"/>
        <v>48.433464920020064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5</v>
      </c>
      <c r="N70" s="14">
        <f>IF('Données projet'!$A$36&gt;35,N69+M70-V69,IF(A70&lt;'Données projet'!$A$36,$K$205^A70,IF(A70='Données projet'!$A$36,'Données projet'!$B$36,N69+M70-V69)))</f>
        <v>157</v>
      </c>
      <c r="O70" s="14">
        <f>N70*VLOOKUP('Données projet'!$B$9,Paramètres!$A$1:$I$89,3,0)*VLOOKUP('Données projet'!$B$9,Paramètres!$A$1:$I$89,5,0)</f>
        <v>178.79160000000002</v>
      </c>
      <c r="P70" s="14">
        <f t="shared" si="87"/>
        <v>45.053234123931929</v>
      </c>
      <c r="Q70" s="22">
        <f t="shared" si="54"/>
        <v>389.86308609918143</v>
      </c>
      <c r="R70" s="62">
        <f t="shared" si="55"/>
        <v>683.19641943251474</v>
      </c>
      <c r="S70" s="62">
        <f ca="1">AVERAGE(OFFSET($R$3,0,0,'Données projet'!$E$9+1,1))-AVERAGE(OFFSET($H$3,0,0,'Données projet'!$E$9+1,1))</f>
        <v>342.36307961726635</v>
      </c>
      <c r="T70" s="62">
        <f t="shared" si="88"/>
        <v>174.32967064896343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195.80903373714432</v>
      </c>
      <c r="AO70" s="62">
        <f t="shared" si="90"/>
        <v>388.30721786668977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47.482719459104146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7.1746733699645424E-4</v>
      </c>
      <c r="AX70" s="23">
        <f t="shared" si="60"/>
        <v>47.483436926441144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5</v>
      </c>
      <c r="N71" s="14">
        <f>IF('Données projet'!$A$36&gt;35,N70+M71-V70,IF(A71&lt;'Données projet'!$A$36,$K$205^A71,IF(A71='Données projet'!$A$36,'Données projet'!$B$36,N70+M71-V70)))</f>
        <v>162</v>
      </c>
      <c r="O71" s="14">
        <f>N71*VLOOKUP('Données projet'!$B$9,Paramètres!$A$1:$I$89,3,0)*VLOOKUP('Données projet'!$B$9,Paramètres!$A$1:$I$89,5,0)</f>
        <v>184.48560000000001</v>
      </c>
      <c r="P71" s="14">
        <f t="shared" si="87"/>
        <v>46.318715382308234</v>
      </c>
      <c r="Q71" s="22">
        <f t="shared" si="54"/>
        <v>401.98418262418681</v>
      </c>
      <c r="R71" s="62">
        <f t="shared" si="55"/>
        <v>695.31751595752007</v>
      </c>
      <c r="S71" s="62">
        <f ca="1">AVERAGE(OFFSET($R$3,0,0,'Données projet'!$E$9+1,1))-AVERAGE(OFFSET($H$3,0,0,'Données projet'!$E$9+1,1))</f>
        <v>342.36307961726635</v>
      </c>
      <c r="T71" s="62">
        <f t="shared" si="88"/>
        <v>174.32967064896343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195.80903373714432</v>
      </c>
      <c r="AO71" s="62">
        <f t="shared" si="90"/>
        <v>388.30721786668977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46.551612292110264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5.0732601927004671E-4</v>
      </c>
      <c r="AX71" s="23">
        <f t="shared" si="60"/>
        <v>46.552119618129531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5</v>
      </c>
      <c r="N72" s="14">
        <f>IF('Données projet'!$A$36&gt;35,N71+M72-V71,IF(A72&lt;'Données projet'!$A$36,$K$205^A72,IF(A72='Données projet'!$A$36,'Données projet'!$B$36,N71+M72-V71)))</f>
        <v>167</v>
      </c>
      <c r="O72" s="14">
        <f>N72*VLOOKUP('Données projet'!$B$9,Paramètres!$A$1:$I$89,3,0)*VLOOKUP('Données projet'!$B$9,Paramètres!$A$1:$I$89,5,0)</f>
        <v>190.17959999999999</v>
      </c>
      <c r="P72" s="14">
        <f t="shared" si="87"/>
        <v>47.579657677542855</v>
      </c>
      <c r="Q72" s="22">
        <f t="shared" si="54"/>
        <v>414.09737378838713</v>
      </c>
      <c r="R72" s="62">
        <f t="shared" si="55"/>
        <v>707.43070712172039</v>
      </c>
      <c r="S72" s="62">
        <f ca="1">AVERAGE(OFFSET($R$3,0,0,'Données projet'!$E$9+1,1))-AVERAGE(OFFSET($H$3,0,0,'Données projet'!$E$9+1,1))</f>
        <v>342.36307961726635</v>
      </c>
      <c r="T72" s="62">
        <f t="shared" si="88"/>
        <v>174.32967064896343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195.80903373714432</v>
      </c>
      <c r="AO72" s="62">
        <f t="shared" si="90"/>
        <v>388.30721786668977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45.638763568741837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3.5873366849822712E-4</v>
      </c>
      <c r="AX72" s="23">
        <f t="shared" si="60"/>
        <v>45.639122302410335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172</v>
      </c>
      <c r="L73" s="13">
        <f>VLOOKUP(A73,'Données projet'!$A$35:$I$55,9,0)</f>
        <v>5</v>
      </c>
      <c r="M73" s="13">
        <f t="array" ref="M73">INDEX(L:L,MIN(IF(ISNUMBER(L73:L269),ROW(L73:L269),"")))</f>
        <v>5</v>
      </c>
      <c r="N73" s="14">
        <f>IF('Données projet'!$A$36&gt;35,N72+M73-V72,IF(A73&lt;'Données projet'!$A$36,$K$205^A73,IF(A73='Données projet'!$A$36,'Données projet'!$B$36,N72+M73-V72)))</f>
        <v>172</v>
      </c>
      <c r="O73" s="14">
        <f>N73*VLOOKUP('Données projet'!$B$9,Paramètres!$A$1:$I$89,3,0)*VLOOKUP('Données projet'!$B$9,Paramètres!$A$1:$I$89,5,0)</f>
        <v>195.87360000000001</v>
      </c>
      <c r="P73" s="14">
        <f t="shared" si="87"/>
        <v>48.836212506996127</v>
      </c>
      <c r="Q73" s="22">
        <f t="shared" si="54"/>
        <v>426.20292344968493</v>
      </c>
      <c r="R73" s="62">
        <f t="shared" si="55"/>
        <v>719.53625678301819</v>
      </c>
      <c r="S73" s="62">
        <f ca="1">AVERAGE(OFFSET($R$3,0,0,'Données projet'!$E$9+1,1))-AVERAGE(OFFSET($H$3,0,0,'Données projet'!$E$9+1,1))</f>
        <v>342.36307961726635</v>
      </c>
      <c r="T73" s="62">
        <f t="shared" si="88"/>
        <v>174.32967064896343</v>
      </c>
      <c r="U73" s="16">
        <f>IF(ISNA(VLOOKUP(A73,'Données projet'!$A$35:$I$55,3,0)),0,VLOOKUP(A73,'Données projet'!$A$35:$I$55,3,0))</f>
        <v>10</v>
      </c>
      <c r="V73" s="16">
        <f>IF(ISNA(VLOOKUP(A73,'Données projet'!$A$35:$I$55,4,0)),0,VLOOKUP(A73,'Données projet'!$A$35:$I$55,4,0))</f>
        <v>14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195.80903373714432</v>
      </c>
      <c r="AO73" s="62">
        <f t="shared" si="90"/>
        <v>388.30721786668977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44.743815252055924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2.5366300963502336E-4</v>
      </c>
      <c r="AX73" s="23">
        <f t="shared" si="60"/>
        <v>44.744068915065561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5</v>
      </c>
      <c r="N74" s="14">
        <f>IF('Données projet'!$A$36&gt;35,N73+M74-V73,IF(A74&lt;'Données projet'!$A$36,$K$205^A74,IF(A74='Données projet'!$A$36,'Données projet'!$B$36,N73+M74-V73)))</f>
        <v>163</v>
      </c>
      <c r="O74" s="14">
        <f>N74*VLOOKUP('Données projet'!$B$9,Paramètres!$A$1:$I$89,3,0)*VLOOKUP('Données projet'!$B$9,Paramètres!$A$1:$I$89,5,0)</f>
        <v>185.62440000000001</v>
      </c>
      <c r="P74" s="14">
        <f t="shared" si="87"/>
        <v>46.571261969320169</v>
      </c>
      <c r="Q74" s="22">
        <f t="shared" si="54"/>
        <v>404.40744459656599</v>
      </c>
      <c r="R74" s="62">
        <f t="shared" si="55"/>
        <v>697.74077792989931</v>
      </c>
      <c r="S74" s="62">
        <f ca="1">AVERAGE(OFFSET($R$3,0,0,'Données projet'!$E$9+1,1))-AVERAGE(OFFSET($H$3,0,0,'Données projet'!$E$9+1,1))</f>
        <v>342.36307961726635</v>
      </c>
      <c r="T74" s="62">
        <f t="shared" si="88"/>
        <v>174.32967064896343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195.80903373714432</v>
      </c>
      <c r="AO74" s="62">
        <f t="shared" si="90"/>
        <v>388.30721786668977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43.866416325995644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1.7936683424911356E-4</v>
      </c>
      <c r="AX74" s="23">
        <f t="shared" si="60"/>
        <v>43.86659569282989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5</v>
      </c>
      <c r="N75" s="14">
        <f>IF('Données projet'!$A$36&gt;35,N74+M75-V74,IF(A75&lt;'Données projet'!$A$36,$K$205^A75,IF(A75='Données projet'!$A$36,'Données projet'!$B$36,N74+M75-V74)))</f>
        <v>168</v>
      </c>
      <c r="O75" s="14">
        <f>N75*VLOOKUP('Données projet'!$B$9,Paramètres!$A$1:$I$89,3,0)*VLOOKUP('Données projet'!$B$9,Paramètres!$A$1:$I$89,5,0)</f>
        <v>191.3184</v>
      </c>
      <c r="P75" s="14">
        <f t="shared" si="87"/>
        <v>47.831314962098354</v>
      </c>
      <c r="Q75" s="22">
        <f t="shared" si="54"/>
        <v>416.51908689232135</v>
      </c>
      <c r="R75" s="62">
        <f t="shared" si="55"/>
        <v>709.85242022565467</v>
      </c>
      <c r="S75" s="62">
        <f ca="1">AVERAGE(OFFSET($R$3,0,0,'Données projet'!$E$9+1,1))-AVERAGE(OFFSET($H$3,0,0,'Données projet'!$E$9+1,1))</f>
        <v>342.36307961726635</v>
      </c>
      <c r="T75" s="62">
        <f t="shared" si="88"/>
        <v>174.32967064896343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195.80903373714432</v>
      </c>
      <c r="AO75" s="62">
        <f t="shared" si="90"/>
        <v>388.30721786668977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43.006222657714908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1.2683150481751168E-4</v>
      </c>
      <c r="AX75" s="23">
        <f t="shared" si="60"/>
        <v>43.006349489219723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5</v>
      </c>
      <c r="N76" s="14">
        <f>IF('Données projet'!$A$36&gt;35,N75+M76-V75,IF(A76&lt;'Données projet'!$A$36,$K$205^A76,IF(A76='Données projet'!$A$36,'Données projet'!$B$36,N75+M76-V75)))</f>
        <v>173</v>
      </c>
      <c r="O76" s="14">
        <f>N76*VLOOKUP('Données projet'!$B$9,Paramètres!$A$1:$I$89,3,0)*VLOOKUP('Données projet'!$B$9,Paramètres!$A$1:$I$89,5,0)</f>
        <v>197.01239999999999</v>
      </c>
      <c r="P76" s="14">
        <f t="shared" si="87"/>
        <v>49.087009643867567</v>
      </c>
      <c r="Q76" s="22">
        <f t="shared" si="54"/>
        <v>428.62313846306932</v>
      </c>
      <c r="R76" s="62">
        <f t="shared" si="55"/>
        <v>721.95647179640264</v>
      </c>
      <c r="S76" s="62">
        <f ca="1">AVERAGE(OFFSET($R$3,0,0,'Données projet'!$E$9+1,1))-AVERAGE(OFFSET($H$3,0,0,'Données projet'!$E$9+1,1))</f>
        <v>342.36307961726635</v>
      </c>
      <c r="T76" s="62">
        <f t="shared" si="88"/>
        <v>174.32967064896343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195.80903373714432</v>
      </c>
      <c r="AO76" s="62">
        <f t="shared" si="90"/>
        <v>388.30721786668977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42.162896862602821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8.968341712455678E-5</v>
      </c>
      <c r="AX76" s="23">
        <f t="shared" si="60"/>
        <v>42.162986546019944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5</v>
      </c>
      <c r="N77" s="14">
        <f>IF('Données projet'!$A$36&gt;35,N76+M77-V76,IF(A77&lt;'Données projet'!$A$36,$K$205^A77,IF(A77='Données projet'!$A$36,'Données projet'!$B$36,N76+M77-V76)))</f>
        <v>178</v>
      </c>
      <c r="O77" s="14">
        <f>N77*VLOOKUP('Données projet'!$B$9,Paramètres!$A$1:$I$89,3,0)*VLOOKUP('Données projet'!$B$9,Paramètres!$A$1:$I$89,5,0)</f>
        <v>202.7064</v>
      </c>
      <c r="P77" s="14">
        <f t="shared" si="87"/>
        <v>50.338486442784266</v>
      </c>
      <c r="Q77" s="22">
        <f t="shared" si="54"/>
        <v>440.71984388784927</v>
      </c>
      <c r="R77" s="62">
        <f t="shared" si="55"/>
        <v>734.05317722118252</v>
      </c>
      <c r="S77" s="62">
        <f ca="1">AVERAGE(OFFSET($R$3,0,0,'Données projet'!$E$9+1,1))-AVERAGE(OFFSET($H$3,0,0,'Données projet'!$E$9+1,1))</f>
        <v>342.36307961726635</v>
      </c>
      <c r="T77" s="62">
        <f t="shared" si="88"/>
        <v>174.32967064896343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195.80903373714432</v>
      </c>
      <c r="AO77" s="62">
        <f t="shared" si="90"/>
        <v>388.30721786668977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41.33610817195494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6.3415752408755839E-5</v>
      </c>
      <c r="AX77" s="23">
        <f t="shared" si="60"/>
        <v>41.336171587707348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183</v>
      </c>
      <c r="L78" s="13">
        <f>VLOOKUP(A78,'Données projet'!$A$35:$I$55,9,0)</f>
        <v>5</v>
      </c>
      <c r="M78" s="13">
        <f t="array" ref="M78">INDEX(L:L,MIN(IF(ISNUMBER(L78:L274),ROW(L78:L274),"")))</f>
        <v>5</v>
      </c>
      <c r="N78" s="14">
        <f>IF('Données projet'!$A$36&gt;35,N77+M78-V77,IF(A78&lt;'Données projet'!$A$36,$K$205^A78,IF(A78='Données projet'!$A$36,'Données projet'!$B$36,N77+M78-V77)))</f>
        <v>183</v>
      </c>
      <c r="O78" s="14">
        <f>N78*VLOOKUP('Données projet'!$B$9,Paramètres!$A$1:$I$89,3,0)*VLOOKUP('Données projet'!$B$9,Paramètres!$A$1:$I$89,5,0)</f>
        <v>208.40040000000002</v>
      </c>
      <c r="P78" s="14">
        <f t="shared" si="87"/>
        <v>51.585877448947251</v>
      </c>
      <c r="Q78" s="22">
        <f t="shared" si="54"/>
        <v>452.80943322358308</v>
      </c>
      <c r="R78" s="62">
        <f t="shared" si="55"/>
        <v>746.1427665569164</v>
      </c>
      <c r="S78" s="62">
        <f ca="1">AVERAGE(OFFSET($R$3,0,0,'Données projet'!$E$9+1,1))-AVERAGE(OFFSET($H$3,0,0,'Données projet'!$E$9+1,1))</f>
        <v>342.36307961726635</v>
      </c>
      <c r="T78" s="62">
        <f t="shared" si="88"/>
        <v>174.32967064896343</v>
      </c>
      <c r="U78" s="16">
        <f>IF(ISNA(VLOOKUP(A78,'Données projet'!$A$35:$I$55,3,0)),0,VLOOKUP(A78,'Données projet'!$A$35:$I$55,3,0))</f>
        <v>11</v>
      </c>
      <c r="V78" s="16">
        <f>IF(ISNA(VLOOKUP(A78,'Données projet'!$A$35:$I$55,4,0)),0,VLOOKUP(A78,'Données projet'!$A$35:$I$55,4,0))</f>
        <v>14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195.80903373714432</v>
      </c>
      <c r="AO78" s="62">
        <f t="shared" si="90"/>
        <v>388.30721786668977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40.525532303239359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4.484170856227839E-5</v>
      </c>
      <c r="AX78" s="23">
        <f t="shared" si="60"/>
        <v>40.525577144947924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4.5999999999999996</v>
      </c>
      <c r="N79" s="14">
        <f>IF('Données projet'!$A$36&gt;35,N78+M79-V78,IF(A79&lt;'Données projet'!$A$36,$K$205^A79,IF(A79='Données projet'!$A$36,'Données projet'!$B$36,N78+M79-V78)))</f>
        <v>173.6</v>
      </c>
      <c r="O79" s="14">
        <f>N79*VLOOKUP('Données projet'!$B$9,Paramètres!$A$1:$I$89,3,0)*VLOOKUP('Données projet'!$B$9,Paramètres!$A$1:$I$89,5,0)</f>
        <v>197.69568000000001</v>
      </c>
      <c r="P79" s="14">
        <f t="shared" si="87"/>
        <v>49.237406885887061</v>
      </c>
      <c r="Q79" s="22">
        <f t="shared" si="54"/>
        <v>430.07512632625327</v>
      </c>
      <c r="R79" s="62">
        <f t="shared" si="55"/>
        <v>723.40845965958658</v>
      </c>
      <c r="S79" s="62">
        <f ca="1">AVERAGE(OFFSET($R$3,0,0,'Données projet'!$E$9+1,1))-AVERAGE(OFFSET($H$3,0,0,'Données projet'!$E$9+1,1))</f>
        <v>342.36307961726635</v>
      </c>
      <c r="T79" s="62">
        <f t="shared" si="88"/>
        <v>174.32967064896343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195.80903373714432</v>
      </c>
      <c r="AO79" s="62">
        <f t="shared" si="90"/>
        <v>388.30721786668977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39.73085133290683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3.170787620437792E-5</v>
      </c>
      <c r="AX79" s="23">
        <f t="shared" si="60"/>
        <v>39.730883040783034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4.5999999999999996</v>
      </c>
      <c r="N80" s="14">
        <f>IF('Données projet'!$A$36&gt;35,N79+M80-V79,IF(A80&lt;'Données projet'!$A$36,$K$205^A80,IF(A80='Données projet'!$A$36,'Données projet'!$B$36,N79+M80-V79)))</f>
        <v>178.2</v>
      </c>
      <c r="O80" s="14">
        <f>N80*VLOOKUP('Données projet'!$B$9,Paramètres!$A$1:$I$89,3,0)*VLOOKUP('Données projet'!$B$9,Paramètres!$A$1:$I$89,5,0)</f>
        <v>202.93415999999999</v>
      </c>
      <c r="P80" s="14">
        <f t="shared" si="87"/>
        <v>50.388459677844857</v>
      </c>
      <c r="Q80" s="22">
        <f t="shared" si="54"/>
        <v>441.20356260557975</v>
      </c>
      <c r="R80" s="62">
        <f t="shared" si="55"/>
        <v>734.53689593891306</v>
      </c>
      <c r="S80" s="62">
        <f ca="1">AVERAGE(OFFSET($R$3,0,0,'Données projet'!$E$9+1,1))-AVERAGE(OFFSET($H$3,0,0,'Données projet'!$E$9+1,1))</f>
        <v>342.36307961726635</v>
      </c>
      <c r="T80" s="62">
        <f t="shared" si="88"/>
        <v>174.32967064896343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195.80903373714432</v>
      </c>
      <c r="AO80" s="62">
        <f t="shared" si="90"/>
        <v>388.30721786668977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38.951753571694987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2.2420854281139195E-5</v>
      </c>
      <c r="AX80" s="23">
        <f t="shared" si="60"/>
        <v>38.951775992549265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4.5999999999999996</v>
      </c>
      <c r="N81" s="14">
        <f>IF('Données projet'!$A$36&gt;35,N80+M81-V80,IF(A81&lt;'Données projet'!$A$36,$K$205^A81,IF(A81='Données projet'!$A$36,'Données projet'!$B$36,N80+M81-V80)))</f>
        <v>182.79999999999998</v>
      </c>
      <c r="O81" s="14">
        <f>N81*VLOOKUP('Données projet'!$B$9,Paramètres!$A$1:$I$89,3,0)*VLOOKUP('Données projet'!$B$9,Paramètres!$A$1:$I$89,5,0)</f>
        <v>208.17264</v>
      </c>
      <c r="P81" s="14">
        <f t="shared" si="87"/>
        <v>51.53605867106517</v>
      </c>
      <c r="Q81" s="22">
        <f t="shared" si="54"/>
        <v>452.32598351877181</v>
      </c>
      <c r="R81" s="62">
        <f t="shared" si="55"/>
        <v>745.65931685210512</v>
      </c>
      <c r="S81" s="62">
        <f ca="1">AVERAGE(OFFSET($R$3,0,0,'Données projet'!$E$9+1,1))-AVERAGE(OFFSET($H$3,0,0,'Données projet'!$E$9+1,1))</f>
        <v>342.36307961726635</v>
      </c>
      <c r="T81" s="62">
        <f t="shared" si="88"/>
        <v>174.32967064896343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195.80903373714432</v>
      </c>
      <c r="AO81" s="62">
        <f t="shared" si="90"/>
        <v>388.30721786668977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38.187933442377798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1.585393810218896E-5</v>
      </c>
      <c r="AX81" s="23">
        <f t="shared" si="60"/>
        <v>38.1879492963159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4.5999999999999996</v>
      </c>
      <c r="N82" s="14">
        <f>IF('Données projet'!$A$36&gt;35,N81+M82-V81,IF(A82&lt;'Données projet'!$A$36,$K$205^A82,IF(A82='Données projet'!$A$36,'Données projet'!$B$36,N81+M82-V81)))</f>
        <v>187.39999999999998</v>
      </c>
      <c r="O82" s="14">
        <f>N82*VLOOKUP('Données projet'!$B$9,Paramètres!$A$1:$I$89,3,0)*VLOOKUP('Données projet'!$B$9,Paramètres!$A$1:$I$89,5,0)</f>
        <v>213.41111999999998</v>
      </c>
      <c r="P82" s="14">
        <f t="shared" si="87"/>
        <v>52.680300772591785</v>
      </c>
      <c r="Q82" s="22">
        <f t="shared" si="54"/>
        <v>463.44255784559732</v>
      </c>
      <c r="R82" s="62">
        <f t="shared" si="55"/>
        <v>756.77589117893058</v>
      </c>
      <c r="S82" s="62">
        <f ca="1">AVERAGE(OFFSET($R$3,0,0,'Données projet'!$E$9+1,1))-AVERAGE(OFFSET($H$3,0,0,'Données projet'!$E$9+1,1))</f>
        <v>342.36307961726635</v>
      </c>
      <c r="T82" s="62">
        <f t="shared" si="88"/>
        <v>174.32967064896343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195.80903373714432</v>
      </c>
      <c r="AO82" s="62">
        <f t="shared" si="90"/>
        <v>388.30721786668977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37.43909135991224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1.1210427140569598E-5</v>
      </c>
      <c r="AX82" s="23">
        <f t="shared" si="60"/>
        <v>37.439102570339379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192</v>
      </c>
      <c r="L83" s="13">
        <f>VLOOKUP(A83,'Données projet'!$A$35:$I$55,9,0)</f>
        <v>4.5999999999999996</v>
      </c>
      <c r="M83" s="13">
        <f t="array" ref="M83">INDEX(L:L,MIN(IF(ISNUMBER(L83:L279),ROW(L83:L279),"")))</f>
        <v>4.5999999999999996</v>
      </c>
      <c r="N83" s="14">
        <f>IF('Données projet'!$A$36&gt;35,N82+M83-V82,IF(A83&lt;'Données projet'!$A$36,$K$205^A83,IF(A83='Données projet'!$A$36,'Données projet'!$B$36,N82+M83-V82)))</f>
        <v>191.99999999999997</v>
      </c>
      <c r="O83" s="14">
        <f>N83*VLOOKUP('Données projet'!$B$9,Paramètres!$A$1:$I$89,3,0)*VLOOKUP('Données projet'!$B$9,Paramètres!$A$1:$I$89,5,0)</f>
        <v>218.64959999999996</v>
      </c>
      <c r="P83" s="14">
        <f t="shared" si="87"/>
        <v>53.821277860805893</v>
      </c>
      <c r="Q83" s="22">
        <f t="shared" si="54"/>
        <v>474.55344560757021</v>
      </c>
      <c r="R83" s="62">
        <f t="shared" si="55"/>
        <v>767.88677894090347</v>
      </c>
      <c r="S83" s="62">
        <f ca="1">AVERAGE(OFFSET($R$3,0,0,'Données projet'!$E$9+1,1))-AVERAGE(OFFSET($H$3,0,0,'Données projet'!$E$9+1,1))</f>
        <v>342.36307961726635</v>
      </c>
      <c r="T83" s="62">
        <f t="shared" si="88"/>
        <v>174.32967064896343</v>
      </c>
      <c r="U83" s="16">
        <f>IF(ISNA(VLOOKUP(A83,'Données projet'!$A$35:$I$55,3,0)),0,VLOOKUP(A83,'Données projet'!$A$35:$I$55,3,0))</f>
        <v>12</v>
      </c>
      <c r="V83" s="16">
        <f>IF(ISNA(VLOOKUP(A83,'Données projet'!$A$35:$I$55,4,0)),0,VLOOKUP(A83,'Données projet'!$A$35:$I$55,4,0))</f>
        <v>14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195.80903373714432</v>
      </c>
      <c r="AO83" s="62">
        <f t="shared" si="90"/>
        <v>388.30721786668977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36.70493361393526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7.9269690510944799E-6</v>
      </c>
      <c r="AX83" s="23">
        <f t="shared" si="60"/>
        <v>36.704941540904315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3</v>
      </c>
      <c r="N84" s="14">
        <f>IF('Données projet'!$A$36&gt;35,N83+M84-V83,IF(A84&lt;'Données projet'!$A$36,$K$205^A84,IF(A84='Données projet'!$A$36,'Données projet'!$B$36,N83+M84-V83)))</f>
        <v>180.99999999999997</v>
      </c>
      <c r="O84" s="14">
        <f>N84*VLOOKUP('Données projet'!$B$9,Paramètres!$A$1:$I$89,3,0)*VLOOKUP('Données projet'!$B$9,Paramètres!$A$1:$I$89,5,0)</f>
        <v>206.12279999999996</v>
      </c>
      <c r="P84" s="14">
        <f t="shared" si="87"/>
        <v>51.087403212899119</v>
      </c>
      <c r="Q84" s="22">
        <f t="shared" si="54"/>
        <v>447.97443726246587</v>
      </c>
      <c r="R84" s="62">
        <f t="shared" si="55"/>
        <v>741.30777059579918</v>
      </c>
      <c r="S84" s="62">
        <f ca="1">AVERAGE(OFFSET($R$3,0,0,'Données projet'!$E$9+1,1))-AVERAGE(OFFSET($H$3,0,0,'Données projet'!$E$9+1,1))</f>
        <v>342.36307961726635</v>
      </c>
      <c r="T84" s="62">
        <f t="shared" si="88"/>
        <v>174.32967064896343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195.80903373714432</v>
      </c>
      <c r="AO84" s="62">
        <f t="shared" si="90"/>
        <v>388.30721786668977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35.985172253564883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5.6052135702847988E-6</v>
      </c>
      <c r="AX84" s="23">
        <f t="shared" si="60"/>
        <v>35.985177858778457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3</v>
      </c>
      <c r="N85" s="14">
        <f>IF('Données projet'!$A$36&gt;35,N84+M85-V84,IF(A85&lt;'Données projet'!$A$36,$K$205^A85,IF(A85='Données projet'!$A$36,'Données projet'!$B$36,N84+M85-V84)))</f>
        <v>183.99999999999997</v>
      </c>
      <c r="O85" s="14">
        <f>N85*VLOOKUP('Données projet'!$B$9,Paramètres!$A$1:$I$89,3,0)*VLOOKUP('Données projet'!$B$9,Paramètres!$A$1:$I$89,5,0)</f>
        <v>209.53919999999997</v>
      </c>
      <c r="P85" s="14">
        <f t="shared" si="87"/>
        <v>51.83487643455139</v>
      </c>
      <c r="Q85" s="22">
        <f t="shared" si="54"/>
        <v>455.22651645684351</v>
      </c>
      <c r="R85" s="62">
        <f t="shared" si="55"/>
        <v>748.55984979017683</v>
      </c>
      <c r="S85" s="62">
        <f ca="1">AVERAGE(OFFSET($R$3,0,0,'Données projet'!$E$9+1,1))-AVERAGE(OFFSET($H$3,0,0,'Données projet'!$E$9+1,1))</f>
        <v>342.36307961726635</v>
      </c>
      <c r="T85" s="62">
        <f t="shared" si="88"/>
        <v>174.32967064896343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195.80903373714432</v>
      </c>
      <c r="AO85" s="62">
        <f t="shared" si="90"/>
        <v>388.30721786668977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35.279524974460287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3.96348452554724E-6</v>
      </c>
      <c r="AX85" s="23">
        <f t="shared" si="60"/>
        <v>35.279528937944811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3</v>
      </c>
      <c r="N86" s="14">
        <f>IF('Données projet'!$A$36&gt;35,N85+M86-V85,IF(A86&lt;'Données projet'!$A$36,$K$205^A86,IF(A86='Données projet'!$A$36,'Données projet'!$B$36,N85+M86-V85)))</f>
        <v>186.99999999999997</v>
      </c>
      <c r="O86" s="14">
        <f>N86*VLOOKUP('Données projet'!$B$9,Paramètres!$A$1:$I$89,3,0)*VLOOKUP('Données projet'!$B$9,Paramètres!$A$1:$I$89,5,0)</f>
        <v>212.95559999999995</v>
      </c>
      <c r="P86" s="14">
        <f t="shared" si="87"/>
        <v>52.580932360887203</v>
      </c>
      <c r="Q86" s="22">
        <f t="shared" si="54"/>
        <v>462.47612719521175</v>
      </c>
      <c r="R86" s="62">
        <f t="shared" si="55"/>
        <v>755.80946052854506</v>
      </c>
      <c r="S86" s="62">
        <f ca="1">AVERAGE(OFFSET($R$3,0,0,'Données projet'!$E$9+1,1))-AVERAGE(OFFSET($H$3,0,0,'Données projet'!$E$9+1,1))</f>
        <v>342.36307961726635</v>
      </c>
      <c r="T86" s="62">
        <f t="shared" si="88"/>
        <v>174.32967064896343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195.80903373714432</v>
      </c>
      <c r="AO86" s="62">
        <f t="shared" si="90"/>
        <v>388.30721786668977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34.587715008096588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2.8026067851423994E-6</v>
      </c>
      <c r="AX86" s="23">
        <f t="shared" si="60"/>
        <v>34.587717810703374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3</v>
      </c>
      <c r="N87" s="14">
        <f>IF('Données projet'!$A$36&gt;35,N86+M87-V86,IF(A87&lt;'Données projet'!$A$36,$K$205^A87,IF(A87='Données projet'!$A$36,'Données projet'!$B$36,N86+M87-V86)))</f>
        <v>189.99999999999997</v>
      </c>
      <c r="O87" s="14">
        <f>N87*VLOOKUP('Données projet'!$B$9,Paramètres!$A$1:$I$89,3,0)*VLOOKUP('Données projet'!$B$9,Paramètres!$A$1:$I$89,5,0)</f>
        <v>216.37199999999999</v>
      </c>
      <c r="P87" s="14">
        <f t="shared" si="87"/>
        <v>53.325596354398634</v>
      </c>
      <c r="Q87" s="22">
        <f t="shared" si="54"/>
        <v>469.72331365057761</v>
      </c>
      <c r="R87" s="62">
        <f t="shared" si="55"/>
        <v>763.05664698391092</v>
      </c>
      <c r="S87" s="62">
        <f ca="1">AVERAGE(OFFSET($R$3,0,0,'Données projet'!$E$9+1,1))-AVERAGE(OFFSET($H$3,0,0,'Données projet'!$E$9+1,1))</f>
        <v>342.36307961726635</v>
      </c>
      <c r="T87" s="62">
        <f t="shared" si="88"/>
        <v>174.32967064896343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195.80903373714432</v>
      </c>
      <c r="AO87" s="62">
        <f t="shared" si="90"/>
        <v>388.30721786668977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33.909471013210869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1.98174226277362E-6</v>
      </c>
      <c r="AX87" s="23">
        <f t="shared" si="60"/>
        <v>33.909472994953134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193</v>
      </c>
      <c r="L88" s="13">
        <f>VLOOKUP(A88,'Données projet'!$A$35:$I$55,9,0)</f>
        <v>3</v>
      </c>
      <c r="M88" s="13">
        <f t="array" ref="M88">INDEX(L:L,MIN(IF(ISNUMBER(L88:L284),ROW(L88:L284),"")))</f>
        <v>3</v>
      </c>
      <c r="N88" s="14">
        <f>IF('Données projet'!$A$36&gt;35,N87+M88-V87,IF(A88&lt;'Données projet'!$A$36,$K$205^A88,IF(A88='Données projet'!$A$36,'Données projet'!$B$36,N87+M88-V87)))</f>
        <v>192.99999999999997</v>
      </c>
      <c r="O88" s="14">
        <f>N88*VLOOKUP('Données projet'!$B$9,Paramètres!$A$1:$I$89,3,0)*VLOOKUP('Données projet'!$B$9,Paramètres!$A$1:$I$89,5,0)</f>
        <v>219.7884</v>
      </c>
      <c r="P88" s="14">
        <f t="shared" si="87"/>
        <v>54.068892930716707</v>
      </c>
      <c r="Q88" s="22">
        <f t="shared" si="54"/>
        <v>476.9681185209983</v>
      </c>
      <c r="R88" s="62">
        <f t="shared" si="55"/>
        <v>770.30145185433162</v>
      </c>
      <c r="S88" s="62">
        <f ca="1">AVERAGE(OFFSET($R$3,0,0,'Données projet'!$E$9+1,1))-AVERAGE(OFFSET($H$3,0,0,'Données projet'!$E$9+1,1))</f>
        <v>342.36307961726635</v>
      </c>
      <c r="T88" s="62">
        <f t="shared" si="88"/>
        <v>174.32967064896343</v>
      </c>
      <c r="U88" s="16">
        <f>IF(ISNA(VLOOKUP(A88,'Données projet'!$A$35:$I$55,3,0)),0,VLOOKUP(A88,'Données projet'!$A$35:$I$55,3,0))</f>
        <v>13</v>
      </c>
      <c r="V88" s="16">
        <f>IF(ISNA(VLOOKUP(A88,'Données projet'!$A$35:$I$55,4,0)),0,VLOOKUP(A88,'Données projet'!$A$35:$I$55,4,0))</f>
        <v>14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195.80903373714432</v>
      </c>
      <c r="AO88" s="62">
        <f t="shared" si="90"/>
        <v>388.30721786668977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33.244526969376871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1.4013033925711997E-6</v>
      </c>
      <c r="AX88" s="23">
        <f t="shared" si="60"/>
        <v>33.244528370680264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5.6</v>
      </c>
      <c r="N89" s="14">
        <f>IF('Données projet'!$A$36&gt;35,N88+M89-V88,IF(A89&lt;'Données projet'!$A$36,$K$205^A89,IF(A89='Données projet'!$A$36,'Données projet'!$B$36,N88+M89-V88)))</f>
        <v>184.59999999999997</v>
      </c>
      <c r="O89" s="14">
        <f>N89*VLOOKUP('Données projet'!$B$9,Paramètres!$A$1:$I$89,3,0)*VLOOKUP('Données projet'!$B$9,Paramètres!$A$1:$I$89,5,0)</f>
        <v>210.22247999999999</v>
      </c>
      <c r="P89" s="14">
        <f t="shared" si="87"/>
        <v>51.984200179304807</v>
      </c>
      <c r="Q89" s="22">
        <f t="shared" si="54"/>
        <v>456.67663464562247</v>
      </c>
      <c r="R89" s="62">
        <f t="shared" si="55"/>
        <v>750.00996797895573</v>
      </c>
      <c r="S89" s="62">
        <f ca="1">AVERAGE(OFFSET($R$3,0,0,'Données projet'!$E$9+1,1))-AVERAGE(OFFSET($H$3,0,0,'Données projet'!$E$9+1,1))</f>
        <v>342.36307961726635</v>
      </c>
      <c r="T89" s="62">
        <f t="shared" si="88"/>
        <v>174.32967064896343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195.80903373714432</v>
      </c>
      <c r="AO89" s="62">
        <f t="shared" si="90"/>
        <v>388.30721786668977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32.592622072666636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9.9087113138680999E-7</v>
      </c>
      <c r="AX89" s="23">
        <f t="shared" si="60"/>
        <v>32.592623063537765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5.6</v>
      </c>
      <c r="N90" s="14">
        <f>IF('Données projet'!$A$36&gt;35,N89+M90-V89,IF(A90&lt;'Données projet'!$A$36,$K$205^A90,IF(A90='Données projet'!$A$36,'Données projet'!$B$36,N89+M90-V89)))</f>
        <v>190.19999999999996</v>
      </c>
      <c r="O90" s="14">
        <f>N90*VLOOKUP('Données projet'!$B$9,Paramètres!$A$1:$I$89,3,0)*VLOOKUP('Données projet'!$B$9,Paramètres!$A$1:$I$89,5,0)</f>
        <v>216.59975999999997</v>
      </c>
      <c r="P90" s="14">
        <f t="shared" si="87"/>
        <v>53.375191734862767</v>
      </c>
      <c r="Q90" s="22">
        <f t="shared" si="54"/>
        <v>470.20637427155265</v>
      </c>
      <c r="R90" s="62">
        <f t="shared" si="55"/>
        <v>763.53970760488596</v>
      </c>
      <c r="S90" s="62">
        <f ca="1">AVERAGE(OFFSET($R$3,0,0,'Données projet'!$E$9+1,1))-AVERAGE(OFFSET($H$3,0,0,'Données projet'!$E$9+1,1))</f>
        <v>342.36307961726635</v>
      </c>
      <c r="T90" s="62">
        <f t="shared" si="88"/>
        <v>174.32967064896343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195.80903373714432</v>
      </c>
      <c r="AO90" s="62">
        <f t="shared" si="90"/>
        <v>388.30721786668977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31.953500633358168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7.0065169628559984E-7</v>
      </c>
      <c r="AX90" s="23">
        <f t="shared" si="60"/>
        <v>31.953501334009864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5.6</v>
      </c>
      <c r="N91" s="14">
        <f>IF('Données projet'!$A$36&gt;35,N90+M91-V90,IF(A91&lt;'Données projet'!$A$36,$K$205^A91,IF(A91='Données projet'!$A$36,'Données projet'!$B$36,N90+M91-V90)))</f>
        <v>195.79999999999995</v>
      </c>
      <c r="O91" s="14">
        <f>N91*VLOOKUP('Données projet'!$B$9,Paramètres!$A$1:$I$89,3,0)*VLOOKUP('Données projet'!$B$9,Paramètres!$A$1:$I$89,5,0)</f>
        <v>222.97703999999996</v>
      </c>
      <c r="P91" s="14">
        <f t="shared" si="87"/>
        <v>54.761423615275852</v>
      </c>
      <c r="Q91" s="22">
        <f t="shared" si="54"/>
        <v>483.72782412993865</v>
      </c>
      <c r="R91" s="62">
        <f t="shared" si="55"/>
        <v>777.06115746327191</v>
      </c>
      <c r="S91" s="62">
        <f ca="1">AVERAGE(OFFSET($R$3,0,0,'Données projet'!$E$9+1,1))-AVERAGE(OFFSET($H$3,0,0,'Données projet'!$E$9+1,1))</f>
        <v>342.36307961726635</v>
      </c>
      <c r="T91" s="62">
        <f t="shared" si="88"/>
        <v>174.32967064896343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195.80903373714432</v>
      </c>
      <c r="AO91" s="62">
        <f t="shared" si="90"/>
        <v>388.30721786668977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31.326911975648951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4.9543556569340499E-7</v>
      </c>
      <c r="AX91" s="23">
        <f t="shared" si="60"/>
        <v>31.326912471084515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5.6</v>
      </c>
      <c r="N92" s="14">
        <f>IF('Données projet'!$A$36&gt;35,N91+M92-V91,IF(A92&lt;'Données projet'!$A$36,$K$205^A92,IF(A92='Données projet'!$A$36,'Données projet'!$B$36,N91+M92-V91)))</f>
        <v>201.39999999999995</v>
      </c>
      <c r="O92" s="14">
        <f>N92*VLOOKUP('Données projet'!$B$9,Paramètres!$A$1:$I$89,3,0)*VLOOKUP('Données projet'!$B$9,Paramètres!$A$1:$I$89,5,0)</f>
        <v>229.35431999999994</v>
      </c>
      <c r="P92" s="14">
        <f t="shared" si="87"/>
        <v>56.143047584897467</v>
      </c>
      <c r="Q92" s="22">
        <f t="shared" si="54"/>
        <v>497.24124854369626</v>
      </c>
      <c r="R92" s="62">
        <f t="shared" si="55"/>
        <v>790.57458187702957</v>
      </c>
      <c r="S92" s="62">
        <f ca="1">AVERAGE(OFFSET($R$3,0,0,'Données projet'!$E$9+1,1))-AVERAGE(OFFSET($H$3,0,0,'Données projet'!$E$9+1,1))</f>
        <v>342.36307961726635</v>
      </c>
      <c r="T92" s="62">
        <f t="shared" si="88"/>
        <v>174.32967064896343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195.80903373714432</v>
      </c>
      <c r="AO92" s="62">
        <f t="shared" si="90"/>
        <v>388.30721786668977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30.712610339336067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3.5032584814279992E-7</v>
      </c>
      <c r="AX92" s="23">
        <f t="shared" si="60"/>
        <v>30.712610689661915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207</v>
      </c>
      <c r="L93" s="13">
        <f>VLOOKUP(A93,'Données projet'!$A$35:$I$55,9,0)</f>
        <v>5.6</v>
      </c>
      <c r="M93" s="13">
        <f t="array" ref="M93">INDEX(L:L,MIN(IF(ISNUMBER(L93:L289),ROW(L93:L289),"")))</f>
        <v>5.6</v>
      </c>
      <c r="N93" s="14">
        <f>IF('Données projet'!$A$36&gt;35,N92+M93-V92,IF(A93&lt;'Données projet'!$A$36,$K$205^A93,IF(A93='Données projet'!$A$36,'Données projet'!$B$36,N92+M93-V92)))</f>
        <v>206.99999999999994</v>
      </c>
      <c r="O93" s="14">
        <f>N93*VLOOKUP('Données projet'!$B$9,Paramètres!$A$1:$I$89,3,0)*VLOOKUP('Données projet'!$B$9,Paramètres!$A$1:$I$89,5,0)</f>
        <v>235.73159999999993</v>
      </c>
      <c r="P93" s="14">
        <f t="shared" si="87"/>
        <v>57.520206488125218</v>
      </c>
      <c r="Q93" s="22">
        <f t="shared" si="54"/>
        <v>510.74689630015132</v>
      </c>
      <c r="R93" s="62">
        <f t="shared" si="55"/>
        <v>804.08022963348458</v>
      </c>
      <c r="S93" s="62">
        <f ca="1">AVERAGE(OFFSET($R$3,0,0,'Données projet'!$E$9+1,1))-AVERAGE(OFFSET($H$3,0,0,'Données projet'!$E$9+1,1))</f>
        <v>342.36307961726635</v>
      </c>
      <c r="T93" s="62">
        <f t="shared" si="88"/>
        <v>174.32967064896343</v>
      </c>
      <c r="U93" s="16">
        <f>IF(ISNA(VLOOKUP(A93,'Données projet'!$A$35:$I$55,3,0)),0,VLOOKUP(A93,'Données projet'!$A$35:$I$55,3,0))</f>
        <v>14</v>
      </c>
      <c r="V93" s="16">
        <f>IF(ISNA(VLOOKUP(A93,'Données projet'!$A$35:$I$55,4,0)),0,VLOOKUP(A93,'Données projet'!$A$35:$I$55,4,0))</f>
        <v>14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195.80903373714432</v>
      </c>
      <c r="AO93" s="62">
        <f t="shared" si="90"/>
        <v>388.30721786668977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30.110354783424278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2.477177828467025E-7</v>
      </c>
      <c r="AX93" s="23">
        <f t="shared" si="60"/>
        <v>30.11035503114206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3.8</v>
      </c>
      <c r="N94" s="14">
        <f>IF('Données projet'!$A$36&gt;35,N93+M94-V93,IF(A94&lt;'Données projet'!$A$36,$K$205^A94,IF(A94='Données projet'!$A$36,'Données projet'!$B$36,N93+M94-V93)))</f>
        <v>196.79999999999995</v>
      </c>
      <c r="O94" s="14">
        <f>N94*VLOOKUP('Données projet'!$B$9,Paramètres!$A$1:$I$89,3,0)*VLOOKUP('Données projet'!$B$9,Paramètres!$A$1:$I$89,5,0)</f>
        <v>224.11583999999993</v>
      </c>
      <c r="P94" s="14">
        <f t="shared" si="87"/>
        <v>55.008475905663786</v>
      </c>
      <c r="Q94" s="22">
        <f t="shared" si="54"/>
        <v>486.14151686903097</v>
      </c>
      <c r="R94" s="62">
        <f t="shared" si="55"/>
        <v>779.47485020236422</v>
      </c>
      <c r="S94" s="62">
        <f ca="1">AVERAGE(OFFSET($R$3,0,0,'Données projet'!$E$9+1,1))-AVERAGE(OFFSET($H$3,0,0,'Données projet'!$E$9+1,1))</f>
        <v>342.36307961726635</v>
      </c>
      <c r="T94" s="62">
        <f t="shared" si="88"/>
        <v>174.32967064896343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195.80903373714432</v>
      </c>
      <c r="AO94" s="62">
        <f t="shared" si="90"/>
        <v>388.30721786668977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29.519909091624303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1.7516292407139996E-7</v>
      </c>
      <c r="AX94" s="23">
        <f t="shared" si="60"/>
        <v>29.519909266787227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3.8</v>
      </c>
      <c r="N95" s="14">
        <f>IF('Données projet'!$A$36&gt;35,N94+M95-V94,IF(A95&lt;'Données projet'!$A$36,$K$205^A95,IF(A95='Données projet'!$A$36,'Données projet'!$B$36,N94+M95-V94)))</f>
        <v>200.59999999999997</v>
      </c>
      <c r="O95" s="14">
        <f>N95*VLOOKUP('Données projet'!$B$9,Paramètres!$A$1:$I$89,3,0)*VLOOKUP('Données projet'!$B$9,Paramètres!$A$1:$I$89,5,0)</f>
        <v>228.44327999999996</v>
      </c>
      <c r="P95" s="14">
        <f t="shared" si="87"/>
        <v>55.945949343401196</v>
      </c>
      <c r="Q95" s="22">
        <f t="shared" si="54"/>
        <v>495.31124110642372</v>
      </c>
      <c r="R95" s="62">
        <f t="shared" si="55"/>
        <v>788.64457443975698</v>
      </c>
      <c r="S95" s="62">
        <f ca="1">AVERAGE(OFFSET($R$3,0,0,'Données projet'!$E$9+1,1))-AVERAGE(OFFSET($H$3,0,0,'Données projet'!$E$9+1,1))</f>
        <v>342.36307961726635</v>
      </c>
      <c r="T95" s="62">
        <f t="shared" si="88"/>
        <v>174.32967064896343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195.80903373714432</v>
      </c>
      <c r="AO95" s="62">
        <f t="shared" si="90"/>
        <v>388.30721786668977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28.941041679704213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1.2385889142335125E-7</v>
      </c>
      <c r="AX95" s="23">
        <f t="shared" si="60"/>
        <v>28.941041803563106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3.8</v>
      </c>
      <c r="N96" s="14">
        <f>IF('Données projet'!$A$36&gt;35,N95+M96-V95,IF(A96&lt;'Données projet'!$A$36,$K$205^A96,IF(A96='Données projet'!$A$36,'Données projet'!$B$36,N95+M96-V95)))</f>
        <v>204.39999999999998</v>
      </c>
      <c r="O96" s="14">
        <f>N96*VLOOKUP('Données projet'!$B$9,Paramètres!$A$1:$I$89,3,0)*VLOOKUP('Données projet'!$B$9,Paramètres!$A$1:$I$89,5,0)</f>
        <v>232.77071999999998</v>
      </c>
      <c r="P96" s="14">
        <f t="shared" si="87"/>
        <v>56.881357812977882</v>
      </c>
      <c r="Q96" s="22">
        <f t="shared" si="54"/>
        <v>504.47736885760304</v>
      </c>
      <c r="R96" s="62">
        <f t="shared" si="55"/>
        <v>797.81070219093635</v>
      </c>
      <c r="S96" s="62">
        <f ca="1">AVERAGE(OFFSET($R$3,0,0,'Données projet'!$E$9+1,1))-AVERAGE(OFFSET($H$3,0,0,'Données projet'!$E$9+1,1))</f>
        <v>342.36307961726635</v>
      </c>
      <c r="T96" s="62">
        <f t="shared" si="88"/>
        <v>174.32967064896343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195.80903373714432</v>
      </c>
      <c r="AO96" s="62">
        <f t="shared" si="90"/>
        <v>388.30721786668977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28.373525504657618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8.7581462035699981E-8</v>
      </c>
      <c r="AX96" s="23">
        <f t="shared" si="60"/>
        <v>28.37352559223908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3.8</v>
      </c>
      <c r="N97" s="14">
        <f>IF('Données projet'!$A$36&gt;35,N96+M97-V96,IF(A97&lt;'Données projet'!$A$36,$K$205^A97,IF(A97='Données projet'!$A$36,'Données projet'!$B$36,N96+M97-V96)))</f>
        <v>208.2</v>
      </c>
      <c r="O97" s="14">
        <f>N97*VLOOKUP('Données projet'!$B$9,Paramètres!$A$1:$I$89,3,0)*VLOOKUP('Données projet'!$B$9,Paramètres!$A$1:$I$89,5,0)</f>
        <v>237.09815999999998</v>
      </c>
      <c r="P97" s="14">
        <f t="shared" si="87"/>
        <v>57.814744131423225</v>
      </c>
      <c r="Q97" s="22">
        <f t="shared" si="54"/>
        <v>513.63997469556205</v>
      </c>
      <c r="R97" s="62">
        <f t="shared" si="55"/>
        <v>806.97330802889542</v>
      </c>
      <c r="S97" s="62">
        <f ca="1">AVERAGE(OFFSET($R$3,0,0,'Données projet'!$E$9+1,1))-AVERAGE(OFFSET($H$3,0,0,'Données projet'!$E$9+1,1))</f>
        <v>342.36307961726635</v>
      </c>
      <c r="T97" s="62">
        <f t="shared" si="88"/>
        <v>174.32967064896343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195.80903373714432</v>
      </c>
      <c r="AO97" s="62">
        <f t="shared" si="90"/>
        <v>388.30721786668977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27.817137975653001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6.1929445711675624E-8</v>
      </c>
      <c r="AX97" s="23">
        <f t="shared" si="60"/>
        <v>27.817138037582446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212</v>
      </c>
      <c r="L98" s="13">
        <f>VLOOKUP(A98,'Données projet'!$A$35:$I$55,9,0)</f>
        <v>3.8</v>
      </c>
      <c r="M98" s="13">
        <f t="array" ref="M98">INDEX(L:L,MIN(IF(ISNUMBER(L98:L294),ROW(L98:L294),"")))</f>
        <v>3.8</v>
      </c>
      <c r="N98" s="14">
        <f>IF('Données projet'!$A$36&gt;35,N97+M98-V97,IF(A98&lt;'Données projet'!$A$36,$K$205^A98,IF(A98='Données projet'!$A$36,'Données projet'!$B$36,N97+M98-V97)))</f>
        <v>212</v>
      </c>
      <c r="O98" s="14">
        <f>N98*VLOOKUP('Données projet'!$B$9,Paramètres!$A$1:$I$89,3,0)*VLOOKUP('Données projet'!$B$9,Paramètres!$A$1:$I$89,5,0)</f>
        <v>241.4256</v>
      </c>
      <c r="P98" s="14">
        <f t="shared" si="87"/>
        <v>58.746149463317458</v>
      </c>
      <c r="Q98" s="22">
        <f t="shared" si="54"/>
        <v>522.79913031527781</v>
      </c>
      <c r="R98" s="62">
        <f t="shared" si="55"/>
        <v>816.13246364861106</v>
      </c>
      <c r="S98" s="62">
        <f ca="1">AVERAGE(OFFSET($R$3,0,0,'Données projet'!$E$9+1,1))-AVERAGE(OFFSET($H$3,0,0,'Données projet'!$E$9+1,1))</f>
        <v>342.36307961726635</v>
      </c>
      <c r="T98" s="62">
        <f t="shared" si="88"/>
        <v>174.32967064896343</v>
      </c>
      <c r="U98" s="16">
        <f>IF(ISNA(VLOOKUP(A98,'Données projet'!$A$35:$I$55,3,0)),0,VLOOKUP(A98,'Données projet'!$A$35:$I$55,3,0))</f>
        <v>15</v>
      </c>
      <c r="V98" s="16">
        <f>IF(ISNA(VLOOKUP(A98,'Données projet'!$A$35:$I$55,4,0)),0,VLOOKUP(A98,'Données projet'!$A$35:$I$55,4,0))</f>
        <v>14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195.80903373714432</v>
      </c>
      <c r="AO98" s="62">
        <f t="shared" si="90"/>
        <v>388.30721786668977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27.271660866729281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4.379073101784999E-8</v>
      </c>
      <c r="AX98" s="23">
        <f t="shared" si="60"/>
        <v>27.271660910520012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3.4</v>
      </c>
      <c r="N99" s="14">
        <f>IF('Données projet'!$A$36&gt;35,N98+M99-V98,IF(A99&lt;'Données projet'!$A$36,$K$205^A99,IF(A99='Données projet'!$A$36,'Données projet'!$B$36,N98+M99-V98)))</f>
        <v>201.4</v>
      </c>
      <c r="O99" s="14">
        <f>N99*VLOOKUP('Données projet'!$B$9,Paramètres!$A$1:$I$89,3,0)*VLOOKUP('Données projet'!$B$9,Paramètres!$A$1:$I$89,5,0)</f>
        <v>229.35432</v>
      </c>
      <c r="P99" s="14">
        <f t="shared" si="87"/>
        <v>56.143047584897467</v>
      </c>
      <c r="Q99" s="22">
        <f t="shared" ref="Q99:Q130" si="107">(O99+P99)*0.475*44/12</f>
        <v>497.24124854369643</v>
      </c>
      <c r="R99" s="62">
        <f t="shared" si="55"/>
        <v>790.57458187702969</v>
      </c>
      <c r="S99" s="62">
        <f ca="1">AVERAGE(OFFSET($R$3,0,0,'Données projet'!$E$9+1,1))-AVERAGE(OFFSET($H$3,0,0,'Données projet'!$E$9+1,1))</f>
        <v>342.36307961726635</v>
      </c>
      <c r="T99" s="62">
        <f t="shared" si="88"/>
        <v>174.32967064896343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195.80903373714432</v>
      </c>
      <c r="AO99" s="62">
        <f t="shared" si="90"/>
        <v>388.30721786668977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26.736880231203372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3.0964722855837812E-8</v>
      </c>
      <c r="AX99" s="23">
        <f t="shared" si="60"/>
        <v>26.736880262168096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3.4</v>
      </c>
      <c r="N100" s="14">
        <f>IF('Données projet'!$A$36&gt;35,N99+M100-V99,IF(A100&lt;'Données projet'!$A$36,$K$205^A100,IF(A100='Données projet'!$A$36,'Données projet'!$B$36,N99+M100-V99)))</f>
        <v>204.8</v>
      </c>
      <c r="O100" s="14">
        <f>N100*VLOOKUP('Données projet'!$B$9,Paramètres!$A$1:$I$89,3,0)*VLOOKUP('Données projet'!$B$9,Paramètres!$A$1:$I$89,5,0)</f>
        <v>233.22623999999999</v>
      </c>
      <c r="P100" s="14">
        <f t="shared" si="87"/>
        <v>56.979703502913914</v>
      </c>
      <c r="Q100" s="22">
        <f t="shared" si="107"/>
        <v>505.44201826757507</v>
      </c>
      <c r="R100" s="62">
        <f t="shared" si="55"/>
        <v>798.77535160090838</v>
      </c>
      <c r="S100" s="62">
        <f ca="1">AVERAGE(OFFSET($R$3,0,0,'Données projet'!$E$9+1,1))-AVERAGE(OFFSET($H$3,0,0,'Données projet'!$E$9+1,1))</f>
        <v>342.36307961726635</v>
      </c>
      <c r="T100" s="62">
        <f t="shared" si="88"/>
        <v>174.32967064896343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195.80903373714432</v>
      </c>
      <c r="AO100" s="62">
        <f t="shared" si="90"/>
        <v>388.30721786668977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26.212586317756145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2.1895365508924995E-8</v>
      </c>
      <c r="AX100" s="23">
        <f t="shared" si="60"/>
        <v>26.212586339651509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3.4</v>
      </c>
      <c r="N101" s="14">
        <f>IF('Données projet'!$A$36&gt;35,N100+M101-V100,IF(A101&lt;'Données projet'!$A$36,$K$205^A101,IF(A101='Données projet'!$A$36,'Données projet'!$B$36,N100+M101-V100)))</f>
        <v>208.20000000000002</v>
      </c>
      <c r="O101" s="14">
        <f>N101*VLOOKUP('Données projet'!$B$9,Paramètres!$A$1:$I$89,3,0)*VLOOKUP('Données projet'!$B$9,Paramètres!$A$1:$I$89,5,0)</f>
        <v>237.09816000000004</v>
      </c>
      <c r="P101" s="14">
        <f t="shared" si="87"/>
        <v>57.814744131423225</v>
      </c>
      <c r="Q101" s="22">
        <f t="shared" si="107"/>
        <v>513.63997469556216</v>
      </c>
      <c r="R101" s="62">
        <f t="shared" si="55"/>
        <v>806.97330802889542</v>
      </c>
      <c r="S101" s="62">
        <f ca="1">AVERAGE(OFFSET($R$3,0,0,'Données projet'!$E$9+1,1))-AVERAGE(OFFSET($H$3,0,0,'Données projet'!$E$9+1,1))</f>
        <v>342.36307961726635</v>
      </c>
      <c r="T101" s="62">
        <f t="shared" si="88"/>
        <v>174.32967064896343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195.80903373714432</v>
      </c>
      <c r="AO101" s="62">
        <f t="shared" si="90"/>
        <v>388.30721786668977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25.698573488163905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1.5482361427918906E-8</v>
      </c>
      <c r="AX101" s="23">
        <f t="shared" si="60"/>
        <v>25.698573503646266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3.4</v>
      </c>
      <c r="N102" s="14">
        <f>IF('Données projet'!$A$36&gt;35,N101+M102-V101,IF(A102&lt;'Données projet'!$A$36,$K$205^A102,IF(A102='Données projet'!$A$36,'Données projet'!$B$36,N101+M102-V101)))</f>
        <v>211.60000000000002</v>
      </c>
      <c r="O102" s="14">
        <f>N102*VLOOKUP('Données projet'!$B$9,Paramètres!$A$1:$I$89,3,0)*VLOOKUP('Données projet'!$B$9,Paramètres!$A$1:$I$89,5,0)</f>
        <v>240.97008000000002</v>
      </c>
      <c r="P102" s="14">
        <f t="shared" si="87"/>
        <v>58.648198893942364</v>
      </c>
      <c r="Q102" s="22">
        <f t="shared" si="107"/>
        <v>521.83516907361627</v>
      </c>
      <c r="R102" s="62">
        <f t="shared" si="55"/>
        <v>815.16850240694953</v>
      </c>
      <c r="S102" s="62">
        <f ca="1">AVERAGE(OFFSET($R$3,0,0,'Données projet'!$E$9+1,1))-AVERAGE(OFFSET($H$3,0,0,'Données projet'!$E$9+1,1))</f>
        <v>342.36307961726635</v>
      </c>
      <c r="T102" s="62">
        <f t="shared" si="88"/>
        <v>174.32967064896343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195.80903373714432</v>
      </c>
      <c r="AO102" s="62">
        <f t="shared" si="90"/>
        <v>388.30721786668977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25.194640136643102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1.0947682754462498E-8</v>
      </c>
      <c r="AX102" s="23">
        <f t="shared" si="60"/>
        <v>25.194640147590786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215</v>
      </c>
      <c r="L103" s="13">
        <f>VLOOKUP(A103,'Données projet'!$A$35:$I$55,9,0)</f>
        <v>3.4</v>
      </c>
      <c r="M103" s="13">
        <f t="array" ref="M103">INDEX(L:L,MIN(IF(ISNUMBER(L103:L299),ROW(L103:L299),"")))</f>
        <v>3.4</v>
      </c>
      <c r="N103" s="14">
        <f>IF('Données projet'!$A$36&gt;35,N102+M103-V102,IF(A103&lt;'Données projet'!$A$36,$K$205^A103,IF(A103='Données projet'!$A$36,'Données projet'!$B$36,N102+M103-V102)))</f>
        <v>215.00000000000003</v>
      </c>
      <c r="O103" s="14">
        <f>N103*VLOOKUP('Données projet'!$B$9,Paramètres!$A$1:$I$89,3,0)*VLOOKUP('Données projet'!$B$9,Paramètres!$A$1:$I$89,5,0)</f>
        <v>244.84200000000004</v>
      </c>
      <c r="P103" s="14">
        <f t="shared" si="87"/>
        <v>59.480096214206306</v>
      </c>
      <c r="Q103" s="22">
        <f t="shared" si="107"/>
        <v>530.02765090640935</v>
      </c>
      <c r="R103" s="62">
        <f t="shared" si="55"/>
        <v>823.36098423974272</v>
      </c>
      <c r="S103" s="62">
        <f ca="1">AVERAGE(OFFSET($R$3,0,0,'Données projet'!$E$9+1,1))-AVERAGE(OFFSET($H$3,0,0,'Données projet'!$E$9+1,1))</f>
        <v>342.36307961726635</v>
      </c>
      <c r="T103" s="62">
        <f t="shared" si="88"/>
        <v>174.32967064896343</v>
      </c>
      <c r="U103" s="16">
        <f>IF(ISNA(VLOOKUP(A103,'Données projet'!$A$35:$I$55,3,0)),0,VLOOKUP(A103,'Données projet'!$A$35:$I$55,3,0))</f>
        <v>16</v>
      </c>
      <c r="V103" s="16">
        <f>IF(ISNA(VLOOKUP(A103,'Données projet'!$A$35:$I$55,4,0)),0,VLOOKUP(A103,'Données projet'!$A$35:$I$55,4,0))</f>
        <v>13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195.80903373714432</v>
      </c>
      <c r="AO103" s="62">
        <f t="shared" si="90"/>
        <v>388.30721786668977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24.700588610776627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7.741180713959453E-9</v>
      </c>
      <c r="AX103" s="23">
        <f t="shared" si="60"/>
        <v>24.700588618517809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3</v>
      </c>
      <c r="N104" s="14">
        <f>IF('Données projet'!$A$36&gt;35,N103+M104-V103,IF(A104&lt;'Données projet'!$A$36,$K$205^A104,IF(A104='Données projet'!$A$36,'Données projet'!$B$36,N103+M104-V103)))</f>
        <v>205.00000000000003</v>
      </c>
      <c r="O104" s="14">
        <f>N104*VLOOKUP('Données projet'!$B$9,Paramètres!$A$1:$I$89,3,0)*VLOOKUP('Données projet'!$B$9,Paramètres!$A$1:$I$89,5,0)</f>
        <v>233.45400000000001</v>
      </c>
      <c r="P104" s="14">
        <f t="shared" si="87"/>
        <v>57.028867961430038</v>
      </c>
      <c r="Q104" s="22">
        <f t="shared" si="107"/>
        <v>505.92432836615734</v>
      </c>
      <c r="R104" s="62">
        <f t="shared" si="55"/>
        <v>799.25766169949065</v>
      </c>
      <c r="S104" s="62">
        <f ca="1">AVERAGE(OFFSET($R$3,0,0,'Données projet'!$E$9+1,1))-AVERAGE(OFFSET($H$3,0,0,'Données projet'!$E$9+1,1))</f>
        <v>342.36307961726635</v>
      </c>
      <c r="T104" s="62">
        <f t="shared" si="88"/>
        <v>174.32967064896343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195.80903373714432</v>
      </c>
      <c r="AO104" s="62">
        <f t="shared" si="90"/>
        <v>388.30721786668977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24.216225133990719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5.4738413772312488E-9</v>
      </c>
      <c r="AX104" s="23">
        <f t="shared" si="60"/>
        <v>24.216225139464559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3</v>
      </c>
      <c r="N105" s="14">
        <f>IF('Données projet'!$A$36&gt;35,N104+M105-V104,IF(A105&lt;'Données projet'!$A$36,$K$205^A105,IF(A105='Données projet'!$A$36,'Données projet'!$B$36,N104+M105-V104)))</f>
        <v>208.00000000000003</v>
      </c>
      <c r="O105" s="14">
        <f>N105*VLOOKUP('Données projet'!$B$9,Paramètres!$A$1:$I$89,3,0)*VLOOKUP('Données projet'!$B$9,Paramètres!$A$1:$I$89,5,0)</f>
        <v>236.87040000000002</v>
      </c>
      <c r="P105" s="14">
        <f t="shared" si="87"/>
        <v>57.765668276484661</v>
      </c>
      <c r="Q105" s="22">
        <f t="shared" si="107"/>
        <v>513.15781891487757</v>
      </c>
      <c r="R105" s="62">
        <f t="shared" si="55"/>
        <v>806.49115224821094</v>
      </c>
      <c r="S105" s="62">
        <f ca="1">AVERAGE(OFFSET($R$3,0,0,'Données projet'!$E$9+1,1))-AVERAGE(OFFSET($H$3,0,0,'Données projet'!$E$9+1,1))</f>
        <v>342.36307961726635</v>
      </c>
      <c r="T105" s="62">
        <f t="shared" si="88"/>
        <v>174.32967064896343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195.80903373714432</v>
      </c>
      <c r="AO105" s="62">
        <f t="shared" si="90"/>
        <v>388.30721786668977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23.741359729552034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3.8705903569797265E-9</v>
      </c>
      <c r="AX105" s="23">
        <f t="shared" si="60"/>
        <v>23.741359733422623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3</v>
      </c>
      <c r="N106" s="14">
        <f>IF('Données projet'!$A$36&gt;35,N105+M106-V105,IF(A106&lt;'Données projet'!$A$36,$K$205^A106,IF(A106='Données projet'!$A$36,'Données projet'!$B$36,N105+M106-V105)))</f>
        <v>211.00000000000003</v>
      </c>
      <c r="O106" s="14">
        <f>N106*VLOOKUP('Données projet'!$B$9,Paramètres!$A$1:$I$89,3,0)*VLOOKUP('Données projet'!$B$9,Paramètres!$A$1:$I$89,5,0)</f>
        <v>240.28680000000006</v>
      </c>
      <c r="P106" s="14">
        <f t="shared" si="87"/>
        <v>58.501232609617418</v>
      </c>
      <c r="Q106" s="22">
        <f t="shared" si="107"/>
        <v>520.38915679508375</v>
      </c>
      <c r="R106" s="62">
        <f t="shared" si="55"/>
        <v>813.72249012841712</v>
      </c>
      <c r="S106" s="62">
        <f ca="1">AVERAGE(OFFSET($R$3,0,0,'Données projet'!$E$9+1,1))-AVERAGE(OFFSET($H$3,0,0,'Données projet'!$E$9+1,1))</f>
        <v>342.36307961726635</v>
      </c>
      <c r="T106" s="62">
        <f t="shared" si="88"/>
        <v>174.32967064896343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195.80903373714432</v>
      </c>
      <c r="AO106" s="62">
        <f t="shared" si="90"/>
        <v>388.30721786668977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23.275806146055093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2.7369206886156244E-9</v>
      </c>
      <c r="AX106" s="23">
        <f t="shared" si="60"/>
        <v>23.275806148792014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3</v>
      </c>
      <c r="N107" s="14">
        <f>IF('Données projet'!$A$36&gt;35,N106+M107-V106,IF(A107&lt;'Données projet'!$A$36,$K$205^A107,IF(A107='Données projet'!$A$36,'Données projet'!$B$36,N106+M107-V106)))</f>
        <v>214.00000000000003</v>
      </c>
      <c r="O107" s="14">
        <f>N107*VLOOKUP('Données projet'!$B$9,Paramètres!$A$1:$I$89,3,0)*VLOOKUP('Données projet'!$B$9,Paramètres!$A$1:$I$89,5,0)</f>
        <v>243.70320000000004</v>
      </c>
      <c r="P107" s="14">
        <f t="shared" si="87"/>
        <v>59.235580564655933</v>
      </c>
      <c r="Q107" s="22">
        <f t="shared" si="107"/>
        <v>527.61837615010916</v>
      </c>
      <c r="R107" s="62">
        <f t="shared" si="55"/>
        <v>820.95170948344253</v>
      </c>
      <c r="S107" s="62">
        <f ca="1">AVERAGE(OFFSET($R$3,0,0,'Données projet'!$E$9+1,1))-AVERAGE(OFFSET($H$3,0,0,'Données projet'!$E$9+1,1))</f>
        <v>342.36307961726635</v>
      </c>
      <c r="T107" s="62">
        <f t="shared" si="88"/>
        <v>174.32967064896343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195.80903373714432</v>
      </c>
      <c r="AO107" s="62">
        <f t="shared" si="90"/>
        <v>388.30721786668977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22.819381784370879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1.9352951784898633E-9</v>
      </c>
      <c r="AX107" s="23">
        <f t="shared" si="60"/>
        <v>22.819381786306174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217</v>
      </c>
      <c r="L108" s="13">
        <f>VLOOKUP(A108,'Données projet'!$A$35:$I$55,9,0)</f>
        <v>3</v>
      </c>
      <c r="M108" s="13">
        <f t="array" ref="M108">INDEX(L:L,MIN(IF(ISNUMBER(L108:L304),ROW(L108:L304),"")))</f>
        <v>3</v>
      </c>
      <c r="N108" s="14">
        <f>IF('Données projet'!$A$36&gt;35,N107+M108-V107,IF(A108&lt;'Données projet'!$A$36,$K$205^A108,IF(A108='Données projet'!$A$36,'Données projet'!$B$36,N107+M108-V107)))</f>
        <v>217.00000000000003</v>
      </c>
      <c r="O108" s="14">
        <f>N108*VLOOKUP('Données projet'!$B$9,Paramètres!$A$1:$I$89,3,0)*VLOOKUP('Données projet'!$B$9,Paramètres!$A$1:$I$89,5,0)</f>
        <v>247.11960000000005</v>
      </c>
      <c r="P108" s="14">
        <f t="shared" si="87"/>
        <v>59.968731164216258</v>
      </c>
      <c r="Q108" s="22">
        <f t="shared" si="107"/>
        <v>534.84551011101007</v>
      </c>
      <c r="R108" s="62">
        <f t="shared" si="55"/>
        <v>828.17884344434333</v>
      </c>
      <c r="S108" s="62">
        <f ca="1">AVERAGE(OFFSET($R$3,0,0,'Données projet'!$E$9+1,1))-AVERAGE(OFFSET($H$3,0,0,'Données projet'!$E$9+1,1))</f>
        <v>342.36307961726635</v>
      </c>
      <c r="T108" s="62">
        <f t="shared" si="88"/>
        <v>174.32967064896343</v>
      </c>
      <c r="U108" s="16">
        <f>IF(ISNA(VLOOKUP(A108,'Données projet'!$A$35:$I$55,3,0)),0,VLOOKUP(A108,'Données projet'!$A$35:$I$55,3,0))</f>
        <v>17</v>
      </c>
      <c r="V108" s="16">
        <f>IF(ISNA(VLOOKUP(A108,'Données projet'!$A$35:$I$55,4,0)),0,VLOOKUP(A108,'Données projet'!$A$35:$I$55,4,0))</f>
        <v>13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195.80903373714432</v>
      </c>
      <c r="AO108" s="62">
        <f t="shared" si="90"/>
        <v>388.30721786668977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22.371907626027923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1.3684603443078122E-9</v>
      </c>
      <c r="AX108" s="23">
        <f t="shared" si="60"/>
        <v>22.371907627396382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3</v>
      </c>
      <c r="N109" s="14">
        <f>IF('Données projet'!$A$36&gt;35,N108+M109-V108,IF(A109&lt;'Données projet'!$A$36,$K$205^A109,IF(A109='Données projet'!$A$36,'Données projet'!$B$36,N108+M109-V108)))</f>
        <v>207.00000000000003</v>
      </c>
      <c r="O109" s="14">
        <f>N109*VLOOKUP('Données projet'!$B$9,Paramètres!$A$1:$I$89,3,0)*VLOOKUP('Données projet'!$B$9,Paramètres!$A$1:$I$89,5,0)</f>
        <v>235.73160000000004</v>
      </c>
      <c r="P109" s="14">
        <f t="shared" si="87"/>
        <v>57.520206488125268</v>
      </c>
      <c r="Q109" s="22">
        <f t="shared" si="107"/>
        <v>510.7468963001516</v>
      </c>
      <c r="R109" s="62">
        <f t="shared" si="55"/>
        <v>804.08022963348492</v>
      </c>
      <c r="S109" s="62">
        <f ca="1">AVERAGE(OFFSET($R$3,0,0,'Données projet'!$E$9+1,1))-AVERAGE(OFFSET($H$3,0,0,'Données projet'!$E$9+1,1))</f>
        <v>342.36307961726635</v>
      </c>
      <c r="T109" s="62">
        <f t="shared" si="88"/>
        <v>174.32967064896343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195.80903373714432</v>
      </c>
      <c r="AO109" s="62">
        <f t="shared" si="90"/>
        <v>388.30721786668977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21.933208162997783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9.6764758924493163E-10</v>
      </c>
      <c r="AX109" s="23">
        <f t="shared" si="60"/>
        <v>21.933208163965432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3</v>
      </c>
      <c r="N110" s="14">
        <f>IF('Données projet'!$A$36&gt;35,N109+M110-V109,IF(A110&lt;'Données projet'!$A$36,$K$205^A110,IF(A110='Données projet'!$A$36,'Données projet'!$B$36,N109+M110-V109)))</f>
        <v>210.00000000000003</v>
      </c>
      <c r="O110" s="14">
        <f>N110*VLOOKUP('Données projet'!$B$9,Paramètres!$A$1:$I$89,3,0)*VLOOKUP('Données projet'!$B$9,Paramètres!$A$1:$I$89,5,0)</f>
        <v>239.14800000000002</v>
      </c>
      <c r="P110" s="14">
        <f t="shared" si="87"/>
        <v>58.256180607577782</v>
      </c>
      <c r="Q110" s="22">
        <f t="shared" si="107"/>
        <v>517.97894789153122</v>
      </c>
      <c r="R110" s="62">
        <f t="shared" si="55"/>
        <v>811.31228122486459</v>
      </c>
      <c r="S110" s="62">
        <f ca="1">AVERAGE(OFFSET($R$3,0,0,'Données projet'!$E$9+1,1))-AVERAGE(OFFSET($H$3,0,0,'Données projet'!$E$9+1,1))</f>
        <v>342.36307961726635</v>
      </c>
      <c r="T110" s="62">
        <f t="shared" si="88"/>
        <v>174.32967064896343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195.80903373714432</v>
      </c>
      <c r="AO110" s="62">
        <f t="shared" si="90"/>
        <v>388.30721786668977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21.503111328857415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6.842301721539061E-10</v>
      </c>
      <c r="AX110" s="23">
        <f t="shared" si="60"/>
        <v>21.503111329541646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3</v>
      </c>
      <c r="N111" s="14">
        <f>IF('Données projet'!$A$36&gt;35,N110+M111-V110,IF(A111&lt;'Données projet'!$A$36,$K$205^A111,IF(A111='Données projet'!$A$36,'Données projet'!$B$36,N110+M111-V110)))</f>
        <v>213.00000000000003</v>
      </c>
      <c r="O111" s="14">
        <f>N111*VLOOKUP('Données projet'!$B$9,Paramètres!$A$1:$I$89,3,0)*VLOOKUP('Données projet'!$B$9,Paramètres!$A$1:$I$89,5,0)</f>
        <v>242.56440000000003</v>
      </c>
      <c r="P111" s="14">
        <f t="shared" si="87"/>
        <v>58.990931880184171</v>
      </c>
      <c r="Q111" s="22">
        <f t="shared" si="107"/>
        <v>525.20886969132073</v>
      </c>
      <c r="R111" s="62">
        <f t="shared" si="55"/>
        <v>818.5422030246541</v>
      </c>
      <c r="S111" s="62">
        <f ca="1">AVERAGE(OFFSET($R$3,0,0,'Données projet'!$E$9+1,1))-AVERAGE(OFFSET($H$3,0,0,'Données projet'!$E$9+1,1))</f>
        <v>342.36307961726635</v>
      </c>
      <c r="T111" s="62">
        <f t="shared" si="88"/>
        <v>174.32967064896343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195.80903373714432</v>
      </c>
      <c r="AO111" s="62">
        <f t="shared" si="90"/>
        <v>388.30721786668977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21.081448431301371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4.8382379462246581E-10</v>
      </c>
      <c r="AX111" s="23">
        <f t="shared" si="60"/>
        <v>21.081448431785194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3</v>
      </c>
      <c r="N112" s="14">
        <f>IF('Données projet'!$A$36&gt;35,N111+M112-V111,IF(A112&lt;'Données projet'!$A$36,$K$205^A112,IF(A112='Données projet'!$A$36,'Données projet'!$B$36,N111+M112-V111)))</f>
        <v>216.00000000000003</v>
      </c>
      <c r="O112" s="14">
        <f>N112*VLOOKUP('Données projet'!$B$9,Paramètres!$A$1:$I$89,3,0)*VLOOKUP('Données projet'!$B$9,Paramètres!$A$1:$I$89,5,0)</f>
        <v>245.98080000000002</v>
      </c>
      <c r="P112" s="14">
        <f t="shared" si="87"/>
        <v>59.724479519444863</v>
      </c>
      <c r="Q112" s="22">
        <f t="shared" si="107"/>
        <v>532.43669516303316</v>
      </c>
      <c r="R112" s="62">
        <f t="shared" si="55"/>
        <v>825.77002849636642</v>
      </c>
      <c r="S112" s="62">
        <f ca="1">AVERAGE(OFFSET($R$3,0,0,'Données projet'!$E$9+1,1))-AVERAGE(OFFSET($H$3,0,0,'Données projet'!$E$9+1,1))</f>
        <v>342.36307961726635</v>
      </c>
      <c r="T112" s="62">
        <f t="shared" si="88"/>
        <v>174.32967064896343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195.80903373714432</v>
      </c>
      <c r="AO112" s="62">
        <f t="shared" si="90"/>
        <v>388.30721786668977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20.668054085977431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3.4211508607695305E-10</v>
      </c>
      <c r="AX112" s="23">
        <f t="shared" si="60"/>
        <v>20.668054086319547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219</v>
      </c>
      <c r="L113" s="13">
        <f>VLOOKUP(A113,'Données projet'!$A$35:$I$55,9,0)</f>
        <v>3</v>
      </c>
      <c r="M113" s="13">
        <f t="array" ref="M113">INDEX(L:L,MIN(IF(ISNUMBER(L113:L309),ROW(L113:L309),"")))</f>
        <v>3</v>
      </c>
      <c r="N113" s="14">
        <f>IF('Données projet'!$A$36&gt;35,N112+M113-V112,IF(A113&lt;'Données projet'!$A$36,$K$205^A113,IF(A113='Données projet'!$A$36,'Données projet'!$B$36,N112+M113-V112)))</f>
        <v>219.00000000000003</v>
      </c>
      <c r="O113" s="14">
        <f>N113*VLOOKUP('Données projet'!$B$9,Paramètres!$A$1:$I$89,3,0)*VLOOKUP('Données projet'!$B$9,Paramètres!$A$1:$I$89,5,0)</f>
        <v>249.39720000000003</v>
      </c>
      <c r="P113" s="14">
        <f t="shared" si="87"/>
        <v>60.456842174492401</v>
      </c>
      <c r="Q113" s="22">
        <f t="shared" si="107"/>
        <v>539.6624567872409</v>
      </c>
      <c r="R113" s="62">
        <f t="shared" si="55"/>
        <v>832.99579012057416</v>
      </c>
      <c r="S113" s="62">
        <f ca="1">AVERAGE(OFFSET($R$3,0,0,'Données projet'!$E$9+1,1))-AVERAGE(OFFSET($H$3,0,0,'Données projet'!$E$9+1,1))</f>
        <v>342.36307961726635</v>
      </c>
      <c r="T113" s="62">
        <f t="shared" si="88"/>
        <v>174.32967064896343</v>
      </c>
      <c r="U113" s="16">
        <f>IF(ISNA(VLOOKUP(A113,'Données projet'!$A$35:$I$55,3,0)),0,VLOOKUP(A113,'Données projet'!$A$35:$I$55,3,0))</f>
        <v>18</v>
      </c>
      <c r="V113" s="16">
        <f>IF(ISNA(VLOOKUP(A113,'Données projet'!$A$35:$I$55,4,0)),0,VLOOKUP(A113,'Données projet'!$A$35:$I$55,4,0))</f>
        <v>13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195.80903373714432</v>
      </c>
      <c r="AO113" s="62">
        <f t="shared" si="90"/>
        <v>388.30721786668977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20.26276615161964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2.4191189731123291E-10</v>
      </c>
      <c r="AX113" s="23">
        <f t="shared" si="60"/>
        <v>20.262766151861552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</v>
      </c>
      <c r="N114" s="14">
        <f>IF('Données projet'!$A$36&gt;35,N113+M114-V113,IF(A114&lt;'Données projet'!$A$36,$K$205^A114,IF(A114='Données projet'!$A$36,'Données projet'!$B$36,N113+M114-V113)))</f>
        <v>209.00000000000003</v>
      </c>
      <c r="O114" s="14">
        <f>N114*VLOOKUP('Données projet'!$B$9,Paramètres!$A$1:$I$89,3,0)*VLOOKUP('Données projet'!$B$9,Paramètres!$A$1:$I$89,5,0)</f>
        <v>238.00920000000005</v>
      </c>
      <c r="P114" s="14">
        <f t="shared" si="87"/>
        <v>58.010992738519761</v>
      </c>
      <c r="Q114" s="22">
        <f t="shared" si="107"/>
        <v>515.56850235292211</v>
      </c>
      <c r="R114" s="62">
        <f t="shared" si="55"/>
        <v>808.90183568625548</v>
      </c>
      <c r="S114" s="62">
        <f ca="1">AVERAGE(OFFSET($R$3,0,0,'Données projet'!$E$9+1,1))-AVERAGE(OFFSET($H$3,0,0,'Données projet'!$E$9+1,1))</f>
        <v>342.36307961726635</v>
      </c>
      <c r="T114" s="62">
        <f t="shared" si="88"/>
        <v>174.32967064896343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195.80903373714432</v>
      </c>
      <c r="AO114" s="62">
        <f t="shared" si="90"/>
        <v>388.30721786668977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19.865425666453376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1.7105754303847652E-10</v>
      </c>
      <c r="AX114" s="23">
        <f t="shared" si="60"/>
        <v>19.865425666624432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</v>
      </c>
      <c r="N115" s="14">
        <f>IF('Données projet'!$A$36&gt;35,N114+M115-V114,IF(A115&lt;'Données projet'!$A$36,$K$205^A115,IF(A115='Données projet'!$A$36,'Données projet'!$B$36,N114+M115-V114)))</f>
        <v>212.00000000000003</v>
      </c>
      <c r="O115" s="14">
        <f>N115*VLOOKUP('Données projet'!$B$9,Paramètres!$A$1:$I$89,3,0)*VLOOKUP('Données projet'!$B$9,Paramètres!$A$1:$I$89,5,0)</f>
        <v>241.42560000000003</v>
      </c>
      <c r="P115" s="14">
        <f t="shared" si="87"/>
        <v>58.746149463317458</v>
      </c>
      <c r="Q115" s="22">
        <f t="shared" si="107"/>
        <v>522.79913031527792</v>
      </c>
      <c r="R115" s="62">
        <f t="shared" si="55"/>
        <v>816.13246364861129</v>
      </c>
      <c r="S115" s="62">
        <f ca="1">AVERAGE(OFFSET($R$3,0,0,'Données projet'!$E$9+1,1))-AVERAGE(OFFSET($H$3,0,0,'Données projet'!$E$9+1,1))</f>
        <v>342.36307961726635</v>
      </c>
      <c r="T115" s="62">
        <f t="shared" si="88"/>
        <v>174.32967064896343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195.80903373714432</v>
      </c>
      <c r="AO115" s="62">
        <f t="shared" si="90"/>
        <v>388.30721786668977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19.475876785847454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1.2095594865561645E-10</v>
      </c>
      <c r="AX115" s="23">
        <f t="shared" si="60"/>
        <v>19.47587678596841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</v>
      </c>
      <c r="N116" s="14">
        <f>IF('Données projet'!$A$36&gt;35,N115+M116-V115,IF(A116&lt;'Données projet'!$A$36,$K$205^A116,IF(A116='Données projet'!$A$36,'Données projet'!$B$36,N115+M116-V115)))</f>
        <v>215.00000000000003</v>
      </c>
      <c r="O116" s="14">
        <f>N116*VLOOKUP('Données projet'!$B$9,Paramètres!$A$1:$I$89,3,0)*VLOOKUP('Données projet'!$B$9,Paramètres!$A$1:$I$89,5,0)</f>
        <v>244.84200000000004</v>
      </c>
      <c r="P116" s="14">
        <f t="shared" si="87"/>
        <v>59.480096214206306</v>
      </c>
      <c r="Q116" s="22">
        <f t="shared" si="107"/>
        <v>530.02765090640935</v>
      </c>
      <c r="R116" s="62">
        <f t="shared" si="55"/>
        <v>823.36098423974272</v>
      </c>
      <c r="S116" s="62">
        <f ca="1">AVERAGE(OFFSET($R$3,0,0,'Données projet'!$E$9+1,1))-AVERAGE(OFFSET($H$3,0,0,'Données projet'!$E$9+1,1))</f>
        <v>342.36307961726635</v>
      </c>
      <c r="T116" s="62">
        <f t="shared" si="88"/>
        <v>174.32967064896343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195.80903373714432</v>
      </c>
      <c r="AO116" s="62">
        <f t="shared" si="90"/>
        <v>388.30721786668977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19.09396672118886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8.5528771519238262E-11</v>
      </c>
      <c r="AX116" s="23">
        <f t="shared" si="60"/>
        <v>19.093966721274388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</v>
      </c>
      <c r="N117" s="14">
        <f>IF('Données projet'!$A$36&gt;35,N116+M117-V116,IF(A117&lt;'Données projet'!$A$36,$K$205^A117,IF(A117='Données projet'!$A$36,'Données projet'!$B$36,N116+M117-V116)))</f>
        <v>218.00000000000003</v>
      </c>
      <c r="O117" s="14">
        <f>N117*VLOOKUP('Données projet'!$B$9,Paramètres!$A$1:$I$89,3,0)*VLOOKUP('Données projet'!$B$9,Paramètres!$A$1:$I$89,5,0)</f>
        <v>248.25840000000002</v>
      </c>
      <c r="P117" s="14">
        <f t="shared" si="87"/>
        <v>60.2128518256973</v>
      </c>
      <c r="Q117" s="22">
        <f t="shared" si="107"/>
        <v>537.25409692975609</v>
      </c>
      <c r="R117" s="62">
        <f t="shared" si="55"/>
        <v>830.58743026308935</v>
      </c>
      <c r="S117" s="62">
        <f ca="1">AVERAGE(OFFSET($R$3,0,0,'Données projet'!$E$9+1,1))-AVERAGE(OFFSET($H$3,0,0,'Données projet'!$E$9+1,1))</f>
        <v>342.36307961726635</v>
      </c>
      <c r="T117" s="62">
        <f t="shared" si="88"/>
        <v>174.32967064896343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195.80903373714432</v>
      </c>
      <c r="AO117" s="62">
        <f t="shared" si="90"/>
        <v>388.30721786668977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18.719545679956081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6.0477974327808227E-11</v>
      </c>
      <c r="AX117" s="23">
        <f t="shared" si="60"/>
        <v>18.719545680016559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221</v>
      </c>
      <c r="L118" s="13">
        <f>VLOOKUP(A118,'Données projet'!$A$35:$I$55,9,0)</f>
        <v>3</v>
      </c>
      <c r="M118" s="13">
        <f t="array" ref="M118">INDEX(L:L,MIN(IF(ISNUMBER(L118:L314),ROW(L118:L314),"")))</f>
        <v>3</v>
      </c>
      <c r="N118" s="14">
        <f>IF('Données projet'!$A$36&gt;35,N117+M118-V117,IF(A118&lt;'Données projet'!$A$36,$K$205^A118,IF(A118='Données projet'!$A$36,'Données projet'!$B$36,N117+M118-V117)))</f>
        <v>221.00000000000003</v>
      </c>
      <c r="O118" s="14">
        <f>N118*VLOOKUP('Données projet'!$B$9,Paramètres!$A$1:$I$89,3,0)*VLOOKUP('Données projet'!$B$9,Paramètres!$A$1:$I$89,5,0)</f>
        <v>251.67480000000003</v>
      </c>
      <c r="P118" s="14">
        <f t="shared" si="87"/>
        <v>60.944434584138499</v>
      </c>
      <c r="Q118" s="22">
        <f t="shared" si="107"/>
        <v>544.47850023404123</v>
      </c>
      <c r="R118" s="62">
        <f t="shared" si="55"/>
        <v>837.81183356737461</v>
      </c>
      <c r="S118" s="62">
        <f ca="1">AVERAGE(OFFSET($R$3,0,0,'Données projet'!$E$9+1,1))-AVERAGE(OFFSET($H$3,0,0,'Données projet'!$E$9+1,1))</f>
        <v>342.36307961726635</v>
      </c>
      <c r="T118" s="62">
        <f t="shared" si="88"/>
        <v>174.32967064896343</v>
      </c>
      <c r="U118" s="16">
        <f>IF(ISNA(VLOOKUP(A118,'Données projet'!$A$35:$I$55,3,0)),0,VLOOKUP(A118,'Données projet'!$A$35:$I$55,3,0))</f>
        <v>19</v>
      </c>
      <c r="V118" s="16">
        <f>IF(ISNA(VLOOKUP(A118,'Données projet'!$A$35:$I$55,4,0)),0,VLOOKUP(A118,'Données projet'!$A$35:$I$55,4,0))</f>
        <v>13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195.80903373714432</v>
      </c>
      <c r="AO118" s="62">
        <f t="shared" si="90"/>
        <v>388.30721786668977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18.352466806967595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4.2764385759619131E-11</v>
      </c>
      <c r="AX118" s="23">
        <f t="shared" si="60"/>
        <v>18.352466807010359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2.6</v>
      </c>
      <c r="N119" s="14">
        <f>IF('Données projet'!$A$36&gt;35,N118+M119-V118,IF(A119&lt;'Données projet'!$A$36,$K$205^A119,IF(A119='Données projet'!$A$36,'Données projet'!$B$36,N118+M119-V118)))</f>
        <v>210.60000000000002</v>
      </c>
      <c r="O119" s="14">
        <f>N119*VLOOKUP('Données projet'!$B$9,Paramètres!$A$1:$I$89,3,0)*VLOOKUP('Données projet'!$B$9,Paramètres!$A$1:$I$89,5,0)</f>
        <v>239.83128000000002</v>
      </c>
      <c r="P119" s="14">
        <f t="shared" si="87"/>
        <v>58.40322806668653</v>
      </c>
      <c r="Q119" s="22">
        <f t="shared" si="107"/>
        <v>519.42510154947911</v>
      </c>
      <c r="R119" s="62">
        <f t="shared" si="55"/>
        <v>812.75843488281248</v>
      </c>
      <c r="S119" s="62">
        <f ca="1">AVERAGE(OFFSET($R$3,0,0,'Données projet'!$E$9+1,1))-AVERAGE(OFFSET($H$3,0,0,'Données projet'!$E$9+1,1))</f>
        <v>342.36307961726635</v>
      </c>
      <c r="T119" s="62">
        <f t="shared" si="88"/>
        <v>174.32967064896343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195.80903373714432</v>
      </c>
      <c r="AO119" s="62">
        <f t="shared" si="90"/>
        <v>388.30721786668977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17.992586126782406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3.0238987163904113E-11</v>
      </c>
      <c r="AX119" s="23">
        <f t="shared" si="60"/>
        <v>17.992586126812647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2.6</v>
      </c>
      <c r="N120" s="14">
        <f>IF('Données projet'!$A$36&gt;35,N119+M120-V119,IF(A120&lt;'Données projet'!$A$36,$K$205^A120,IF(A120='Données projet'!$A$36,'Données projet'!$B$36,N119+M120-V119)))</f>
        <v>213.20000000000002</v>
      </c>
      <c r="O120" s="14">
        <f>N120*VLOOKUP('Données projet'!$B$9,Paramètres!$A$1:$I$89,3,0)*VLOOKUP('Données projet'!$B$9,Paramètres!$A$1:$I$89,5,0)</f>
        <v>242.79216</v>
      </c>
      <c r="P120" s="14">
        <f t="shared" si="87"/>
        <v>59.039872293251292</v>
      </c>
      <c r="Q120" s="22">
        <f t="shared" si="107"/>
        <v>525.6907895774126</v>
      </c>
      <c r="R120" s="62">
        <f t="shared" si="55"/>
        <v>819.02412291074597</v>
      </c>
      <c r="S120" s="62">
        <f ca="1">AVERAGE(OFFSET($R$3,0,0,'Données projet'!$E$9+1,1))-AVERAGE(OFFSET($H$3,0,0,'Données projet'!$E$9+1,1))</f>
        <v>342.36307961726635</v>
      </c>
      <c r="T120" s="62">
        <f t="shared" si="88"/>
        <v>174.32967064896343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195.80903373714432</v>
      </c>
      <c r="AO120" s="62">
        <f t="shared" si="90"/>
        <v>388.30721786668977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17.639762487230108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2.1382192879809566E-11</v>
      </c>
      <c r="AX120" s="23">
        <f t="shared" si="60"/>
        <v>17.639762487251492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2.6</v>
      </c>
      <c r="N121" s="14">
        <f>IF('Données projet'!$A$36&gt;35,N120+M121-V120,IF(A121&lt;'Données projet'!$A$36,$K$205^A121,IF(A121='Données projet'!$A$36,'Données projet'!$B$36,N120+M121-V120)))</f>
        <v>215.8</v>
      </c>
      <c r="O121" s="14">
        <f>N121*VLOOKUP('Données projet'!$B$9,Paramètres!$A$1:$I$89,3,0)*VLOOKUP('Données projet'!$B$9,Paramètres!$A$1:$I$89,5,0)</f>
        <v>245.75304</v>
      </c>
      <c r="P121" s="14">
        <f t="shared" si="87"/>
        <v>59.675613413020876</v>
      </c>
      <c r="Q121" s="22">
        <f t="shared" si="107"/>
        <v>531.95490469434469</v>
      </c>
      <c r="R121" s="62">
        <f t="shared" si="55"/>
        <v>825.28823802767806</v>
      </c>
      <c r="S121" s="62">
        <f ca="1">AVERAGE(OFFSET($R$3,0,0,'Données projet'!$E$9+1,1))-AVERAGE(OFFSET($H$3,0,0,'Données projet'!$E$9+1,1))</f>
        <v>342.36307961726635</v>
      </c>
      <c r="T121" s="62">
        <f t="shared" si="88"/>
        <v>174.32967064896343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195.80903373714432</v>
      </c>
      <c r="AO121" s="62">
        <f t="shared" si="90"/>
        <v>388.30721786668977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17.293857504048262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1.5119493581952057E-11</v>
      </c>
      <c r="AX121" s="23">
        <f t="shared" si="60"/>
        <v>17.293857504063382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2.6</v>
      </c>
      <c r="N122" s="14">
        <f>IF('Données projet'!$A$36&gt;35,N121+M122-V121,IF(A122&lt;'Données projet'!$A$36,$K$205^A122,IF(A122='Données projet'!$A$36,'Données projet'!$B$36,N121+M122-V121)))</f>
        <v>218.4</v>
      </c>
      <c r="O122" s="14">
        <f>N122*VLOOKUP('Données projet'!$B$9,Paramètres!$A$1:$I$89,3,0)*VLOOKUP('Données projet'!$B$9,Paramètres!$A$1:$I$89,5,0)</f>
        <v>248.71392</v>
      </c>
      <c r="P122" s="14">
        <f t="shared" si="87"/>
        <v>60.310463565402536</v>
      </c>
      <c r="Q122" s="22">
        <f t="shared" si="107"/>
        <v>538.21746804307611</v>
      </c>
      <c r="R122" s="62">
        <f t="shared" si="55"/>
        <v>831.55080137640948</v>
      </c>
      <c r="S122" s="62">
        <f ca="1">AVERAGE(OFFSET($R$3,0,0,'Données projet'!$E$9+1,1))-AVERAGE(OFFSET($H$3,0,0,'Données projet'!$E$9+1,1))</f>
        <v>342.36307961726635</v>
      </c>
      <c r="T122" s="62">
        <f t="shared" si="88"/>
        <v>174.32967064896343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195.80903373714432</v>
      </c>
      <c r="AO122" s="62">
        <f t="shared" si="90"/>
        <v>388.30721786668977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16.954735506605402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1.0691096439904783E-11</v>
      </c>
      <c r="AX122" s="23">
        <f t="shared" si="60"/>
        <v>16.954735506616093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221</v>
      </c>
      <c r="L123" s="13">
        <f>VLOOKUP(A123,'Données projet'!$A$35:$I$55,9,0)</f>
        <v>2.6</v>
      </c>
      <c r="M123" s="13">
        <f t="array" ref="M123">INDEX(L:L,MIN(IF(ISNUMBER(L123:L319),ROW(L123:L319),"")))</f>
        <v>2.6</v>
      </c>
      <c r="N123" s="14">
        <f>IF('Données projet'!$A$36&gt;35,N122+M123-V122,IF(A123&lt;'Données projet'!$A$36,$K$205^A123,IF(A123='Données projet'!$A$36,'Données projet'!$B$36,N122+M123-V122)))</f>
        <v>221</v>
      </c>
      <c r="O123" s="14">
        <f>N123*VLOOKUP('Données projet'!$B$9,Paramètres!$A$1:$I$89,3,0)*VLOOKUP('Données projet'!$B$9,Paramètres!$A$1:$I$89,5,0)</f>
        <v>251.67479999999998</v>
      </c>
      <c r="P123" s="14">
        <f t="shared" si="87"/>
        <v>60.944434584138449</v>
      </c>
      <c r="Q123" s="22">
        <f t="shared" si="107"/>
        <v>544.47850023404101</v>
      </c>
      <c r="R123" s="62">
        <f t="shared" si="55"/>
        <v>837.81183356737438</v>
      </c>
      <c r="S123" s="62">
        <f ca="1">AVERAGE(OFFSET($R$3,0,0,'Données projet'!$E$9+1,1))-AVERAGE(OFFSET($H$3,0,0,'Données projet'!$E$9+1,1))</f>
        <v>342.36307961726635</v>
      </c>
      <c r="T123" s="62">
        <f t="shared" si="88"/>
        <v>174.32967064896343</v>
      </c>
      <c r="U123" s="16">
        <f>IF(ISNA(VLOOKUP(A123,'Données projet'!$A$35:$I$55,3,0)),0,VLOOKUP(A123,'Données projet'!$A$35:$I$55,3,0))</f>
        <v>20</v>
      </c>
      <c r="V123" s="16">
        <f>IF(ISNA(VLOOKUP(A123,'Données projet'!$A$35:$I$55,4,0)),0,VLOOKUP(A123,'Données projet'!$A$35:$I$55,4,0))</f>
        <v>221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195.80903373714432</v>
      </c>
      <c r="AO123" s="62">
        <f t="shared" si="90"/>
        <v>388.30721786668977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16.622263484688403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7.5597467909760283E-12</v>
      </c>
      <c r="AX123" s="23">
        <f t="shared" si="60"/>
        <v>16.622263484695964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342.36307961726635</v>
      </c>
      <c r="T124" s="62">
        <f t="shared" si="88"/>
        <v>174.32967064896343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195.80903373714432</v>
      </c>
      <c r="AO124" s="62">
        <f t="shared" si="90"/>
        <v>388.30721786668977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16.296311036333289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5.3455482199523914E-12</v>
      </c>
      <c r="AX124" s="23">
        <f t="shared" si="60"/>
        <v>16.296311036338636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342.36307961726635</v>
      </c>
      <c r="T125" s="62">
        <f t="shared" si="88"/>
        <v>174.32967064896343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195.80903373714432</v>
      </c>
      <c r="AO125" s="62">
        <f t="shared" si="90"/>
        <v>388.30721786668977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15.976750316679055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3.7798733954880142E-12</v>
      </c>
      <c r="AX125" s="23">
        <f t="shared" si="60"/>
        <v>15.976750316682836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342.36307961726635</v>
      </c>
      <c r="T126" s="62">
        <f t="shared" si="88"/>
        <v>174.32967064896343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195.80903373714432</v>
      </c>
      <c r="AO126" s="62">
        <f t="shared" si="90"/>
        <v>388.30721786668977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15.663455987824447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2.6727741099761957E-12</v>
      </c>
      <c r="AX126" s="23">
        <f t="shared" si="60"/>
        <v>15.66345598782712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342.36307961726635</v>
      </c>
      <c r="T127" s="62">
        <f t="shared" si="88"/>
        <v>174.32967064896343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195.80903373714432</v>
      </c>
      <c r="AO127" s="62">
        <f t="shared" si="90"/>
        <v>388.30721786668977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15.356305169668007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1.8899366977440071E-12</v>
      </c>
      <c r="AX127" s="23">
        <f t="shared" si="60"/>
        <v>15.356305169669897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342.36307961726635</v>
      </c>
      <c r="T128" s="62">
        <f t="shared" si="88"/>
        <v>174.32967064896343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195.80903373714432</v>
      </c>
      <c r="AO128" s="62">
        <f t="shared" si="90"/>
        <v>388.30721786668977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15.055177391712114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1.3363870549880978E-12</v>
      </c>
      <c r="AX128" s="23">
        <f t="shared" si="60"/>
        <v>15.05517739171345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342.36307961726635</v>
      </c>
      <c r="T129" s="62">
        <f t="shared" si="88"/>
        <v>174.32967064896343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195.80903373714432</v>
      </c>
      <c r="AO129" s="62">
        <f t="shared" si="90"/>
        <v>388.30721786668977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14.759954545812127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9.4496834887200354E-13</v>
      </c>
      <c r="AX129" s="23">
        <f t="shared" si="60"/>
        <v>14.759954545813072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342.36307961726635</v>
      </c>
      <c r="T130" s="62">
        <f t="shared" si="88"/>
        <v>174.32967064896343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195.80903373714432</v>
      </c>
      <c r="AO130" s="62">
        <f t="shared" si="90"/>
        <v>388.30721786668977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14.470520839852083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6.6819352749404892E-13</v>
      </c>
      <c r="AX130" s="23">
        <f t="shared" si="60"/>
        <v>14.470520839852751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342.36307961726635</v>
      </c>
      <c r="T131" s="62">
        <f t="shared" si="88"/>
        <v>174.32967064896343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195.80903373714432</v>
      </c>
      <c r="AO131" s="62">
        <f t="shared" si="90"/>
        <v>388.30721786668977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14.186762752328788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4.7248417443600177E-13</v>
      </c>
      <c r="AX131" s="23">
        <f t="shared" si="60"/>
        <v>14.18676275232926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342.36307961726635</v>
      </c>
      <c r="T132" s="62">
        <f t="shared" si="88"/>
        <v>174.32967064896343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195.80903373714432</v>
      </c>
      <c r="AO132" s="62">
        <f t="shared" si="90"/>
        <v>388.30721786668977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13.908568987826479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3.3409676374702446E-13</v>
      </c>
      <c r="AX132" s="23">
        <f t="shared" ref="AX132:AX153" si="114">SUM(AU132:AW132)</f>
        <v>13.908568987826813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342.36307961726635</v>
      </c>
      <c r="T133" s="62">
        <f t="shared" ref="T133:T196" si="142">$T$3</f>
        <v>174.32967064896343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195.80903373714432</v>
      </c>
      <c r="AO133" s="62">
        <f t="shared" ref="AO133:AO196" si="144">$AO$3</f>
        <v>388.30721786668977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13.635830433364619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2.3624208721800089E-13</v>
      </c>
      <c r="AX133" s="23">
        <f t="shared" si="114"/>
        <v>13.635830433364855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342.36307961726635</v>
      </c>
      <c r="T134" s="62">
        <f t="shared" si="142"/>
        <v>174.32967064896343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195.80903373714432</v>
      </c>
      <c r="AO134" s="62">
        <f t="shared" si="144"/>
        <v>388.30721786668977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13.368440115601665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1.6704838187351223E-13</v>
      </c>
      <c r="AX134" s="23">
        <f t="shared" si="114"/>
        <v>13.368440115601832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342.36307961726635</v>
      </c>
      <c r="T135" s="62">
        <f t="shared" si="142"/>
        <v>174.32967064896343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195.80903373714432</v>
      </c>
      <c r="AO135" s="62">
        <f t="shared" si="144"/>
        <v>388.30721786668977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13.106293158878051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1.1812104360900044E-13</v>
      </c>
      <c r="AX135" s="23">
        <f t="shared" si="114"/>
        <v>13.106293158878168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342.36307961726635</v>
      </c>
      <c r="T136" s="62">
        <f t="shared" si="142"/>
        <v>174.32967064896343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195.80903373714432</v>
      </c>
      <c r="AO136" s="62">
        <f t="shared" si="144"/>
        <v>388.30721786668977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12.849286744081933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8.3524190936756116E-14</v>
      </c>
      <c r="AX136" s="23">
        <f t="shared" si="114"/>
        <v>12.849286744082017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342.36307961726635</v>
      </c>
      <c r="T137" s="62">
        <f t="shared" si="142"/>
        <v>174.32967064896343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195.80903373714432</v>
      </c>
      <c r="AO137" s="62">
        <f t="shared" si="144"/>
        <v>388.30721786668977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12.597320068321531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5.9060521804500221E-14</v>
      </c>
      <c r="AX137" s="23">
        <f t="shared" si="114"/>
        <v>12.59732006832159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342.36307961726635</v>
      </c>
      <c r="T138" s="62">
        <f t="shared" si="142"/>
        <v>174.32967064896343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195.80903373714432</v>
      </c>
      <c r="AO138" s="62">
        <f t="shared" si="144"/>
        <v>388.30721786668977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12.350294305388294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4.1762095468378058E-14</v>
      </c>
      <c r="AX138" s="23">
        <f t="shared" si="114"/>
        <v>12.350294305388337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342.36307961726635</v>
      </c>
      <c r="T139" s="62">
        <f t="shared" si="142"/>
        <v>174.32967064896343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195.80903373714432</v>
      </c>
      <c r="AO139" s="62">
        <f t="shared" si="144"/>
        <v>388.30721786668977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12.10811256699534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2.9530260902250111E-14</v>
      </c>
      <c r="AX139" s="23">
        <f t="shared" si="114"/>
        <v>12.10811256699537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342.36307961726635</v>
      </c>
      <c r="T140" s="62">
        <f t="shared" si="142"/>
        <v>174.32967064896343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195.80903373714432</v>
      </c>
      <c r="AO140" s="62">
        <f t="shared" si="144"/>
        <v>388.30721786668977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11.870679864775997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2.0881047734189029E-14</v>
      </c>
      <c r="AX140" s="23">
        <f t="shared" si="114"/>
        <v>11.870679864776019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342.36307961726635</v>
      </c>
      <c r="T141" s="62">
        <f t="shared" si="142"/>
        <v>174.32967064896343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195.80903373714432</v>
      </c>
      <c r="AO141" s="62">
        <f t="shared" si="144"/>
        <v>388.30721786668977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11.637903073027527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1.4765130451125055E-14</v>
      </c>
      <c r="AX141" s="23">
        <f t="shared" si="114"/>
        <v>11.637903073027541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342.36307961726635</v>
      </c>
      <c r="T142" s="62">
        <f t="shared" si="142"/>
        <v>174.32967064896343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195.80903373714432</v>
      </c>
      <c r="AO142" s="62">
        <f t="shared" si="144"/>
        <v>388.30721786668977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11.40969089218542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1.0440523867094514E-14</v>
      </c>
      <c r="AX142" s="23">
        <f t="shared" si="114"/>
        <v>11.409690892185431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342.36307961726635</v>
      </c>
      <c r="T143" s="62">
        <f t="shared" si="142"/>
        <v>174.32967064896343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195.80903373714432</v>
      </c>
      <c r="AO143" s="62">
        <f t="shared" si="144"/>
        <v>388.30721786668977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11.185953813013942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7.3825652255625277E-15</v>
      </c>
      <c r="AX143" s="23">
        <f t="shared" si="114"/>
        <v>11.185953813013949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342.36307961726635</v>
      </c>
      <c r="T144" s="62">
        <f t="shared" si="142"/>
        <v>174.32967064896343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195.80903373714432</v>
      </c>
      <c r="AO144" s="62">
        <f t="shared" si="144"/>
        <v>388.30721786668977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10.966604081498874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5.2202619335472572E-15</v>
      </c>
      <c r="AX144" s="23">
        <f t="shared" si="114"/>
        <v>10.966604081498879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342.36307961726635</v>
      </c>
      <c r="T145" s="62">
        <f t="shared" si="142"/>
        <v>174.32967064896343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195.80903373714432</v>
      </c>
      <c r="AO145" s="62">
        <f t="shared" si="144"/>
        <v>388.30721786668977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10.75155566442869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3.6912826127812638E-15</v>
      </c>
      <c r="AX145" s="23">
        <f t="shared" si="114"/>
        <v>10.751555664428693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342.36307961726635</v>
      </c>
      <c r="T146" s="62">
        <f t="shared" si="142"/>
        <v>174.32967064896343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195.80903373714432</v>
      </c>
      <c r="AO146" s="62">
        <f t="shared" si="144"/>
        <v>388.30721786668977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10.54072421565067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2.6101309667736286E-15</v>
      </c>
      <c r="AX146" s="23">
        <f t="shared" si="114"/>
        <v>10.540724215650672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342.36307961726635</v>
      </c>
      <c r="T147" s="62">
        <f t="shared" si="142"/>
        <v>174.32967064896343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195.80903373714432</v>
      </c>
      <c r="AO147" s="62">
        <f t="shared" si="144"/>
        <v>388.30721786668977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10.3340270429887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1.8456413063906319E-15</v>
      </c>
      <c r="AX147" s="23">
        <f t="shared" si="114"/>
        <v>10.334027042988701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342.36307961726635</v>
      </c>
      <c r="T148" s="62">
        <f t="shared" si="142"/>
        <v>174.32967064896343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195.80903373714432</v>
      </c>
      <c r="AO148" s="62">
        <f t="shared" si="144"/>
        <v>388.30721786668977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10.131383075809804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1.3050654833868143E-15</v>
      </c>
      <c r="AX148" s="23">
        <f t="shared" si="114"/>
        <v>10.131383075809806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342.36307961726635</v>
      </c>
      <c r="T149" s="62">
        <f t="shared" si="142"/>
        <v>174.32967064896343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195.80903373714432</v>
      </c>
      <c r="AO149" s="62">
        <f t="shared" si="144"/>
        <v>388.30721786668977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9.9327128332266721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9.2282065319531596E-16</v>
      </c>
      <c r="AX149" s="23">
        <f t="shared" si="114"/>
        <v>9.9327128332266739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342.36307961726635</v>
      </c>
      <c r="T150" s="62">
        <f t="shared" si="142"/>
        <v>174.32967064896343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195.80903373714432</v>
      </c>
      <c r="AO150" s="62">
        <f t="shared" si="144"/>
        <v>388.30721786668977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9.7379383929237129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6.5253274169340715E-16</v>
      </c>
      <c r="AX150" s="23">
        <f t="shared" si="114"/>
        <v>9.7379383929237129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342.36307961726635</v>
      </c>
      <c r="T151" s="62">
        <f t="shared" si="142"/>
        <v>174.32967064896343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195.80903373714432</v>
      </c>
      <c r="AO151" s="62">
        <f t="shared" si="144"/>
        <v>388.30721786668977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9.5469833605944157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4.6141032659765798E-16</v>
      </c>
      <c r="AX151" s="23">
        <f t="shared" si="114"/>
        <v>9.5469833605944157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342.36307961726635</v>
      </c>
      <c r="T152" s="62">
        <f t="shared" si="142"/>
        <v>174.32967064896343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195.80903373714432</v>
      </c>
      <c r="AO152" s="62">
        <f t="shared" si="144"/>
        <v>388.30721786668977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9.359772839978028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3.2626637084670358E-16</v>
      </c>
      <c r="AX152" s="23">
        <f t="shared" si="114"/>
        <v>9.359772839978028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342.36307961726635</v>
      </c>
      <c r="T153" s="62">
        <f t="shared" si="142"/>
        <v>174.32967064896343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195.80903373714432</v>
      </c>
      <c r="AO153" s="62">
        <f t="shared" si="144"/>
        <v>388.30721786668977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9.1762334034837849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2.3070516329882899E-16</v>
      </c>
      <c r="AX153" s="23">
        <f t="shared" si="114"/>
        <v>9.1762334034837849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342.36307961726635</v>
      </c>
      <c r="T154" s="62">
        <f t="shared" si="142"/>
        <v>174.32967064896343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195.80903373714432</v>
      </c>
      <c r="AO154" s="62">
        <f t="shared" si="144"/>
        <v>388.30721786668977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8.9962930633911906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1.6313318542335179E-16</v>
      </c>
      <c r="AX154" s="23">
        <f t="shared" ref="AX154:AX203" si="166">SUM(AU154:AW154)</f>
        <v>8.9962930633911906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342.36307961726635</v>
      </c>
      <c r="T155" s="62">
        <f t="shared" si="142"/>
        <v>174.32967064896343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195.80903373714432</v>
      </c>
      <c r="AO155" s="62">
        <f t="shared" si="144"/>
        <v>388.30721786668977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8.8198812436150416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1.153525816494145E-16</v>
      </c>
      <c r="AX155" s="23">
        <f t="shared" si="166"/>
        <v>8.8198812436150416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342.36307961726635</v>
      </c>
      <c r="T156" s="62">
        <f t="shared" si="142"/>
        <v>174.32967064896343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195.80903373714432</v>
      </c>
      <c r="AO156" s="62">
        <f t="shared" si="144"/>
        <v>388.30721786668977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8.6469287520241185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8.1566592711675894E-17</v>
      </c>
      <c r="AX156" s="23">
        <f t="shared" si="166"/>
        <v>8.6469287520241185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342.36307961726635</v>
      </c>
      <c r="T157" s="62">
        <f t="shared" si="142"/>
        <v>174.32967064896343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195.80903373714432</v>
      </c>
      <c r="AO157" s="62">
        <f t="shared" si="144"/>
        <v>388.30721786668977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8.4773677533026888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5.7676290824707248E-17</v>
      </c>
      <c r="AX157" s="23">
        <f t="shared" si="166"/>
        <v>8.4773677533026888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342.36307961726635</v>
      </c>
      <c r="T158" s="62">
        <f t="shared" si="142"/>
        <v>174.32967064896343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195.80903373714432</v>
      </c>
      <c r="AO158" s="62">
        <f t="shared" si="144"/>
        <v>388.30721786668977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8.3111317423441893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4.0783296355837947E-17</v>
      </c>
      <c r="AX158" s="23">
        <f t="shared" si="166"/>
        <v>8.3111317423441893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342.36307961726635</v>
      </c>
      <c r="T159" s="62">
        <f t="shared" si="142"/>
        <v>174.32967064896343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195.80903373714432</v>
      </c>
      <c r="AO159" s="62">
        <f t="shared" si="144"/>
        <v>388.30721786668977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8.1481555181666323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2.8838145412353624E-17</v>
      </c>
      <c r="AX159" s="23">
        <f t="shared" si="166"/>
        <v>8.1481555181666323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342.36307961726635</v>
      </c>
      <c r="T160" s="62">
        <f t="shared" si="142"/>
        <v>174.32967064896343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195.80903373714432</v>
      </c>
      <c r="AO160" s="62">
        <f t="shared" si="144"/>
        <v>388.30721786668977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7.9883751583395153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2.0391648177918974E-17</v>
      </c>
      <c r="AX160" s="23">
        <f t="shared" si="166"/>
        <v>7.9883751583395153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342.36307961726635</v>
      </c>
      <c r="T161" s="62">
        <f t="shared" si="142"/>
        <v>174.32967064896343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195.80903373714432</v>
      </c>
      <c r="AO161" s="62">
        <f t="shared" si="144"/>
        <v>388.30721786668977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7.831727993912212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1.4419072706176812E-17</v>
      </c>
      <c r="AX161" s="23">
        <f t="shared" si="166"/>
        <v>7.831727993912212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342.36307961726635</v>
      </c>
      <c r="T162" s="62">
        <f t="shared" si="142"/>
        <v>174.32967064896343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195.80903373714432</v>
      </c>
      <c r="AO162" s="62">
        <f t="shared" si="144"/>
        <v>388.30721786668977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7.6781525848339918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1.0195824088959487E-17</v>
      </c>
      <c r="AX162" s="23">
        <f t="shared" si="166"/>
        <v>7.6781525848339918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342.36307961726635</v>
      </c>
      <c r="T163" s="62">
        <f t="shared" si="142"/>
        <v>174.32967064896343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195.80903373714432</v>
      </c>
      <c r="AO163" s="62">
        <f t="shared" si="144"/>
        <v>388.30721786668977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7.5275886958560454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7.2095363530884059E-18</v>
      </c>
      <c r="AX163" s="23">
        <f t="shared" si="166"/>
        <v>7.5275886958560454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342.36307961726635</v>
      </c>
      <c r="T164" s="62">
        <f t="shared" si="142"/>
        <v>174.32967064896343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195.80903373714432</v>
      </c>
      <c r="AO164" s="62">
        <f t="shared" si="144"/>
        <v>388.30721786668977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7.3799772729060518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5.0979120444797434E-18</v>
      </c>
      <c r="AX164" s="23">
        <f t="shared" si="166"/>
        <v>7.3799772729060518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342.36307961726635</v>
      </c>
      <c r="T165" s="62">
        <f t="shared" si="142"/>
        <v>174.32967064896343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195.80903373714432</v>
      </c>
      <c r="AO165" s="62">
        <f t="shared" si="144"/>
        <v>388.30721786668977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7.2352604199260302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3.604768176544203E-18</v>
      </c>
      <c r="AX165" s="23">
        <f t="shared" si="166"/>
        <v>7.2352604199260302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342.36307961726635</v>
      </c>
      <c r="T166" s="62">
        <f t="shared" si="142"/>
        <v>174.32967064896343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195.80903373714432</v>
      </c>
      <c r="AO166" s="62">
        <f t="shared" si="144"/>
        <v>388.30721786668977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7.0933813761643822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2.5489560222398717E-18</v>
      </c>
      <c r="AX166" s="23">
        <f t="shared" si="166"/>
        <v>7.0933813761643822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342.36307961726635</v>
      </c>
      <c r="T167" s="62">
        <f t="shared" si="142"/>
        <v>174.32967064896343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195.80903373714432</v>
      </c>
      <c r="AO167" s="62">
        <f t="shared" si="144"/>
        <v>388.30721786668977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6.954284493913228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1.8023840882721015E-18</v>
      </c>
      <c r="AX167" s="23">
        <f t="shared" si="166"/>
        <v>6.954284493913228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342.36307961726635</v>
      </c>
      <c r="T168" s="62">
        <f t="shared" si="142"/>
        <v>174.32967064896343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195.80903373714432</v>
      </c>
      <c r="AO168" s="62">
        <f t="shared" si="144"/>
        <v>388.30721786668977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6.8179152166822981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1.2744780111199358E-18</v>
      </c>
      <c r="AX168" s="23">
        <f t="shared" si="166"/>
        <v>6.8179152166822981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342.36307961726635</v>
      </c>
      <c r="T169" s="62">
        <f t="shared" si="142"/>
        <v>174.32967064896343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195.80903373714432</v>
      </c>
      <c r="AO169" s="62">
        <f t="shared" si="144"/>
        <v>388.30721786668977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6.6842200578008208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9.0119204413605074E-19</v>
      </c>
      <c r="AX169" s="23">
        <f t="shared" si="166"/>
        <v>6.6842200578008208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342.36307961726635</v>
      </c>
      <c r="T170" s="62">
        <f t="shared" si="142"/>
        <v>174.32967064896343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195.80903373714432</v>
      </c>
      <c r="AO170" s="62">
        <f t="shared" si="144"/>
        <v>388.30721786668977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6.5531465794390149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6.3723900555996792E-19</v>
      </c>
      <c r="AX170" s="23">
        <f t="shared" si="166"/>
        <v>6.5531465794390149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342.36307961726635</v>
      </c>
      <c r="T171" s="62">
        <f t="shared" si="142"/>
        <v>174.32967064896343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195.80903373714432</v>
      </c>
      <c r="AO171" s="62">
        <f t="shared" si="144"/>
        <v>388.30721786668977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6.4246433720409559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4.5059602206802537E-19</v>
      </c>
      <c r="AX171" s="23">
        <f t="shared" si="166"/>
        <v>6.4246433720409559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342.36307961726635</v>
      </c>
      <c r="T172" s="62">
        <f t="shared" si="142"/>
        <v>174.32967064896343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195.80903373714432</v>
      </c>
      <c r="AO172" s="62">
        <f t="shared" si="144"/>
        <v>388.30721786668977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6.2986600341607559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3.1861950277998396E-19</v>
      </c>
      <c r="AX172" s="23">
        <f t="shared" si="166"/>
        <v>6.2986600341607559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342.36307961726635</v>
      </c>
      <c r="T173" s="62">
        <f t="shared" si="142"/>
        <v>174.32967064896343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195.80903373714432</v>
      </c>
      <c r="AO173" s="62">
        <f t="shared" si="144"/>
        <v>388.30721786668977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6.1751471526941382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2.2529801103401269E-19</v>
      </c>
      <c r="AX173" s="23">
        <f t="shared" si="166"/>
        <v>6.1751471526941382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342.36307961726635</v>
      </c>
      <c r="T174" s="62">
        <f t="shared" si="142"/>
        <v>174.32967064896343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195.80903373714432</v>
      </c>
      <c r="AO174" s="62">
        <f t="shared" si="144"/>
        <v>388.30721786668977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6.054056283497661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1.5930975138999198E-19</v>
      </c>
      <c r="AX174" s="23">
        <f t="shared" si="166"/>
        <v>6.054056283497661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342.36307961726635</v>
      </c>
      <c r="T175" s="62">
        <f t="shared" si="142"/>
        <v>174.32967064896343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195.80903373714432</v>
      </c>
      <c r="AO175" s="62">
        <f t="shared" si="144"/>
        <v>388.30721786668977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5.9353399323879898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1.1264900551700634E-19</v>
      </c>
      <c r="AX175" s="23">
        <f t="shared" si="166"/>
        <v>5.9353399323879898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342.36307961726635</v>
      </c>
      <c r="T176" s="62">
        <f t="shared" si="142"/>
        <v>174.32967064896343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195.80903373714432</v>
      </c>
      <c r="AO176" s="62">
        <f t="shared" si="144"/>
        <v>388.30721786668977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5.8189515365137554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7.965487569499599E-20</v>
      </c>
      <c r="AX176" s="23">
        <f t="shared" si="166"/>
        <v>5.8189515365137554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342.36307961726635</v>
      </c>
      <c r="T177" s="62">
        <f t="shared" si="142"/>
        <v>174.32967064896343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195.80903373714432</v>
      </c>
      <c r="AO177" s="62">
        <f t="shared" si="144"/>
        <v>388.30721786668977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5.7048454460927029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5.6324502758503171E-20</v>
      </c>
      <c r="AX177" s="23">
        <f t="shared" si="166"/>
        <v>5.7048454460927029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342.36307961726635</v>
      </c>
      <c r="T178" s="62">
        <f t="shared" si="142"/>
        <v>174.32967064896343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195.80903373714432</v>
      </c>
      <c r="AO178" s="62">
        <f t="shared" si="144"/>
        <v>388.30721786668977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5.5929769065069639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3.9827437847497995E-20</v>
      </c>
      <c r="AX178" s="23">
        <f t="shared" si="166"/>
        <v>5.5929769065069639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342.36307961726635</v>
      </c>
      <c r="T179" s="62">
        <f t="shared" si="142"/>
        <v>174.32967064896343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195.80903373714432</v>
      </c>
      <c r="AO179" s="62">
        <f t="shared" si="144"/>
        <v>388.30721786668977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5.4833020407494297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2.8162251379251586E-20</v>
      </c>
      <c r="AX179" s="23">
        <f t="shared" si="166"/>
        <v>5.4833020407494297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342.36307961726635</v>
      </c>
      <c r="T180" s="62">
        <f t="shared" si="142"/>
        <v>174.32967064896343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195.80903373714432</v>
      </c>
      <c r="AO180" s="62">
        <f t="shared" si="144"/>
        <v>388.30721786668977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5.3757778322143377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1.9913718923748998E-20</v>
      </c>
      <c r="AX180" s="23">
        <f t="shared" si="166"/>
        <v>5.3757778322143377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342.36307961726635</v>
      </c>
      <c r="T181" s="62">
        <f t="shared" si="142"/>
        <v>174.32967064896343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195.80903373714432</v>
      </c>
      <c r="AO181" s="62">
        <f t="shared" si="144"/>
        <v>388.30721786668977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5.2703621078253278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1.4081125689625793E-20</v>
      </c>
      <c r="AX181" s="23">
        <f t="shared" si="166"/>
        <v>5.2703621078253278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342.36307961726635</v>
      </c>
      <c r="T182" s="62">
        <f t="shared" si="142"/>
        <v>174.32967064896343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195.80903373714432</v>
      </c>
      <c r="AO182" s="62">
        <f t="shared" si="144"/>
        <v>388.30721786668977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5.1670135214943436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9.9568594618744988E-21</v>
      </c>
      <c r="AX182" s="23">
        <f t="shared" si="166"/>
        <v>5.1670135214943436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342.36307961726635</v>
      </c>
      <c r="T183" s="62">
        <f t="shared" si="142"/>
        <v>174.32967064896343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195.80903373714432</v>
      </c>
      <c r="AO183" s="62">
        <f t="shared" si="144"/>
        <v>388.30721786668977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5.0656915379048959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7.0405628448128964E-21</v>
      </c>
      <c r="AX183" s="23">
        <f t="shared" si="166"/>
        <v>5.0656915379048959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342.36307961726635</v>
      </c>
      <c r="T184" s="62">
        <f t="shared" si="142"/>
        <v>174.32967064896343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195.80903373714432</v>
      </c>
      <c r="AO184" s="62">
        <f t="shared" si="144"/>
        <v>388.30721786668977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4.9663564166133298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4.9784297309372494E-21</v>
      </c>
      <c r="AX184" s="23">
        <f t="shared" si="166"/>
        <v>4.9663564166133298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342.36307961726635</v>
      </c>
      <c r="T185" s="62">
        <f t="shared" si="142"/>
        <v>174.32967064896343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195.80903373714432</v>
      </c>
      <c r="AO185" s="62">
        <f t="shared" si="144"/>
        <v>388.30721786668977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4.8689691964618502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3.5202814224064482E-21</v>
      </c>
      <c r="AX185" s="23">
        <f t="shared" si="166"/>
        <v>4.8689691964618502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342.36307961726635</v>
      </c>
      <c r="T186" s="62">
        <f t="shared" si="142"/>
        <v>174.32967064896343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195.80903373714432</v>
      </c>
      <c r="AO186" s="62">
        <f t="shared" si="144"/>
        <v>388.30721786668977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4.7734916802972016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2.4892148654686247E-21</v>
      </c>
      <c r="AX186" s="23">
        <f t="shared" si="166"/>
        <v>4.7734916802972016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342.36307961726635</v>
      </c>
      <c r="T187" s="62">
        <f t="shared" si="142"/>
        <v>174.32967064896343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195.80903373714432</v>
      </c>
      <c r="AO187" s="62">
        <f t="shared" si="144"/>
        <v>388.30721786668977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4.6798864199890078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1.7601407112032241E-21</v>
      </c>
      <c r="AX187" s="23">
        <f t="shared" si="166"/>
        <v>4.6798864199890078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342.36307961726635</v>
      </c>
      <c r="T188" s="62">
        <f t="shared" si="142"/>
        <v>174.32967064896343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195.80903373714432</v>
      </c>
      <c r="AO188" s="62">
        <f t="shared" si="144"/>
        <v>388.30721786668977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4.5881167017418862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1.2446074327343123E-21</v>
      </c>
      <c r="AX188" s="23">
        <f t="shared" si="166"/>
        <v>4.5881167017418862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342.36307961726635</v>
      </c>
      <c r="T189" s="62">
        <f t="shared" si="142"/>
        <v>174.32967064896343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195.80903373714432</v>
      </c>
      <c r="AO189" s="62">
        <f t="shared" si="144"/>
        <v>388.30721786668977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4.4981465316955891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8.8007035560161205E-22</v>
      </c>
      <c r="AX189" s="23">
        <f t="shared" si="166"/>
        <v>4.4981465316955891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342.36307961726635</v>
      </c>
      <c r="T190" s="62">
        <f t="shared" si="142"/>
        <v>174.32967064896343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195.80903373714432</v>
      </c>
      <c r="AO190" s="62">
        <f t="shared" si="144"/>
        <v>388.30721786668977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4.4099406218075154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6.2230371636715617E-22</v>
      </c>
      <c r="AX190" s="23">
        <f t="shared" si="166"/>
        <v>4.4099406218075154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342.36307961726635</v>
      </c>
      <c r="T191" s="62">
        <f t="shared" si="142"/>
        <v>174.32967064896343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195.80903373714432</v>
      </c>
      <c r="AO191" s="62">
        <f t="shared" si="144"/>
        <v>388.30721786668977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4.3234643760120539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4.4003517780080603E-22</v>
      </c>
      <c r="AX191" s="23">
        <f t="shared" si="166"/>
        <v>4.3234643760120539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342.36307961726635</v>
      </c>
      <c r="T192" s="62">
        <f t="shared" si="142"/>
        <v>174.32967064896343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195.80903373714432</v>
      </c>
      <c r="AO192" s="62">
        <f t="shared" si="144"/>
        <v>388.30721786668977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4.2386838766513399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3.1115185818357809E-22</v>
      </c>
      <c r="AX192" s="23">
        <f t="shared" si="166"/>
        <v>4.2386838766513399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342.36307961726635</v>
      </c>
      <c r="T193" s="62">
        <f t="shared" si="142"/>
        <v>174.32967064896343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195.80903373714432</v>
      </c>
      <c r="AO193" s="62">
        <f t="shared" si="144"/>
        <v>388.30721786668977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4.1555658711720902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2.2001758890040301E-22</v>
      </c>
      <c r="AX193" s="23">
        <f t="shared" si="166"/>
        <v>4.1555658711720902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342.36307961726635</v>
      </c>
      <c r="T194" s="62">
        <f t="shared" si="142"/>
        <v>174.32967064896343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195.80903373714432</v>
      </c>
      <c r="AO194" s="62">
        <f t="shared" si="144"/>
        <v>388.30721786668977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4.0740777590833117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1.5557592909178904E-22</v>
      </c>
      <c r="AX194" s="23">
        <f t="shared" si="166"/>
        <v>4.0740777590833117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342.36307961726635</v>
      </c>
      <c r="T195" s="62">
        <f t="shared" si="142"/>
        <v>174.32967064896343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195.80903373714432</v>
      </c>
      <c r="AO195" s="62">
        <f t="shared" si="144"/>
        <v>388.30721786668977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3.9941875791697532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1.1000879445020151E-22</v>
      </c>
      <c r="AX195" s="23">
        <f t="shared" si="166"/>
        <v>3.9941875791697532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342.36307961726635</v>
      </c>
      <c r="T196" s="62">
        <f t="shared" si="142"/>
        <v>174.32967064896343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195.80903373714432</v>
      </c>
      <c r="AO196" s="62">
        <f t="shared" si="144"/>
        <v>388.30721786668977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3.9158639969561015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7.7787964545894522E-23</v>
      </c>
      <c r="AX196" s="23">
        <f t="shared" si="166"/>
        <v>3.9158639969561015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342.36307961726635</v>
      </c>
      <c r="T197" s="62">
        <f t="shared" ref="T197:T203" si="204">$T$3</f>
        <v>174.32967064896343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195.80903373714432</v>
      </c>
      <c r="AO197" s="62">
        <f t="shared" ref="AO197:AO203" si="205">$AO$3</f>
        <v>388.30721786668977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3.8390762924169914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5.5004397225100753E-23</v>
      </c>
      <c r="AX197" s="23">
        <f t="shared" si="166"/>
        <v>3.8390762924169914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342.36307961726635</v>
      </c>
      <c r="T198" s="62">
        <f t="shared" si="204"/>
        <v>174.32967064896343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195.80903373714432</v>
      </c>
      <c r="AO198" s="62">
        <f t="shared" si="205"/>
        <v>388.30721786668977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3.7637943479280183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3.8893982272947261E-23</v>
      </c>
      <c r="AX198" s="23">
        <f t="shared" si="166"/>
        <v>3.7637943479280183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342.36307961726635</v>
      </c>
      <c r="T199" s="62">
        <f t="shared" si="204"/>
        <v>174.32967064896343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195.80903373714432</v>
      </c>
      <c r="AO199" s="62">
        <f t="shared" si="205"/>
        <v>388.30721786668977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3.6899886364530219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2.7502198612550377E-23</v>
      </c>
      <c r="AX199" s="23">
        <f t="shared" si="166"/>
        <v>3.6899886364530219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342.36307961726635</v>
      </c>
      <c r="T200" s="62">
        <f t="shared" si="204"/>
        <v>174.32967064896343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195.80903373714432</v>
      </c>
      <c r="AO200" s="62">
        <f t="shared" si="205"/>
        <v>388.30721786668977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3.6176302099630111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1.944699113647363E-23</v>
      </c>
      <c r="AX200" s="23">
        <f t="shared" si="166"/>
        <v>3.6176302099630111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342.36307961726635</v>
      </c>
      <c r="T201" s="62">
        <f t="shared" si="204"/>
        <v>174.32967064896343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195.80903373714432</v>
      </c>
      <c r="AO201" s="62">
        <f t="shared" si="205"/>
        <v>388.30721786668977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3.5466906880821871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1.3751099306275188E-23</v>
      </c>
      <c r="AX201" s="23">
        <f t="shared" si="166"/>
        <v>3.5466906880821871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342.36307961726635</v>
      </c>
      <c r="T202" s="62">
        <f t="shared" si="204"/>
        <v>174.32967064896343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195.80903373714432</v>
      </c>
      <c r="AO202" s="62">
        <f t="shared" si="205"/>
        <v>388.30721786668977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3.47714224695661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9.7234955682368152E-24</v>
      </c>
      <c r="AX202" s="23">
        <f t="shared" si="166"/>
        <v>3.47714224695661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342.36307961726635</v>
      </c>
      <c r="T203" s="62">
        <f t="shared" si="204"/>
        <v>174.32967064896343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195.80903373714432</v>
      </c>
      <c r="AO203" s="62">
        <f t="shared" si="205"/>
        <v>388.30721786668977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3.408957608341145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6.8755496531375942E-24</v>
      </c>
      <c r="AX203" s="23">
        <f t="shared" si="166"/>
        <v>3.408957608341145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1.1457367676485573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1.4261938757879591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P28" sqref="P2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vert</v>
      </c>
      <c r="B6" s="155">
        <f>'Données projet'!D9</f>
        <v>4.6035000000000004</v>
      </c>
      <c r="C6" s="156">
        <f ca="1">IF(OR('Données projet'!B9="",'Données projet'!C9="",'Données projet'!C9=0%),0,Calculateur!S3)</f>
        <v>342.36307961726635</v>
      </c>
      <c r="D6" s="156">
        <f>IF(OR('Données projet'!B9="",'Données projet'!C9="",'Données projet'!C9=0%),0,Calculateur!T3)</f>
        <v>174.32967064896343</v>
      </c>
      <c r="E6" s="156">
        <f ca="1">MIN(C6,D6)</f>
        <v>174.32967064896343</v>
      </c>
      <c r="F6" s="156">
        <f ca="1">E6*B6</f>
        <v>802.52663883250318</v>
      </c>
      <c r="G6" s="156">
        <f ca="1">F6*(100%-'Données projet'!$C$24)*(100%-'Données projet'!$C$25)*(100%-'Données projet'!$C$26)*(100%-'Données projet'!$C$27)</f>
        <v>686.16027620179023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</v>
      </c>
      <c r="K6" s="160">
        <f>J6*(100%-'Données projet'!$C$24)*(100%-'Données projet'!$C$25)*(100%-'Données projet'!$C$26)*(100%-'Données projet'!$C$27)</f>
        <v>0</v>
      </c>
      <c r="L6" s="161">
        <f ca="1">G6+I6+K6</f>
        <v>686.16027620179023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Pin maritime</v>
      </c>
      <c r="B7" s="163">
        <f>'Données projet'!D10</f>
        <v>2.1465000000000001</v>
      </c>
      <c r="C7" s="156">
        <f ca="1">IF(OR('Données projet'!B10="",'Données projet'!C10="",'Données projet'!C10=0%),0,Calculateur!AN3)</f>
        <v>195.80903373714432</v>
      </c>
      <c r="D7" s="156">
        <f>IF(OR('Données projet'!B10="",'Données projet'!C10="",'Données projet'!C10=0%),0,Calculateur!AO3)</f>
        <v>388.30721786668977</v>
      </c>
      <c r="E7" s="156">
        <f t="shared" ref="E7:E15" ca="1" si="0">MIN(C7,D7)</f>
        <v>195.80903373714432</v>
      </c>
      <c r="F7" s="156">
        <f t="shared" ref="F7:F15" ca="1" si="1">E7*B7</f>
        <v>420.3040909167803</v>
      </c>
      <c r="G7" s="156">
        <f ca="1">F7*(100%-'Données projet'!$C$24)*(100%-'Données projet'!$C$25)*(100%-'Données projet'!$C$26)*(100%-'Données projet'!$C$27)</f>
        <v>359.35999773384719</v>
      </c>
      <c r="H7" s="164">
        <f>IF(OR('Données projet'!B10="",'Données projet'!C10="",'Données projet'!C10=0%),0,AVERAGE(Calculateur!$AX$3:$AX$33)*B7)</f>
        <v>20.786667330296019</v>
      </c>
      <c r="I7" s="158">
        <f>H7*(100%-'Données projet'!$C$24)*(100%-'Données projet'!$C$25)*(100%-'Données projet'!$C$26)*(100%-'Données projet'!$C$27)</f>
        <v>17.772600567403099</v>
      </c>
      <c r="J7" s="159">
        <f>IF(OR('Données projet'!B10="",'Données projet'!C10="",'Données projet'!C10=0%),0,SUM(Calculateur!$AQ$3:$AQ$33)*VLOOKUP('Données projet'!$B$10,Paramètres!$A$1:$I$89,9,0)*B7)</f>
        <v>151.97219999999999</v>
      </c>
      <c r="K7" s="160">
        <f>J7*(100%-'Données projet'!$C$24)*(100%-'Données projet'!$C$25)*(100%-'Données projet'!$C$26)*(100%-'Données projet'!$C$27)</f>
        <v>129.93623099999999</v>
      </c>
      <c r="L7" s="161">
        <f t="shared" ref="L7:L15" ca="1" si="2">G7+I7+K7</f>
        <v>507.06882930125028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1222.8307297492834</v>
      </c>
      <c r="G16" s="175">
        <f t="shared" ca="1" si="3"/>
        <v>1045.5202739356373</v>
      </c>
      <c r="H16" s="176">
        <f t="shared" si="3"/>
        <v>20.786667330296019</v>
      </c>
      <c r="I16" s="176">
        <f t="shared" si="3"/>
        <v>17.772600567403099</v>
      </c>
      <c r="J16" s="177">
        <f t="shared" si="3"/>
        <v>151.97219999999999</v>
      </c>
      <c r="K16" s="177">
        <f t="shared" si="3"/>
        <v>129.93623099999999</v>
      </c>
      <c r="L16" s="178">
        <f t="shared" ca="1" si="3"/>
        <v>1193.2291055030405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vert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Pin maritime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D13" zoomScale="90" zoomScaleNormal="90" workbookViewId="0">
      <selection activeCell="U28" sqref="U28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vert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321.14834715886479</v>
      </c>
      <c r="U10" s="190">
        <f>'Données projet'!D9</f>
        <v>4.6035000000000004</v>
      </c>
      <c r="V10" s="189">
        <f>U10*T10</f>
        <v>1478.4064161458341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maritime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661.95044017106147</v>
      </c>
      <c r="U11" s="190">
        <f>'Données projet'!D10</f>
        <v>2.1465000000000001</v>
      </c>
      <c r="V11" s="189">
        <f t="shared" ref="V11" si="0">U11*T11</f>
        <v>1420.8766198271835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vert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3735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949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959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25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>
        <v>3</v>
      </c>
      <c r="I23" s="204">
        <v>1080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-46825.841881954984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>
        <v>4</v>
      </c>
      <c r="I24" s="204">
        <v>495</v>
      </c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35</v>
      </c>
      <c r="B25" s="193">
        <f>'Données projet'!D38</f>
        <v>13</v>
      </c>
      <c r="C25" s="206">
        <v>10</v>
      </c>
      <c r="D25" s="194">
        <f t="shared" si="2"/>
        <v>130</v>
      </c>
      <c r="E25" s="206"/>
      <c r="F25" s="264"/>
      <c r="G25" s="1"/>
      <c r="H25" s="203">
        <v>5</v>
      </c>
      <c r="I25" s="204">
        <v>603</v>
      </c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-46825.841881954984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40</v>
      </c>
      <c r="B26" s="193">
        <f>'Données projet'!D39</f>
        <v>14</v>
      </c>
      <c r="C26" s="206">
        <v>15</v>
      </c>
      <c r="D26" s="194">
        <f t="shared" si="2"/>
        <v>210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45</v>
      </c>
      <c r="B27" s="193">
        <f>'Données projet'!D40</f>
        <v>14</v>
      </c>
      <c r="C27" s="206">
        <v>15</v>
      </c>
      <c r="D27" s="194">
        <f t="shared" si="2"/>
        <v>210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50</v>
      </c>
      <c r="B28" s="193">
        <f>'Données projet'!D41</f>
        <v>14</v>
      </c>
      <c r="C28" s="206">
        <v>15</v>
      </c>
      <c r="D28" s="194">
        <f t="shared" si="2"/>
        <v>210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55</v>
      </c>
      <c r="B29" s="193">
        <f>'Données projet'!D42</f>
        <v>14</v>
      </c>
      <c r="C29" s="206">
        <v>20</v>
      </c>
      <c r="D29" s="194">
        <f t="shared" si="2"/>
        <v>280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60</v>
      </c>
      <c r="B30" s="193">
        <f>'Données projet'!D43</f>
        <v>14</v>
      </c>
      <c r="C30" s="206">
        <v>20</v>
      </c>
      <c r="D30" s="194">
        <f t="shared" si="2"/>
        <v>280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65</v>
      </c>
      <c r="B31" s="193">
        <f>'Données projet'!D44</f>
        <v>14</v>
      </c>
      <c r="C31" s="206">
        <v>20</v>
      </c>
      <c r="D31" s="194">
        <f t="shared" si="2"/>
        <v>280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70</v>
      </c>
      <c r="B32" s="193">
        <f>'Données projet'!D45</f>
        <v>14</v>
      </c>
      <c r="C32" s="206">
        <v>25</v>
      </c>
      <c r="D32" s="194">
        <f t="shared" si="2"/>
        <v>350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75</v>
      </c>
      <c r="B33" s="193">
        <f>'Données projet'!D46</f>
        <v>14</v>
      </c>
      <c r="C33" s="206">
        <v>25</v>
      </c>
      <c r="D33" s="194">
        <f t="shared" si="2"/>
        <v>350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80</v>
      </c>
      <c r="B34" s="193">
        <f>'Données projet'!D47</f>
        <v>14</v>
      </c>
      <c r="C34" s="206">
        <v>30</v>
      </c>
      <c r="D34" s="194">
        <f t="shared" si="2"/>
        <v>420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85</v>
      </c>
      <c r="B35" s="193">
        <f>'Données projet'!D48</f>
        <v>14</v>
      </c>
      <c r="C35" s="206">
        <v>30</v>
      </c>
      <c r="D35" s="194">
        <f t="shared" si="2"/>
        <v>420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90</v>
      </c>
      <c r="B36" s="193">
        <f>'Données projet'!D49</f>
        <v>14</v>
      </c>
      <c r="C36" s="206">
        <v>35</v>
      </c>
      <c r="D36" s="194">
        <f t="shared" si="2"/>
        <v>490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95</v>
      </c>
      <c r="B37" s="193">
        <f>'Données projet'!D50</f>
        <v>14</v>
      </c>
      <c r="C37" s="206">
        <v>35</v>
      </c>
      <c r="D37" s="194">
        <f t="shared" si="2"/>
        <v>490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100</v>
      </c>
      <c r="B38" s="193">
        <f>'Données projet'!D51</f>
        <v>13</v>
      </c>
      <c r="C38" s="206">
        <v>40</v>
      </c>
      <c r="D38" s="194">
        <f t="shared" si="2"/>
        <v>520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105</v>
      </c>
      <c r="B39" s="193">
        <f>'Données projet'!D52</f>
        <v>13</v>
      </c>
      <c r="C39" s="206">
        <v>40</v>
      </c>
      <c r="D39" s="194">
        <f t="shared" si="2"/>
        <v>520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110</v>
      </c>
      <c r="B40" s="193">
        <f>'Données projet'!D53</f>
        <v>13</v>
      </c>
      <c r="C40" s="206">
        <v>45</v>
      </c>
      <c r="D40" s="194">
        <f t="shared" si="2"/>
        <v>585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115</v>
      </c>
      <c r="B41" s="193">
        <f>'Données projet'!D54</f>
        <v>13</v>
      </c>
      <c r="C41" s="206">
        <v>45</v>
      </c>
      <c r="D41" s="194">
        <f t="shared" si="2"/>
        <v>585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120</v>
      </c>
      <c r="B42" s="193">
        <f>'Données projet'!D55</f>
        <v>221</v>
      </c>
      <c r="C42" s="206">
        <v>50</v>
      </c>
      <c r="D42" s="194">
        <f t="shared" si="2"/>
        <v>11050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Pin maritime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13</v>
      </c>
      <c r="B54" s="193">
        <f>'Données projet'!D62</f>
        <v>28</v>
      </c>
      <c r="C54" s="204">
        <v>12</v>
      </c>
      <c r="D54" s="191">
        <f>B54*C54</f>
        <v>336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18</v>
      </c>
      <c r="B55" s="193">
        <f>'Données projet'!D63</f>
        <v>40</v>
      </c>
      <c r="C55" s="204">
        <v>15</v>
      </c>
      <c r="D55" s="191">
        <f t="shared" ref="D55:D73" si="4">B55*C55</f>
        <v>600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23</v>
      </c>
      <c r="B56" s="193">
        <f>'Données projet'!D64</f>
        <v>52</v>
      </c>
      <c r="C56" s="204">
        <v>25</v>
      </c>
      <c r="D56" s="191">
        <f t="shared" si="4"/>
        <v>1300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30</v>
      </c>
      <c r="B57" s="193">
        <f>'Données projet'!D65</f>
        <v>0</v>
      </c>
      <c r="C57" s="204">
        <v>35</v>
      </c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34</v>
      </c>
      <c r="B58" s="193">
        <f>'Données projet'!D66</f>
        <v>325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str">
        <f>IF(O67+1&lt;=MIN('Données projet'!$E$9:$E$18),O67+1,"STOP")</f>
        <v>STOP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>
        <v>10</v>
      </c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>
        <v>12</v>
      </c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>
        <v>15</v>
      </c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>
        <v>20</v>
      </c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>
        <v>25</v>
      </c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>
        <v>30</v>
      </c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>
        <v>35</v>
      </c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>
        <v>50</v>
      </c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2023-10-27T13:21:55Z</dcterms:modified>
</cp:coreProperties>
</file>